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431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externalReferences>
    <externalReference r:id="rId34"/>
  </externalReference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15" i="169" l="1"/>
  <c r="F30" i="182" l="1"/>
  <c r="F25" i="182"/>
  <c r="K7" i="12"/>
  <c r="K9" i="12"/>
  <c r="C114" i="28"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5" i="29" l="1"/>
  <c r="B7794" i="106" s="1"/>
  <c r="K354"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B7792" i="106"/>
  <c r="B7790" i="106" l="1"/>
  <c r="J15" i="4"/>
  <c r="B7796" i="106" s="1"/>
  <c r="L160" i="29" l="1"/>
  <c r="K160" i="29"/>
  <c r="F60" i="34"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L27" i="179" l="1"/>
  <c r="L26" i="179"/>
  <c r="L25" i="179"/>
  <c r="L24" i="179"/>
  <c r="L23" i="179"/>
  <c r="L22" i="179"/>
  <c r="L21" i="179"/>
  <c r="L20" i="179"/>
  <c r="L19" i="179"/>
  <c r="L18" i="179"/>
  <c r="L17" i="179"/>
  <c r="L16" i="179"/>
  <c r="L15" i="179"/>
  <c r="L14" i="179"/>
  <c r="L13" i="179"/>
  <c r="L12" i="179"/>
  <c r="L11" i="179"/>
  <c r="D14" i="171" l="1"/>
  <c r="A10" i="169"/>
  <c r="A16" i="169"/>
  <c r="A15" i="169"/>
  <c r="A14" i="169"/>
  <c r="K18" i="169"/>
  <c r="G18"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l="1"/>
  <c r="B2" i="174"/>
  <c r="B2" i="177"/>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J85" i="28" l="1"/>
  <c r="B7758" i="106" s="1"/>
  <c r="D7758" i="106" s="1"/>
  <c r="J88" i="28"/>
  <c r="K12" i="12"/>
  <c r="B7719" i="106" s="1"/>
  <c r="D7719" i="106" s="1"/>
  <c r="K23" i="12"/>
  <c r="J12" i="12"/>
  <c r="B7718" i="106" s="1"/>
  <c r="D7718" i="106" s="1"/>
  <c r="J21" i="12"/>
  <c r="J23" i="12"/>
  <c r="B7729" i="106"/>
  <c r="D7729" i="106" s="1"/>
  <c r="B7734" i="106"/>
  <c r="B7726" i="106"/>
  <c r="B30" i="36"/>
  <c r="B33" i="36" s="1"/>
  <c r="B43" i="36" s="1"/>
  <c r="B56" i="36" s="1"/>
  <c r="B66" i="36" s="1"/>
  <c r="B70" i="36" s="1"/>
  <c r="B74" i="36" s="1"/>
  <c r="I7" i="145"/>
  <c r="I6" i="145"/>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B73" i="106"/>
  <c r="D73" i="106" s="1"/>
  <c r="D74" i="106"/>
  <c r="D75" i="106"/>
  <c r="D78" i="106"/>
  <c r="D79" i="106"/>
  <c r="D80" i="106"/>
  <c r="D81" i="106"/>
  <c r="D82" i="106"/>
  <c r="D83" i="106"/>
  <c r="D84" i="106"/>
  <c r="D85" i="106"/>
  <c r="D87" i="106"/>
  <c r="D89" i="106"/>
  <c r="D90" i="106"/>
  <c r="D94" i="106"/>
  <c r="D95" i="106"/>
  <c r="D96" i="106"/>
  <c r="D98" i="106"/>
  <c r="D99" i="106"/>
  <c r="D100" i="106"/>
  <c r="D101" i="106"/>
  <c r="D102" i="106"/>
  <c r="D103" i="106"/>
  <c r="B105" i="106"/>
  <c r="D105" i="106" s="1"/>
  <c r="D106" i="106"/>
  <c r="D107" i="106"/>
  <c r="D110" i="106"/>
  <c r="D111" i="106"/>
  <c r="D112" i="106"/>
  <c r="D113" i="106"/>
  <c r="D114" i="106"/>
  <c r="D115" i="106"/>
  <c r="D116" i="106"/>
  <c r="D118" i="106"/>
  <c r="D120" i="106"/>
  <c r="D121" i="106"/>
  <c r="D125" i="106"/>
  <c r="D127" i="106"/>
  <c r="D128" i="106"/>
  <c r="B129" i="106"/>
  <c r="D129" i="106" s="1"/>
  <c r="D132" i="106"/>
  <c r="D133" i="106"/>
  <c r="D135" i="106"/>
  <c r="D136" i="106"/>
  <c r="D137" i="106"/>
  <c r="D138" i="106"/>
  <c r="D142" i="106"/>
  <c r="D143" i="106"/>
  <c r="D144" i="106"/>
  <c r="D146" i="106"/>
  <c r="D147" i="106"/>
  <c r="D148" i="106"/>
  <c r="D149" i="106"/>
  <c r="D150" i="106"/>
  <c r="D151" i="106"/>
  <c r="B153" i="106"/>
  <c r="D153" i="106" s="1"/>
  <c r="D154" i="106"/>
  <c r="D155" i="106"/>
  <c r="D158" i="106"/>
  <c r="D159" i="106"/>
  <c r="D160" i="106"/>
  <c r="D161" i="106"/>
  <c r="D162" i="106"/>
  <c r="D163" i="106"/>
  <c r="D165" i="106"/>
  <c r="D167" i="106"/>
  <c r="D168" i="106"/>
  <c r="D172" i="106"/>
  <c r="D174" i="106"/>
  <c r="D175" i="106"/>
  <c r="D176" i="106"/>
  <c r="B177" i="106"/>
  <c r="D177" i="106" s="1"/>
  <c r="D178" i="106"/>
  <c r="D181" i="106"/>
  <c r="D182" i="106"/>
  <c r="D183" i="106"/>
  <c r="D186" i="106"/>
  <c r="D187" i="106"/>
  <c r="D191" i="106"/>
  <c r="D192" i="106"/>
  <c r="D193" i="106"/>
  <c r="D194" i="106"/>
  <c r="D195" i="106"/>
  <c r="D196" i="106"/>
  <c r="D197" i="106"/>
  <c r="B199" i="106"/>
  <c r="D199" i="106" s="1"/>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B738" i="106"/>
  <c r="D738" i="106" s="1"/>
  <c r="B740" i="106"/>
  <c r="D740" i="106" s="1"/>
  <c r="D744" i="106"/>
  <c r="D750" i="106"/>
  <c r="D752" i="106"/>
  <c r="D758" i="106"/>
  <c r="D759" i="106"/>
  <c r="D760" i="106"/>
  <c r="D761" i="106"/>
  <c r="D762" i="106"/>
  <c r="D765" i="106"/>
  <c r="D766" i="106"/>
  <c r="D767" i="106"/>
  <c r="D768" i="106"/>
  <c r="D769" i="106"/>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D1255" i="106"/>
  <c r="D1263" i="106"/>
  <c r="D1271" i="106"/>
  <c r="D1278" i="106"/>
  <c r="D1286" i="106"/>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D1319" i="106"/>
  <c r="D1320" i="106"/>
  <c r="D1321" i="106"/>
  <c r="D1322" i="106"/>
  <c r="B1323" i="106"/>
  <c r="D1323" i="106" s="1"/>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D22" i="37"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D2833" i="106"/>
  <c r="D2834" i="106"/>
  <c r="D2835" i="106"/>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D2881" i="106"/>
  <c r="D2882" i="106"/>
  <c r="D2883" i="106"/>
  <c r="D2884" i="106"/>
  <c r="B2885" i="106"/>
  <c r="D2885" i="106" s="1"/>
  <c r="D2886" i="106"/>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D2909" i="106"/>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B3399" i="106"/>
  <c r="D3399" i="106" s="1"/>
  <c r="D3400" i="106"/>
  <c r="D3401" i="106"/>
  <c r="D3402" i="106"/>
  <c r="D3403" i="106"/>
  <c r="D3404" i="106"/>
  <c r="D3407" i="106"/>
  <c r="D3410" i="106"/>
  <c r="D3412" i="106"/>
  <c r="D3413" i="106"/>
  <c r="D3415" i="106"/>
  <c r="D3416" i="106"/>
  <c r="D3418" i="106"/>
  <c r="D3420" i="106"/>
  <c r="D3421" i="106"/>
  <c r="D3423" i="106"/>
  <c r="D3424" i="106"/>
  <c r="B3425" i="106"/>
  <c r="D3425" i="106" s="1"/>
  <c r="D3426" i="106"/>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D3547" i="106"/>
  <c r="D3553" i="106"/>
  <c r="D3554" i="106"/>
  <c r="D3555" i="106"/>
  <c r="D3556" i="106"/>
  <c r="D3557" i="106"/>
  <c r="D3558" i="106"/>
  <c r="D3559" i="106"/>
  <c r="D3560" i="106"/>
  <c r="D3563" i="106"/>
  <c r="D3564" i="106"/>
  <c r="B3566" i="106"/>
  <c r="D3566"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B3673" i="106"/>
  <c r="D3673" i="106" s="1"/>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D4119" i="106"/>
  <c r="D4120" i="106"/>
  <c r="D4129" i="106"/>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G49" i="8"/>
  <c r="B4177" i="106" s="1"/>
  <c r="D4177" i="106" s="1"/>
  <c r="D4178" i="106"/>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B4353" i="106"/>
  <c r="D4353" i="106" s="1"/>
  <c r="D4367" i="106"/>
  <c r="D4371" i="106"/>
  <c r="D4374" i="106"/>
  <c r="D4383" i="106"/>
  <c r="D4384" i="106"/>
  <c r="D4385" i="106"/>
  <c r="D4386" i="106"/>
  <c r="D4387" i="106"/>
  <c r="D4388" i="106"/>
  <c r="D4389" i="106"/>
  <c r="D4390"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D4880" i="106"/>
  <c r="B4882" i="106"/>
  <c r="D4882" i="106" s="1"/>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D5062" i="106"/>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7" i="106"/>
  <c r="D5709" i="106"/>
  <c r="D5711" i="106"/>
  <c r="D5712" i="106"/>
  <c r="D5714" i="106"/>
  <c r="D5715" i="106"/>
  <c r="D5716" i="106"/>
  <c r="D5717" i="106"/>
  <c r="D5718" i="106"/>
  <c r="B5721" i="106"/>
  <c r="D5721" i="106" s="1"/>
  <c r="D5744" i="106"/>
  <c r="D5745" i="106"/>
  <c r="D5746" i="106"/>
  <c r="D5747" i="106"/>
  <c r="D5750" i="106"/>
  <c r="D5751" i="106"/>
  <c r="D5753" i="106"/>
  <c r="D5758" i="106"/>
  <c r="D5759" i="106"/>
  <c r="D5760" i="106"/>
  <c r="D5761" i="106"/>
  <c r="D5762" i="106"/>
  <c r="D5764" i="106"/>
  <c r="D5766"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7" i="106"/>
  <c r="D5859" i="106"/>
  <c r="D5861" i="106"/>
  <c r="D5862" i="106"/>
  <c r="D5864" i="106"/>
  <c r="D5865" i="106"/>
  <c r="D5866" i="106"/>
  <c r="D5867" i="106"/>
  <c r="D586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A6103" i="106"/>
  <c r="B6108" i="106"/>
  <c r="D6108" i="106" s="1"/>
  <c r="B6122" i="106"/>
  <c r="D6122"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65" i="106"/>
  <c r="D6265" i="106" s="1"/>
  <c r="B6297" i="106"/>
  <c r="D6297"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24" i="106"/>
  <c r="D6624" i="106" s="1"/>
  <c r="B6625" i="106"/>
  <c r="D6625" i="106" s="1"/>
  <c r="B6692" i="106"/>
  <c r="D6692" i="106" s="1"/>
  <c r="B6693" i="106"/>
  <c r="D6693" i="106" s="1"/>
  <c r="B7053" i="106"/>
  <c r="D7053" i="106" s="1"/>
  <c r="D7056" i="106"/>
  <c r="B7236" i="106"/>
  <c r="D7236" i="106" s="1"/>
  <c r="B7237" i="106"/>
  <c r="D7237" i="106" s="1"/>
  <c r="A7245" i="106"/>
  <c r="A7246" i="106" s="1"/>
  <c r="A7247" i="106" s="1"/>
  <c r="A7248" i="106" s="1"/>
  <c r="A7249" i="106" s="1"/>
  <c r="B7253" i="106"/>
  <c r="B7254" i="106"/>
  <c r="B7255"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41" i="106"/>
  <c r="B7642" i="106"/>
  <c r="B7643" i="106"/>
  <c r="B7644" i="106"/>
  <c r="B7645" i="106"/>
  <c r="B7646" i="106"/>
  <c r="B7647" i="106"/>
  <c r="B7649" i="106"/>
  <c r="B7650" i="106"/>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D7726" i="106"/>
  <c r="D7734" i="106"/>
  <c r="B7735" i="106"/>
  <c r="D7735" i="106" s="1"/>
  <c r="B7736" i="106"/>
  <c r="D7736" i="106" s="1"/>
  <c r="B7737" i="106"/>
  <c r="D7737" i="106" s="1"/>
  <c r="B7738" i="106"/>
  <c r="D7738" i="106" s="1"/>
  <c r="D7744" i="106"/>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9" i="36"/>
  <c r="D79" i="36"/>
  <c r="B55" i="127"/>
  <c r="B56"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C85" i="34"/>
  <c r="D85" i="34"/>
  <c r="C86" i="34"/>
  <c r="D86" i="34"/>
  <c r="D87" i="34"/>
  <c r="C88" i="34"/>
  <c r="D88" i="34"/>
  <c r="C89" i="34"/>
  <c r="D89" i="34"/>
  <c r="C90" i="34"/>
  <c r="D90" i="34"/>
  <c r="C91" i="34"/>
  <c r="D91" i="34"/>
  <c r="C92" i="34"/>
  <c r="D92" i="34"/>
  <c r="C93" i="34"/>
  <c r="D93" i="34"/>
  <c r="D94" i="34"/>
  <c r="D95" i="34"/>
  <c r="C96" i="34"/>
  <c r="D96" i="34"/>
  <c r="C97" i="34"/>
  <c r="D97" i="34"/>
  <c r="C98" i="34"/>
  <c r="D98" i="34"/>
  <c r="C99" i="34"/>
  <c r="D99" i="34"/>
  <c r="C100" i="34"/>
  <c r="D100" i="34"/>
  <c r="C101" i="34"/>
  <c r="D101" i="34"/>
  <c r="C102" i="34"/>
  <c r="D102" i="34"/>
  <c r="C103" i="34"/>
  <c r="D103" i="34"/>
  <c r="C104" i="34"/>
  <c r="D104" i="34"/>
  <c r="D105" i="34"/>
  <c r="D106" i="34"/>
  <c r="D107" i="34"/>
  <c r="C108" i="34"/>
  <c r="D108" i="34"/>
  <c r="C109" i="34"/>
  <c r="D109" i="34"/>
  <c r="C110" i="34"/>
  <c r="D110" i="34"/>
  <c r="D111" i="34"/>
  <c r="C112" i="34"/>
  <c r="D112" i="34"/>
  <c r="C113" i="34"/>
  <c r="D113" i="34"/>
  <c r="C114" i="34"/>
  <c r="D114" i="34"/>
  <c r="C115" i="34"/>
  <c r="D115" i="34"/>
  <c r="C116" i="34"/>
  <c r="D116" i="34"/>
  <c r="C117" i="34"/>
  <c r="D117" i="34"/>
  <c r="C118" i="34"/>
  <c r="D118" i="34"/>
  <c r="C119" i="34"/>
  <c r="D119" i="34"/>
  <c r="C120" i="34"/>
  <c r="D120" i="34"/>
  <c r="C121" i="34"/>
  <c r="D121" i="34"/>
  <c r="C122" i="34"/>
  <c r="D122" i="34"/>
  <c r="C123" i="34"/>
  <c r="D123" i="34"/>
  <c r="C124" i="34"/>
  <c r="D124" i="34"/>
  <c r="C125" i="34"/>
  <c r="C126" i="34"/>
  <c r="D126" i="34"/>
  <c r="D127" i="34"/>
  <c r="D128" i="34"/>
  <c r="D129" i="34"/>
  <c r="D130" i="34"/>
  <c r="D131" i="34"/>
  <c r="C132" i="34"/>
  <c r="D132" i="34"/>
  <c r="C133" i="34"/>
  <c r="D133" i="34"/>
  <c r="C134" i="34"/>
  <c r="D134" i="34"/>
  <c r="C135"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D158" i="34"/>
  <c r="D159" i="34"/>
  <c r="D160" i="34"/>
  <c r="C164" i="34"/>
  <c r="D164" i="34"/>
  <c r="C165" i="34"/>
  <c r="D165" i="34"/>
  <c r="C166" i="34"/>
  <c r="D166" i="34"/>
  <c r="C167" i="34"/>
  <c r="D167" i="34"/>
  <c r="C168" i="34"/>
  <c r="D168" i="34"/>
  <c r="C169" i="34"/>
  <c r="D169" i="34"/>
  <c r="C170" i="34"/>
  <c r="D170" i="34"/>
  <c r="C171" i="34"/>
  <c r="D171" i="34"/>
  <c r="C172" i="34"/>
  <c r="D172" i="34"/>
  <c r="C173" i="34"/>
  <c r="D173" i="34"/>
  <c r="C174" i="34"/>
  <c r="D174" i="34"/>
  <c r="F182" i="34"/>
  <c r="F3" i="11"/>
  <c r="B7591" i="106" s="1"/>
  <c r="F5" i="11"/>
  <c r="L5" i="11" s="1"/>
  <c r="B2056" i="106" s="1"/>
  <c r="D2056" i="106" s="1"/>
  <c r="C16" i="11"/>
  <c r="B2013" i="106" s="1"/>
  <c r="D2013" i="106" s="1"/>
  <c r="B7727" i="106"/>
  <c r="D7727" i="106" s="1"/>
  <c r="C49" i="8"/>
  <c r="B8" i="7"/>
  <c r="B1748" i="106" s="1"/>
  <c r="D1748"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B2633" i="106"/>
  <c r="D2633" i="106" s="1"/>
  <c r="D7" i="118"/>
  <c r="D8" i="118"/>
  <c r="D9" i="118"/>
  <c r="L22" i="37"/>
  <c r="B6145" i="106" l="1"/>
  <c r="D6145" i="106" s="1"/>
  <c r="B6136" i="106"/>
  <c r="D6136" i="106" s="1"/>
  <c r="B276" i="106"/>
  <c r="D276" i="106" s="1"/>
  <c r="B2027" i="106"/>
  <c r="D2027" i="106" s="1"/>
  <c r="B274" i="106"/>
  <c r="D274" i="106" s="1"/>
  <c r="B2030" i="106"/>
  <c r="D2030" i="106" s="1"/>
  <c r="B2864" i="106"/>
  <c r="D2864" i="106" s="1"/>
  <c r="B2026" i="106"/>
  <c r="D2026" i="106" s="1"/>
  <c r="B2029" i="106"/>
  <c r="D2029" i="106" s="1"/>
  <c r="B2028" i="106"/>
  <c r="D2028" i="106" s="1"/>
  <c r="B275" i="106"/>
  <c r="D275" i="106" s="1"/>
  <c r="L13" i="11"/>
  <c r="B2060" i="106" s="1"/>
  <c r="D2060" i="106" s="1"/>
  <c r="B2733" i="106"/>
  <c r="D2733" i="106" s="1"/>
  <c r="J22" i="37"/>
  <c r="E174" i="29"/>
  <c r="B1309" i="106" s="1"/>
  <c r="D1309" i="106" s="1"/>
  <c r="D11" i="37"/>
  <c r="H33" i="118"/>
  <c r="N22" i="3"/>
  <c r="B283" i="106" s="1"/>
  <c r="D283" i="106" s="1"/>
  <c r="H28" i="118"/>
  <c r="D24" i="37"/>
  <c r="B4270" i="106" s="1"/>
  <c r="D4270" i="106" s="1"/>
  <c r="I24" i="12"/>
  <c r="B1996" i="106" s="1"/>
  <c r="D1996" i="106" s="1"/>
  <c r="F21" i="8"/>
  <c r="F19" i="7"/>
  <c r="B1807" i="106" s="1"/>
  <c r="D1807" i="106" s="1"/>
  <c r="H29" i="118"/>
  <c r="B2895" i="106"/>
  <c r="D2895" i="106" s="1"/>
  <c r="K24" i="12"/>
  <c r="L15" i="11"/>
  <c r="B3459" i="106" s="1"/>
  <c r="D3459" i="106" s="1"/>
  <c r="J90" i="28"/>
  <c r="B79" i="36"/>
  <c r="B77" i="36"/>
  <c r="F16" i="11"/>
  <c r="B2031" i="106" s="1"/>
  <c r="D2031" i="106" s="1"/>
  <c r="K16" i="11"/>
  <c r="B2055" i="106" s="1"/>
  <c r="D2055" i="106" s="1"/>
  <c r="B7759" i="106"/>
  <c r="D7759" i="106" s="1"/>
  <c r="L3" i="11"/>
  <c r="B7596" i="106" s="1"/>
  <c r="L9" i="11"/>
  <c r="B7614" i="106" s="1"/>
  <c r="L10" i="11"/>
  <c r="B2058" i="106" s="1"/>
  <c r="D2058" i="106" s="1"/>
  <c r="D8" i="7"/>
  <c r="B1764" i="106" s="1"/>
  <c r="D1764" i="106" s="1"/>
  <c r="B7600" i="106"/>
  <c r="L6" i="11"/>
  <c r="B7605" i="106" s="1"/>
  <c r="A7250" i="106"/>
  <c r="A7251" i="106" s="1"/>
  <c r="A7252" i="106" s="1"/>
  <c r="A7253" i="106" s="1"/>
  <c r="A7254" i="106" s="1"/>
  <c r="A7255" i="106" s="1"/>
  <c r="A7256" i="106" s="1"/>
  <c r="A7257" i="106" s="1"/>
  <c r="B7618" i="106"/>
  <c r="L14" i="11"/>
  <c r="B7623" i="106" s="1"/>
  <c r="B7503" i="106"/>
  <c r="B7531" i="106"/>
  <c r="I49" i="8"/>
  <c r="B1977" i="106"/>
  <c r="D1977" i="106" s="1"/>
  <c r="H24" i="12"/>
  <c r="B1867" i="106"/>
  <c r="D1867" i="106" s="1"/>
  <c r="F15" i="8"/>
  <c r="L12" i="11"/>
  <c r="B2059" i="106" s="1"/>
  <c r="D2059" i="106" s="1"/>
  <c r="L8" i="11"/>
  <c r="B2057" i="106" s="1"/>
  <c r="D2057" i="106" s="1"/>
  <c r="G24" i="12"/>
  <c r="J19" i="145"/>
  <c r="D82" i="36" s="1"/>
  <c r="J24" i="12"/>
  <c r="B7730" i="106"/>
  <c r="D7730" i="106" s="1"/>
  <c r="B7270" i="106"/>
  <c r="B3411" i="106" l="1"/>
  <c r="D3411" i="106" s="1"/>
  <c r="D34" i="36"/>
  <c r="D7253" i="106"/>
  <c r="B273" i="106"/>
  <c r="D273" i="106" s="1"/>
  <c r="M23" i="3"/>
  <c r="I26" i="12"/>
  <c r="B7741" i="106" s="1"/>
  <c r="D7741" i="106" s="1"/>
  <c r="D7254" i="106"/>
  <c r="D7255" i="106"/>
  <c r="K28" i="118"/>
  <c r="O27" i="118" s="1"/>
  <c r="O29" i="118" s="1"/>
  <c r="L16" i="11"/>
  <c r="B2061" i="106" s="1"/>
  <c r="D2061" i="106" s="1"/>
  <c r="B1879" i="106"/>
  <c r="D1879" i="106" s="1"/>
  <c r="H22" i="37"/>
  <c r="L34" i="3"/>
  <c r="B2914" i="106"/>
  <c r="D2914" i="106" s="1"/>
  <c r="B7733" i="106"/>
  <c r="D7733" i="106" s="1"/>
  <c r="K26" i="12"/>
  <c r="B7743" i="106" s="1"/>
  <c r="D7743" i="106" s="1"/>
  <c r="B7760" i="106"/>
  <c r="D7760" i="106" s="1"/>
  <c r="D24" i="36"/>
  <c r="B3674" i="106"/>
  <c r="D3674" i="106" s="1"/>
  <c r="B1875" i="106"/>
  <c r="D1875" i="106" s="1"/>
  <c r="F22" i="37"/>
  <c r="B1983" i="106"/>
  <c r="D1983" i="106" s="1"/>
  <c r="H26" i="12"/>
  <c r="B7740" i="106" s="1"/>
  <c r="D7740" i="106" s="1"/>
  <c r="A7258" i="106"/>
  <c r="B7732" i="106"/>
  <c r="D7732" i="106" s="1"/>
  <c r="J26" i="12"/>
  <c r="B7742" i="106" s="1"/>
  <c r="D7742" i="106" s="1"/>
  <c r="B1958" i="106"/>
  <c r="D1958" i="106" s="1"/>
  <c r="G26" i="12"/>
  <c r="B7739" i="106" s="1"/>
  <c r="D7739" i="106" s="1"/>
  <c r="B4171" i="106"/>
  <c r="D4171" i="106" s="1"/>
  <c r="N36" i="3"/>
  <c r="B7298" i="106"/>
  <c r="B7299" i="106"/>
  <c r="B3414" i="106" l="1"/>
  <c r="D3414" i="106" s="1"/>
  <c r="D35" i="36"/>
  <c r="B5119" i="106"/>
  <c r="D5119" i="106" s="1"/>
  <c r="B5114" i="106"/>
  <c r="D5114" i="106" s="1"/>
  <c r="B279" i="106"/>
  <c r="D279" i="106" s="1"/>
  <c r="F24" i="37"/>
  <c r="B2916" i="106"/>
  <c r="D2916" i="106" s="1"/>
  <c r="L41" i="3"/>
  <c r="A7259" i="106"/>
  <c r="H37" i="37"/>
  <c r="B285" i="106"/>
  <c r="D285" i="106" s="1"/>
  <c r="N37" i="3"/>
  <c r="B6338" i="106" l="1"/>
  <c r="D6338" i="106" s="1"/>
  <c r="B6106" i="106"/>
  <c r="D6106" i="106" s="1"/>
  <c r="F21" i="34"/>
  <c r="B5569" i="106"/>
  <c r="D5569" i="106" s="1"/>
  <c r="B6343" i="106"/>
  <c r="D6343" i="106" s="1"/>
  <c r="B7660" i="106"/>
  <c r="D7660" i="106" s="1"/>
  <c r="B5883" i="106"/>
  <c r="D5883" i="106" s="1"/>
  <c r="J13" i="3"/>
  <c r="B6124" i="106" s="1"/>
  <c r="D6124" i="106" s="1"/>
  <c r="B6217" i="106"/>
  <c r="D6217" i="106" s="1"/>
  <c r="D41" i="36"/>
  <c r="B7681" i="106"/>
  <c r="D7681" i="106" s="1"/>
  <c r="B3257" i="106"/>
  <c r="D3257" i="106" s="1"/>
  <c r="B5358" i="106"/>
  <c r="D5358" i="106" s="1"/>
  <c r="B7684" i="106"/>
  <c r="D7684" i="106" s="1"/>
  <c r="B6150" i="106"/>
  <c r="D6150" i="106" s="1"/>
  <c r="B1687" i="106"/>
  <c r="D1687" i="106" s="1"/>
  <c r="B5559" i="106"/>
  <c r="D5559" i="106" s="1"/>
  <c r="D114" i="5"/>
  <c r="B5357" i="106"/>
  <c r="D5357" i="106" s="1"/>
  <c r="B6332" i="106"/>
  <c r="D6332" i="106" s="1"/>
  <c r="B6236" i="106"/>
  <c r="D6236" i="106" s="1"/>
  <c r="B3251" i="106"/>
  <c r="D3251" i="106" s="1"/>
  <c r="B6117" i="106"/>
  <c r="D6117" i="106" s="1"/>
  <c r="B7661" i="106"/>
  <c r="D7661" i="106" s="1"/>
  <c r="F86" i="34"/>
  <c r="B5566" i="106"/>
  <c r="D5566" i="106" s="1"/>
  <c r="B3253" i="106"/>
  <c r="D3253" i="106" s="1"/>
  <c r="B6121" i="106"/>
  <c r="D6121" i="106" s="1"/>
  <c r="B202" i="106"/>
  <c r="D202" i="106" s="1"/>
  <c r="B620" i="106"/>
  <c r="D620" i="106" s="1"/>
  <c r="B5576" i="106"/>
  <c r="D5576" i="106" s="1"/>
  <c r="F25" i="34"/>
  <c r="B4887" i="106"/>
  <c r="D4887" i="106" s="1"/>
  <c r="B2794" i="106"/>
  <c r="D2794" i="106" s="1"/>
  <c r="B6333" i="106"/>
  <c r="D6333" i="106" s="1"/>
  <c r="B4118" i="106"/>
  <c r="D4118" i="106" s="1"/>
  <c r="H18" i="4"/>
  <c r="B4134" i="106" s="1"/>
  <c r="D4134" i="106" s="1"/>
  <c r="B6128" i="106"/>
  <c r="D6128" i="106" s="1"/>
  <c r="F34" i="3"/>
  <c r="B169" i="106" s="1"/>
  <c r="D169" i="106" s="1"/>
  <c r="B5337" i="106"/>
  <c r="D5337" i="106" s="1"/>
  <c r="B6109" i="106"/>
  <c r="D6109" i="106" s="1"/>
  <c r="B7655" i="106"/>
  <c r="D7655" i="106" s="1"/>
  <c r="J121" i="5"/>
  <c r="B6353" i="106"/>
  <c r="D6353" i="106" s="1"/>
  <c r="B88" i="106"/>
  <c r="D88" i="106" s="1"/>
  <c r="B6349" i="106"/>
  <c r="D6349" i="106" s="1"/>
  <c r="B7044" i="106"/>
  <c r="D7044" i="106" s="1"/>
  <c r="B5152" i="106"/>
  <c r="D5152" i="106" s="1"/>
  <c r="B5519" i="106"/>
  <c r="D5519" i="106" s="1"/>
  <c r="E67" i="5"/>
  <c r="B5521" i="106" s="1"/>
  <c r="D5521" i="106" s="1"/>
  <c r="B4310" i="106"/>
  <c r="D4310" i="106" s="1"/>
  <c r="B5888" i="106"/>
  <c r="D5888" i="106" s="1"/>
  <c r="B6120" i="106"/>
  <c r="D6120" i="106" s="1"/>
  <c r="B6219" i="106"/>
  <c r="D6219" i="106" s="1"/>
  <c r="B4761" i="106"/>
  <c r="D4761" i="106" s="1"/>
  <c r="F103" i="34"/>
  <c r="F23" i="34"/>
  <c r="B5571" i="106"/>
  <c r="D5571" i="106" s="1"/>
  <c r="B6116" i="106"/>
  <c r="D6116" i="106" s="1"/>
  <c r="B6354" i="106"/>
  <c r="D6354" i="106" s="1"/>
  <c r="B5555" i="106"/>
  <c r="D5555" i="106" s="1"/>
  <c r="B7754" i="106"/>
  <c r="D7754" i="106" s="1"/>
  <c r="J44" i="4"/>
  <c r="B7654" i="106"/>
  <c r="D7654" i="106" s="1"/>
  <c r="B5089" i="106"/>
  <c r="D5089" i="106" s="1"/>
  <c r="B5872" i="106"/>
  <c r="D5872" i="106" s="1"/>
  <c r="B6291" i="106"/>
  <c r="D6291" i="106" s="1"/>
  <c r="B2887" i="106"/>
  <c r="D2887" i="106" s="1"/>
  <c r="B7678" i="106"/>
  <c r="D7678" i="106" s="1"/>
  <c r="B324" i="106"/>
  <c r="D324" i="106" s="1"/>
  <c r="B126" i="106"/>
  <c r="D126" i="106" s="1"/>
  <c r="B6179" i="106"/>
  <c r="D6179" i="106" s="1"/>
  <c r="B7670" i="106"/>
  <c r="D7670" i="106" s="1"/>
  <c r="B5079" i="106"/>
  <c r="D5079" i="106" s="1"/>
  <c r="B3531" i="106"/>
  <c r="D3531" i="106" s="1"/>
  <c r="B5370" i="106"/>
  <c r="D5370" i="106" s="1"/>
  <c r="D140" i="5"/>
  <c r="B5383" i="106" s="1"/>
  <c r="D5383" i="106" s="1"/>
  <c r="B6137" i="106"/>
  <c r="D6137" i="106" s="1"/>
  <c r="B5994" i="106"/>
  <c r="D5994" i="106" s="1"/>
  <c r="B173" i="106"/>
  <c r="D173" i="106" s="1"/>
  <c r="B6319" i="106"/>
  <c r="D6319" i="106" s="1"/>
  <c r="J108" i="5"/>
  <c r="B6351" i="106" s="1"/>
  <c r="D6351" i="106" s="1"/>
  <c r="B6180" i="106"/>
  <c r="D6180" i="106" s="1"/>
  <c r="B7" i="7"/>
  <c r="F12" i="5"/>
  <c r="B5557" i="106" s="1"/>
  <c r="D5557" i="106" s="1"/>
  <c r="B5553" i="106"/>
  <c r="D5553" i="106" s="1"/>
  <c r="B6244" i="106"/>
  <c r="D6244" i="106" s="1"/>
  <c r="B7667" i="106"/>
  <c r="D7667" i="106" s="1"/>
  <c r="B6101" i="106"/>
  <c r="D6101" i="106" s="1"/>
  <c r="B6096" i="106"/>
  <c r="D6096" i="106" s="1"/>
  <c r="B6336" i="106"/>
  <c r="D6336" i="106" s="1"/>
  <c r="B5142" i="106"/>
  <c r="D5142" i="106" s="1"/>
  <c r="B5078" i="106"/>
  <c r="D5078" i="106" s="1"/>
  <c r="B6250" i="106"/>
  <c r="D6250" i="106" s="1"/>
  <c r="H41" i="4"/>
  <c r="B6289" i="106" s="1"/>
  <c r="D6289" i="106" s="1"/>
  <c r="B6131" i="106"/>
  <c r="D6131" i="106" s="1"/>
  <c r="J34" i="3"/>
  <c r="B6191" i="106" s="1"/>
  <c r="D6191" i="106" s="1"/>
  <c r="B6247" i="106"/>
  <c r="D6247" i="106" s="1"/>
  <c r="B5988" i="106"/>
  <c r="D5988" i="106" s="1"/>
  <c r="K18" i="5"/>
  <c r="B5992" i="106" s="1"/>
  <c r="D5992" i="106" s="1"/>
  <c r="B5116" i="106"/>
  <c r="D5116" i="106" s="1"/>
  <c r="B6164" i="106"/>
  <c r="D6164" i="106" s="1"/>
  <c r="B2848" i="106"/>
  <c r="D2848" i="106" s="1"/>
  <c r="B5516" i="106"/>
  <c r="D5516" i="106" s="1"/>
  <c r="D73" i="36"/>
  <c r="B6290" i="106"/>
  <c r="D6290" i="106" s="1"/>
  <c r="B2757" i="106"/>
  <c r="D2757" i="106" s="1"/>
  <c r="D72" i="36"/>
  <c r="B6309" i="106"/>
  <c r="D6309" i="106" s="1"/>
  <c r="B5345" i="106"/>
  <c r="D5345" i="106" s="1"/>
  <c r="B5014" i="106"/>
  <c r="D5014" i="106" s="1"/>
  <c r="B6162" i="106"/>
  <c r="D6162" i="106" s="1"/>
  <c r="B6308" i="106"/>
  <c r="D6308" i="106" s="1"/>
  <c r="B6350" i="106"/>
  <c r="D6350" i="106" s="1"/>
  <c r="B7662" i="106"/>
  <c r="D7662" i="106" s="1"/>
  <c r="B6340" i="106"/>
  <c r="D6340" i="106" s="1"/>
  <c r="B6151" i="106"/>
  <c r="D6151" i="106" s="1"/>
  <c r="B5013" i="106"/>
  <c r="D5013" i="106" s="1"/>
  <c r="B5917" i="106"/>
  <c r="D5917" i="106" s="1"/>
  <c r="B72" i="106"/>
  <c r="D72" i="106" s="1"/>
  <c r="B5877" i="106"/>
  <c r="D5877" i="106" s="1"/>
  <c r="B3083" i="106"/>
  <c r="D3083" i="106" s="1"/>
  <c r="B3549" i="106"/>
  <c r="D3549" i="106" s="1"/>
  <c r="B6188" i="106"/>
  <c r="D6188" i="106" s="1"/>
  <c r="B1631" i="106"/>
  <c r="D1631" i="106" s="1"/>
  <c r="B6245" i="106"/>
  <c r="D6245" i="106" s="1"/>
  <c r="B5568" i="106"/>
  <c r="D5568" i="106" s="1"/>
  <c r="F20" i="34"/>
  <c r="B117" i="106"/>
  <c r="D117" i="106" s="1"/>
  <c r="F91" i="34"/>
  <c r="B5573" i="106"/>
  <c r="D5573" i="106" s="1"/>
  <c r="B134" i="106"/>
  <c r="D134" i="106" s="1"/>
  <c r="B5336" i="106"/>
  <c r="D5336" i="106" s="1"/>
  <c r="B5567" i="106"/>
  <c r="D5567" i="106" s="1"/>
  <c r="F19" i="34"/>
  <c r="B5986" i="106"/>
  <c r="D5986" i="106" s="1"/>
  <c r="B7671" i="106"/>
  <c r="D7671" i="106" s="1"/>
  <c r="B2766" i="106"/>
  <c r="D2766" i="106" s="1"/>
  <c r="B6118" i="106"/>
  <c r="D6118" i="106" s="1"/>
  <c r="F97" i="34"/>
  <c r="B5106" i="106"/>
  <c r="D5106" i="106" s="1"/>
  <c r="B6089" i="106"/>
  <c r="D6089" i="106" s="1"/>
  <c r="B6" i="7"/>
  <c r="E12" i="5"/>
  <c r="B5513" i="106" s="1"/>
  <c r="D5513" i="106" s="1"/>
  <c r="B5509" i="106"/>
  <c r="D5509" i="106" s="1"/>
  <c r="B5347" i="106"/>
  <c r="D5347" i="106" s="1"/>
  <c r="B7731" i="106"/>
  <c r="D7731" i="106" s="1"/>
  <c r="B5076" i="106"/>
  <c r="D5076" i="106" s="1"/>
  <c r="B6110" i="106"/>
  <c r="D6110" i="106" s="1"/>
  <c r="K34" i="3"/>
  <c r="B3565" i="106" s="1"/>
  <c r="D3565" i="106" s="1"/>
  <c r="B6132" i="106"/>
  <c r="D6132" i="106" s="1"/>
  <c r="B5072" i="106"/>
  <c r="D5072" i="106" s="1"/>
  <c r="C40" i="5"/>
  <c r="B5087" i="106" s="1"/>
  <c r="D5087" i="106" s="1"/>
  <c r="B6165" i="106"/>
  <c r="D6165" i="106" s="1"/>
  <c r="D18" i="4"/>
  <c r="B4132" i="106" s="1"/>
  <c r="D4132" i="106" s="1"/>
  <c r="B4114" i="106"/>
  <c r="D4114" i="106" s="1"/>
  <c r="B198" i="106"/>
  <c r="D198" i="106" s="1"/>
  <c r="C18" i="4"/>
  <c r="B4131" i="106" s="1"/>
  <c r="D4131" i="106" s="1"/>
  <c r="B4113" i="106"/>
  <c r="D4113" i="106" s="1"/>
  <c r="D78" i="36"/>
  <c r="B5575" i="106"/>
  <c r="D5575" i="106" s="1"/>
  <c r="F92" i="34"/>
  <c r="B3551" i="106"/>
  <c r="D3551" i="106" s="1"/>
  <c r="B108" i="106"/>
  <c r="D108" i="106" s="1"/>
  <c r="B4227" i="106"/>
  <c r="D4227" i="106" s="1"/>
  <c r="B5606" i="106"/>
  <c r="D5606" i="106" s="1"/>
  <c r="B6231" i="106"/>
  <c r="D6231" i="106" s="1"/>
  <c r="B6316" i="106"/>
  <c r="D6316" i="106" s="1"/>
  <c r="J67" i="5"/>
  <c r="B6318" i="106" s="1"/>
  <c r="D6318" i="106" s="1"/>
  <c r="B5026" i="106"/>
  <c r="D5026" i="106" s="1"/>
  <c r="B13" i="7"/>
  <c r="B5117" i="106"/>
  <c r="D5117" i="106" s="1"/>
  <c r="B5330" i="106"/>
  <c r="D5330" i="106" s="1"/>
  <c r="B9" i="7"/>
  <c r="H12" i="5"/>
  <c r="B5871" i="106"/>
  <c r="D5871" i="106" s="1"/>
  <c r="B5731" i="106"/>
  <c r="D5731" i="106" s="1"/>
  <c r="G67" i="5"/>
  <c r="B5733" i="106" s="1"/>
  <c r="D5733" i="106" s="1"/>
  <c r="B6342" i="106"/>
  <c r="D6342" i="106" s="1"/>
  <c r="B130" i="106"/>
  <c r="D130" i="106" s="1"/>
  <c r="B6187" i="106"/>
  <c r="D6187" i="106" s="1"/>
  <c r="B7683" i="106"/>
  <c r="D7683" i="106" s="1"/>
  <c r="B5346" i="106"/>
  <c r="D5346" i="106" s="1"/>
  <c r="B6085" i="106"/>
  <c r="D6085" i="106" s="1"/>
  <c r="B5729" i="106"/>
  <c r="D5729" i="106" s="1"/>
  <c r="B5101" i="106"/>
  <c r="D5101" i="106" s="1"/>
  <c r="B3580" i="106"/>
  <c r="D3580" i="106" s="1"/>
  <c r="B3079" i="106"/>
  <c r="D3079" i="106" s="1"/>
  <c r="B6143" i="106"/>
  <c r="D6143" i="106" s="1"/>
  <c r="B6107" i="106"/>
  <c r="D6107" i="106" s="1"/>
  <c r="B6111" i="106"/>
  <c r="D6111" i="106" s="1"/>
  <c r="B3519" i="106"/>
  <c r="D3519" i="106" s="1"/>
  <c r="H13" i="3"/>
  <c r="B203" i="106" s="1"/>
  <c r="D203" i="106" s="1"/>
  <c r="B6130" i="106"/>
  <c r="D6130" i="106" s="1"/>
  <c r="H34" i="3"/>
  <c r="B211" i="106" s="1"/>
  <c r="D211" i="106" s="1"/>
  <c r="B6233" i="106"/>
  <c r="D6233" i="106" s="1"/>
  <c r="B7675" i="106"/>
  <c r="D7675" i="106" s="1"/>
  <c r="B6086" i="106"/>
  <c r="D6086" i="106" s="1"/>
  <c r="B6341" i="106"/>
  <c r="D6341" i="106" s="1"/>
  <c r="B432" i="106"/>
  <c r="D432" i="106" s="1"/>
  <c r="B6156" i="106"/>
  <c r="D6156" i="106" s="1"/>
  <c r="B3581" i="106"/>
  <c r="D3581" i="106" s="1"/>
  <c r="B6148" i="106"/>
  <c r="D6148" i="106" s="1"/>
  <c r="B4884" i="106"/>
  <c r="D4884" i="106" s="1"/>
  <c r="B6158" i="106"/>
  <c r="D6158" i="106" s="1"/>
  <c r="B6345" i="106"/>
  <c r="D6345" i="106" s="1"/>
  <c r="B3589" i="106"/>
  <c r="D3589" i="106" s="1"/>
  <c r="B5" i="7"/>
  <c r="B5328" i="106"/>
  <c r="D5328" i="106" s="1"/>
  <c r="D12" i="5"/>
  <c r="B1645" i="106"/>
  <c r="D1645" i="106" s="1"/>
  <c r="B6177" i="106"/>
  <c r="D6177" i="106" s="1"/>
  <c r="B6258" i="106"/>
  <c r="D6258" i="106" s="1"/>
  <c r="B1659" i="106"/>
  <c r="D1659" i="106" s="1"/>
  <c r="K44" i="4"/>
  <c r="B3584" i="106" s="1"/>
  <c r="D3584" i="106" s="1"/>
  <c r="B7755" i="106"/>
  <c r="D7755" i="106" s="1"/>
  <c r="B6114" i="106"/>
  <c r="D6114" i="106" s="1"/>
  <c r="B5109" i="106"/>
  <c r="D5109" i="106" s="1"/>
  <c r="B5092" i="106"/>
  <c r="D5092" i="106" s="1"/>
  <c r="B5922" i="106"/>
  <c r="D5922" i="106" s="1"/>
  <c r="B10" i="7"/>
  <c r="B5916" i="106"/>
  <c r="D5916" i="106" s="1"/>
  <c r="I12" i="5"/>
  <c r="B5918" i="106" s="1"/>
  <c r="D5918" i="106" s="1"/>
  <c r="B6112" i="106"/>
  <c r="D6112" i="106" s="1"/>
  <c r="B5344" i="106"/>
  <c r="D5344" i="106" s="1"/>
  <c r="F24" i="34"/>
  <c r="B5574" i="106"/>
  <c r="D5574" i="106" s="1"/>
  <c r="B5561" i="106"/>
  <c r="D5561" i="106" s="1"/>
  <c r="B179" i="106"/>
  <c r="D179" i="106" s="1"/>
  <c r="B4874" i="106"/>
  <c r="D4874" i="106" s="1"/>
  <c r="B6362" i="106"/>
  <c r="D6362" i="106" s="1"/>
  <c r="B6305" i="106"/>
  <c r="D6305" i="106" s="1"/>
  <c r="B3548" i="106"/>
  <c r="D3548" i="106" s="1"/>
  <c r="B5085" i="106"/>
  <c r="D5085" i="106" s="1"/>
  <c r="B7658" i="106"/>
  <c r="D7658" i="106" s="1"/>
  <c r="B208" i="106"/>
  <c r="D208" i="106" s="1"/>
  <c r="B652" i="106"/>
  <c r="D652" i="106" s="1"/>
  <c r="B6329" i="106"/>
  <c r="D6329" i="106" s="1"/>
  <c r="B6084" i="106"/>
  <c r="D6084" i="106" s="1"/>
  <c r="B6163" i="106"/>
  <c r="D6163" i="106" s="1"/>
  <c r="B6081" i="106"/>
  <c r="D6081" i="106" s="1"/>
  <c r="B7656" i="106"/>
  <c r="D7656" i="106" s="1"/>
  <c r="B5064" i="106"/>
  <c r="D5064" i="106" s="1"/>
  <c r="B17" i="7"/>
  <c r="B11" i="7"/>
  <c r="J12" i="5"/>
  <c r="B6301" i="106" s="1"/>
  <c r="D6301" i="106" s="1"/>
  <c r="B6298" i="106"/>
  <c r="D6298" i="106" s="1"/>
  <c r="B5098" i="106"/>
  <c r="D5098" i="106" s="1"/>
  <c r="B7652" i="106"/>
  <c r="D7652" i="106" s="1"/>
  <c r="B3316" i="106"/>
  <c r="D3316" i="106" s="1"/>
  <c r="B6218" i="106"/>
  <c r="D6218" i="106" s="1"/>
  <c r="B6176" i="106"/>
  <c r="D6176" i="106" s="1"/>
  <c r="B5139" i="106"/>
  <c r="D5139" i="106" s="1"/>
  <c r="B5525" i="106"/>
  <c r="D5525" i="106" s="1"/>
  <c r="B5352" i="106"/>
  <c r="D5352" i="106" s="1"/>
  <c r="B651" i="106"/>
  <c r="D651" i="106" s="1"/>
  <c r="B6254" i="106"/>
  <c r="D6254" i="106" s="1"/>
  <c r="B5590" i="106"/>
  <c r="D5590" i="106" s="1"/>
  <c r="F98" i="34"/>
  <c r="B5107" i="106"/>
  <c r="D5107" i="106" s="1"/>
  <c r="F90" i="34"/>
  <c r="B6314" i="106"/>
  <c r="D6314" i="106" s="1"/>
  <c r="B5743" i="106"/>
  <c r="D5743" i="106" s="1"/>
  <c r="B3078" i="106"/>
  <c r="D3078" i="106" s="1"/>
  <c r="B5333" i="106"/>
  <c r="D5333" i="106" s="1"/>
  <c r="B5127" i="106"/>
  <c r="D5127" i="106" s="1"/>
  <c r="B6242" i="106"/>
  <c r="D6242" i="106" s="1"/>
  <c r="B5570" i="106"/>
  <c r="D5570" i="106" s="1"/>
  <c r="F88" i="34"/>
  <c r="B97" i="106"/>
  <c r="D97" i="106" s="1"/>
  <c r="D13" i="3"/>
  <c r="B109" i="106" s="1"/>
  <c r="D109" i="106" s="1"/>
  <c r="B5094" i="106"/>
  <c r="D5094" i="106" s="1"/>
  <c r="C93" i="5"/>
  <c r="B5112" i="106" s="1"/>
  <c r="D5112" i="106" s="1"/>
  <c r="B5103" i="106"/>
  <c r="D5103" i="106" s="1"/>
  <c r="F96" i="34"/>
  <c r="B6105" i="106"/>
  <c r="D6105" i="106" s="1"/>
  <c r="B6000" i="106"/>
  <c r="D6000" i="106" s="1"/>
  <c r="K121" i="5"/>
  <c r="B6006" i="106" s="1"/>
  <c r="D6006" i="106" s="1"/>
  <c r="B5074" i="106"/>
  <c r="D5074" i="106" s="1"/>
  <c r="B5349" i="106"/>
  <c r="D5349" i="106" s="1"/>
  <c r="D108" i="5"/>
  <c r="B5355" i="106" s="1"/>
  <c r="D5355" i="106" s="1"/>
  <c r="B6185" i="106"/>
  <c r="D6185" i="106" s="1"/>
  <c r="B5740" i="106"/>
  <c r="D5740" i="106" s="1"/>
  <c r="B6249" i="106"/>
  <c r="D6249" i="106" s="1"/>
  <c r="C82" i="5"/>
  <c r="B5097" i="106"/>
  <c r="D5097" i="106" s="1"/>
  <c r="B6123" i="106"/>
  <c r="D6123" i="106" s="1"/>
  <c r="B5585" i="106"/>
  <c r="D5585" i="106" s="1"/>
  <c r="B119" i="106"/>
  <c r="D119" i="106" s="1"/>
  <c r="B7636" i="106"/>
  <c r="B5736" i="106"/>
  <c r="D5736" i="106" s="1"/>
  <c r="B5115" i="106"/>
  <c r="D5115" i="106" s="1"/>
  <c r="F102" i="34"/>
  <c r="B6092" i="106"/>
  <c r="D6092" i="106" s="1"/>
  <c r="F93" i="34"/>
  <c r="B7764" i="106"/>
  <c r="D7764" i="106" s="1"/>
  <c r="B2763" i="106"/>
  <c r="D2763" i="106" s="1"/>
  <c r="B5739" i="106"/>
  <c r="D5739" i="106" s="1"/>
  <c r="B6356" i="106"/>
  <c r="D6356" i="106" s="1"/>
  <c r="B6355" i="106"/>
  <c r="D6355" i="106" s="1"/>
  <c r="B5118" i="106"/>
  <c r="D5118" i="106" s="1"/>
  <c r="F104" i="34"/>
  <c r="B5375" i="106"/>
  <c r="D5375" i="106" s="1"/>
  <c r="G76" i="4"/>
  <c r="B3260" i="106" s="1"/>
  <c r="D3260" i="106" s="1"/>
  <c r="B3259" i="106"/>
  <c r="D3259" i="106" s="1"/>
  <c r="B3082" i="106"/>
  <c r="D3082" i="106" s="1"/>
  <c r="B6140" i="106"/>
  <c r="D6140" i="106" s="1"/>
  <c r="B6172" i="106"/>
  <c r="D6172" i="106" s="1"/>
  <c r="B152" i="106"/>
  <c r="D152" i="106" s="1"/>
  <c r="B5565" i="106"/>
  <c r="D5565" i="106" s="1"/>
  <c r="F85" i="34"/>
  <c r="B6235" i="106"/>
  <c r="D6235" i="106" s="1"/>
  <c r="B6104" i="106"/>
  <c r="D6104" i="106" s="1"/>
  <c r="B6001" i="106"/>
  <c r="D6001" i="106" s="1"/>
  <c r="F131" i="5"/>
  <c r="B5600" i="106"/>
  <c r="D5600" i="106" s="1"/>
  <c r="B4883" i="106"/>
  <c r="D4883" i="106" s="1"/>
  <c r="B5082" i="106"/>
  <c r="D5082" i="106" s="1"/>
  <c r="B5100" i="106"/>
  <c r="D5100" i="106" s="1"/>
  <c r="B7668" i="106"/>
  <c r="D7668" i="106" s="1"/>
  <c r="B7750" i="106"/>
  <c r="D7750" i="106" s="1"/>
  <c r="B6178" i="106"/>
  <c r="D6178" i="106" s="1"/>
  <c r="B76" i="106"/>
  <c r="D76" i="106" s="1"/>
  <c r="B6307" i="106"/>
  <c r="D6307" i="106" s="1"/>
  <c r="B5075" i="106"/>
  <c r="D5075" i="106" s="1"/>
  <c r="B6324" i="106"/>
  <c r="D6324" i="106" s="1"/>
  <c r="B4217" i="106"/>
  <c r="D4217" i="106" s="1"/>
  <c r="K18" i="4"/>
  <c r="B4135" i="106" s="1"/>
  <c r="D4135" i="106" s="1"/>
  <c r="B4121" i="106"/>
  <c r="D4121" i="106" s="1"/>
  <c r="K12" i="5"/>
  <c r="B12" i="7"/>
  <c r="B5985" i="106"/>
  <c r="D5985" i="106" s="1"/>
  <c r="B6322" i="106"/>
  <c r="D6322" i="106" s="1"/>
  <c r="B6175" i="106"/>
  <c r="D6175" i="106" s="1"/>
  <c r="B6159" i="106"/>
  <c r="D6159" i="106" s="1"/>
  <c r="B5099" i="106"/>
  <c r="D5099" i="106" s="1"/>
  <c r="B7046" i="106"/>
  <c r="D7046" i="106" s="1"/>
  <c r="B5724" i="106"/>
  <c r="D5724" i="106" s="1"/>
  <c r="B6256" i="106"/>
  <c r="D6256" i="106" s="1"/>
  <c r="B5353" i="106"/>
  <c r="D5353" i="106" s="1"/>
  <c r="B5515" i="106"/>
  <c r="D5515" i="106" s="1"/>
  <c r="B5578" i="106"/>
  <c r="D5578" i="106" s="1"/>
  <c r="F27" i="34"/>
  <c r="B6100" i="106"/>
  <c r="D6100" i="106" s="1"/>
  <c r="B5529" i="106"/>
  <c r="D5529" i="106" s="1"/>
  <c r="B6154" i="106"/>
  <c r="D6154" i="106" s="1"/>
  <c r="H67" i="5"/>
  <c r="B5881" i="106" s="1"/>
  <c r="D5881" i="106" s="1"/>
  <c r="B5879" i="106"/>
  <c r="D5879" i="106" s="1"/>
  <c r="B6173" i="106"/>
  <c r="D6173" i="106" s="1"/>
  <c r="B3161" i="106"/>
  <c r="D3161" i="106" s="1"/>
  <c r="H51" i="4"/>
  <c r="B3170" i="106" s="1"/>
  <c r="D3170" i="106" s="1"/>
  <c r="B5609" i="106"/>
  <c r="D5609" i="106" s="1"/>
  <c r="B5350" i="106"/>
  <c r="D5350" i="106" s="1"/>
  <c r="B6082" i="106"/>
  <c r="D6082" i="106" s="1"/>
  <c r="B5591" i="106"/>
  <c r="D5591" i="106" s="1"/>
  <c r="B5920" i="106"/>
  <c r="D5920" i="106" s="1"/>
  <c r="G108" i="5"/>
  <c r="B5737" i="106" s="1"/>
  <c r="D5737" i="106" s="1"/>
  <c r="B5734" i="106"/>
  <c r="D5734" i="106" s="1"/>
  <c r="B5080" i="106"/>
  <c r="D5080" i="106" s="1"/>
  <c r="D40" i="36"/>
  <c r="I13" i="3"/>
  <c r="B2888" i="106" s="1"/>
  <c r="D2888" i="106" s="1"/>
  <c r="B3427" i="106"/>
  <c r="D3427" i="106" s="1"/>
  <c r="B4881" i="106"/>
  <c r="D4881" i="106" s="1"/>
  <c r="B5070" i="106"/>
  <c r="D5070" i="106" s="1"/>
  <c r="B6161" i="106"/>
  <c r="D6161" i="106" s="1"/>
  <c r="B5331" i="106"/>
  <c r="D5331" i="106" s="1"/>
  <c r="B5104" i="106"/>
  <c r="D5104" i="106" s="1"/>
  <c r="B5921" i="106"/>
  <c r="D5921" i="106" s="1"/>
  <c r="B6181" i="106"/>
  <c r="D6181" i="106" s="1"/>
  <c r="B5343" i="106"/>
  <c r="D5343" i="106" s="1"/>
  <c r="D82" i="5"/>
  <c r="B5348" i="106" s="1"/>
  <c r="D5348" i="106" s="1"/>
  <c r="B5604" i="106"/>
  <c r="D5604" i="106" s="1"/>
  <c r="B6144" i="106"/>
  <c r="D6144" i="106" s="1"/>
  <c r="B6251" i="106"/>
  <c r="D6251" i="106" s="1"/>
  <c r="B2769" i="106"/>
  <c r="D2769" i="106" s="1"/>
  <c r="D71" i="36"/>
  <c r="B5012" i="106"/>
  <c r="D5012" i="106" s="1"/>
  <c r="B653" i="106"/>
  <c r="D653" i="106" s="1"/>
  <c r="B6083" i="106"/>
  <c r="D6083" i="106" s="1"/>
  <c r="D38" i="36"/>
  <c r="G13" i="3"/>
  <c r="B180" i="106" s="1"/>
  <c r="D180" i="106" s="1"/>
  <c r="B3422" i="106"/>
  <c r="D3422" i="106" s="1"/>
  <c r="B5135" i="106"/>
  <c r="D5135" i="106" s="1"/>
  <c r="B6295" i="106"/>
  <c r="D6295" i="106" s="1"/>
  <c r="G44" i="4"/>
  <c r="B7752" i="106"/>
  <c r="D7752" i="106" s="1"/>
  <c r="B3228" i="106"/>
  <c r="D3228" i="106" s="1"/>
  <c r="B5929" i="106"/>
  <c r="D5929" i="106" s="1"/>
  <c r="B6167" i="106"/>
  <c r="D6167" i="106" s="1"/>
  <c r="B2817" i="106"/>
  <c r="D2817" i="106" s="1"/>
  <c r="E76" i="4"/>
  <c r="B3276" i="106" s="1"/>
  <c r="D3276" i="106" s="1"/>
  <c r="B6310" i="106"/>
  <c r="D6310" i="106" s="1"/>
  <c r="B6113" i="106"/>
  <c r="D6113" i="106" s="1"/>
  <c r="B6239" i="106"/>
  <c r="D6239" i="106" s="1"/>
  <c r="J76" i="4"/>
  <c r="B6261" i="106" s="1"/>
  <c r="D6261" i="106" s="1"/>
  <c r="G114" i="5"/>
  <c r="B5738" i="106"/>
  <c r="D5738" i="106" s="1"/>
  <c r="B6320" i="106"/>
  <c r="D6320" i="106" s="1"/>
  <c r="B5073" i="106"/>
  <c r="D5073" i="106" s="1"/>
  <c r="B184" i="106"/>
  <c r="D184" i="106" s="1"/>
  <c r="B5602" i="106"/>
  <c r="D5602" i="106" s="1"/>
  <c r="B323" i="106"/>
  <c r="D323" i="106" s="1"/>
  <c r="D68" i="36"/>
  <c r="B7653" i="106"/>
  <c r="D7653" i="106" s="1"/>
  <c r="B5338" i="106"/>
  <c r="D5338" i="106" s="1"/>
  <c r="B185" i="106"/>
  <c r="D185" i="106" s="1"/>
  <c r="B4311" i="106"/>
  <c r="D4311" i="106" s="1"/>
  <c r="B5524" i="106"/>
  <c r="D5524" i="106" s="1"/>
  <c r="D67" i="5"/>
  <c r="B5342" i="106" s="1"/>
  <c r="D5342" i="106" s="1"/>
  <c r="B5340" i="106"/>
  <c r="D5340" i="106" s="1"/>
  <c r="B5925" i="106"/>
  <c r="D5925" i="106" s="1"/>
  <c r="H108" i="5"/>
  <c r="B5886" i="106" s="1"/>
  <c r="D5886" i="106" s="1"/>
  <c r="B5882" i="106"/>
  <c r="D5882" i="106" s="1"/>
  <c r="B5361" i="106"/>
  <c r="D5361" i="106" s="1"/>
  <c r="D121" i="5"/>
  <c r="B5367" i="106" s="1"/>
  <c r="D5367" i="106" s="1"/>
  <c r="B5093" i="106"/>
  <c r="D5093" i="106" s="1"/>
  <c r="B5110" i="106"/>
  <c r="D5110" i="106" s="1"/>
  <c r="F99" i="34"/>
  <c r="B6346" i="106"/>
  <c r="D6346" i="106" s="1"/>
  <c r="B6183" i="106"/>
  <c r="D6183" i="106" s="1"/>
  <c r="B6166" i="106"/>
  <c r="D6166" i="106" s="1"/>
  <c r="B6152" i="106"/>
  <c r="D6152" i="106" s="1"/>
  <c r="B7666" i="106"/>
  <c r="D7666" i="106" s="1"/>
  <c r="B6094" i="106"/>
  <c r="D6094" i="106" s="1"/>
  <c r="B5884" i="106"/>
  <c r="D5884" i="106" s="1"/>
  <c r="B6031" i="106"/>
  <c r="D6031" i="106" s="1"/>
  <c r="C75" i="5"/>
  <c r="C140" i="5"/>
  <c r="B5148" i="106"/>
  <c r="D5148" i="106" s="1"/>
  <c r="B5919" i="106"/>
  <c r="D5919" i="106" s="1"/>
  <c r="I18" i="5"/>
  <c r="B5923" i="106" s="1"/>
  <c r="D5923" i="106" s="1"/>
  <c r="B5362" i="106"/>
  <c r="D5362" i="106" s="1"/>
  <c r="B3321" i="106"/>
  <c r="D3321" i="106" s="1"/>
  <c r="B5875" i="106"/>
  <c r="D5875" i="106" s="1"/>
  <c r="B5335" i="106"/>
  <c r="D5335" i="106" s="1"/>
  <c r="D18" i="5"/>
  <c r="B5339" i="106" s="1"/>
  <c r="D5339" i="106" s="1"/>
  <c r="B5111" i="106"/>
  <c r="D5111" i="106" s="1"/>
  <c r="F100" i="34"/>
  <c r="B7686" i="106"/>
  <c r="D7686" i="106" s="1"/>
  <c r="B6255" i="106"/>
  <c r="D6255" i="106" s="1"/>
  <c r="B6091" i="106"/>
  <c r="D6091" i="106" s="1"/>
  <c r="B5108" i="106"/>
  <c r="D5108" i="106" s="1"/>
  <c r="B6153" i="106"/>
  <c r="D6153" i="106" s="1"/>
  <c r="B7685" i="106"/>
  <c r="D7685" i="106" s="1"/>
  <c r="B3080" i="106"/>
  <c r="D3080" i="106" s="1"/>
  <c r="B4117" i="106"/>
  <c r="D4117" i="106" s="1"/>
  <c r="G18" i="4"/>
  <c r="B4176" i="106" s="1"/>
  <c r="D4176" i="106" s="1"/>
  <c r="B5989" i="106"/>
  <c r="D5989" i="106" s="1"/>
  <c r="B7674" i="106"/>
  <c r="D7674" i="106" s="1"/>
  <c r="B6364" i="106"/>
  <c r="D6364" i="106" s="1"/>
  <c r="B3577" i="106"/>
  <c r="D3577" i="106" s="1"/>
  <c r="B4886" i="106"/>
  <c r="D4886" i="106" s="1"/>
  <c r="B3295" i="106"/>
  <c r="D3295" i="106" s="1"/>
  <c r="B5577" i="106"/>
  <c r="D5577" i="106" s="1"/>
  <c r="F26" i="34"/>
  <c r="B4877" i="106"/>
  <c r="D4877" i="106" s="1"/>
  <c r="B5061" i="106"/>
  <c r="D5061" i="106" s="1"/>
  <c r="C12" i="5"/>
  <c r="B5066" i="106" s="1"/>
  <c r="D5066" i="106" s="1"/>
  <c r="B4" i="7"/>
  <c r="G34" i="3"/>
  <c r="B188" i="106" s="1"/>
  <c r="D188" i="106" s="1"/>
  <c r="B6129" i="106"/>
  <c r="D6129" i="106" s="1"/>
  <c r="H24" i="118"/>
  <c r="F13" i="3"/>
  <c r="B157" i="106" s="1"/>
  <c r="D157" i="106" s="1"/>
  <c r="B3419" i="106"/>
  <c r="D3419" i="106" s="1"/>
  <c r="D37" i="36"/>
  <c r="B6168" i="106"/>
  <c r="D6168" i="106" s="1"/>
  <c r="B501" i="106"/>
  <c r="D501" i="106" s="1"/>
  <c r="B5095" i="106"/>
  <c r="D5095" i="106" s="1"/>
  <c r="B6157" i="106"/>
  <c r="D6157" i="106" s="1"/>
  <c r="B6323" i="106"/>
  <c r="D6323" i="106" s="1"/>
  <c r="B5359" i="106"/>
  <c r="D5359" i="106" s="1"/>
  <c r="B6147" i="106"/>
  <c r="D6147" i="106" s="1"/>
  <c r="B3273" i="106"/>
  <c r="D3273" i="106" s="1"/>
  <c r="B3561" i="106"/>
  <c r="D3561" i="106" s="1"/>
  <c r="B7676" i="106"/>
  <c r="D7676" i="106" s="1"/>
  <c r="B6224" i="106"/>
  <c r="D6224" i="106" s="1"/>
  <c r="J18" i="4"/>
  <c r="B6228" i="106" s="1"/>
  <c r="D6228" i="106" s="1"/>
  <c r="B3084" i="106"/>
  <c r="D3084" i="106" s="1"/>
  <c r="C76" i="4"/>
  <c r="B3231" i="106" s="1"/>
  <c r="D3231" i="106" s="1"/>
  <c r="B5022" i="106"/>
  <c r="D5022" i="106" s="1"/>
  <c r="B6264" i="106"/>
  <c r="D6264" i="106" s="1"/>
  <c r="B5134" i="106"/>
  <c r="D5134" i="106" s="1"/>
  <c r="B5887" i="106"/>
  <c r="D5887" i="106" s="1"/>
  <c r="H121" i="5"/>
  <c r="B5893" i="106" s="1"/>
  <c r="D5893" i="106" s="1"/>
  <c r="K52" i="4"/>
  <c r="B3698" i="106"/>
  <c r="D3698" i="106" s="1"/>
  <c r="B6190" i="106"/>
  <c r="D6190" i="106" s="1"/>
  <c r="B6098" i="106"/>
  <c r="D6098" i="106" s="1"/>
  <c r="B6088" i="106"/>
  <c r="D6088" i="106" s="1"/>
  <c r="B5077" i="106"/>
  <c r="D5077" i="106" s="1"/>
  <c r="B5722" i="106"/>
  <c r="D5722" i="106" s="1"/>
  <c r="G12" i="5"/>
  <c r="C18" i="5"/>
  <c r="B5071" i="106" s="1"/>
  <c r="D5071" i="106" s="1"/>
  <c r="B5067" i="106"/>
  <c r="D5067" i="106" s="1"/>
  <c r="B6348" i="106"/>
  <c r="D6348" i="106" s="1"/>
  <c r="B156" i="106"/>
  <c r="D156" i="106" s="1"/>
  <c r="B7665" i="106"/>
  <c r="D7665" i="106" s="1"/>
  <c r="B145" i="106"/>
  <c r="D145" i="106" s="1"/>
  <c r="B5512" i="106"/>
  <c r="D5512" i="106" s="1"/>
  <c r="B4876" i="106"/>
  <c r="D4876" i="106" s="1"/>
  <c r="B86" i="106"/>
  <c r="D86" i="106" s="1"/>
  <c r="B5723" i="106"/>
  <c r="D5723" i="106" s="1"/>
  <c r="B16" i="7"/>
  <c r="B3446" i="106" s="1"/>
  <c r="D3446" i="106" s="1"/>
  <c r="B5517" i="106"/>
  <c r="D5517" i="106" s="1"/>
  <c r="B6330" i="106"/>
  <c r="D6330" i="106" s="1"/>
  <c r="B6141" i="106"/>
  <c r="D6141" i="106" s="1"/>
  <c r="B5351" i="106"/>
  <c r="D5351" i="106" s="1"/>
  <c r="B3297" i="106"/>
  <c r="D3297" i="106" s="1"/>
  <c r="B5998" i="106"/>
  <c r="D5998" i="106" s="1"/>
  <c r="B6248" i="106"/>
  <c r="D6248" i="106" s="1"/>
  <c r="E40" i="4"/>
  <c r="B6288" i="106" s="1"/>
  <c r="D6288" i="106" s="1"/>
  <c r="B3534" i="106"/>
  <c r="D3534" i="106" s="1"/>
  <c r="B6328" i="106"/>
  <c r="D6328" i="106" s="1"/>
  <c r="D12" i="171"/>
  <c r="B5123" i="106"/>
  <c r="D5123" i="106" s="1"/>
  <c r="B5368" i="106"/>
  <c r="D5368" i="106" s="1"/>
  <c r="D131" i="5"/>
  <c r="B5924" i="106"/>
  <c r="D5924" i="106" s="1"/>
  <c r="I67" i="5"/>
  <c r="B5926" i="106" s="1"/>
  <c r="D5926" i="106" s="1"/>
  <c r="B500" i="106"/>
  <c r="D500" i="106" s="1"/>
  <c r="B6259" i="106"/>
  <c r="D6259" i="106" s="1"/>
  <c r="B6186" i="106"/>
  <c r="D6186" i="106" s="1"/>
  <c r="B7637" i="106"/>
  <c r="B5996" i="106"/>
  <c r="D5996" i="106" s="1"/>
  <c r="K108" i="5"/>
  <c r="B5999" i="106" s="1"/>
  <c r="D5999" i="106" s="1"/>
  <c r="B6292" i="106"/>
  <c r="D6292" i="106" s="1"/>
  <c r="B5727" i="106"/>
  <c r="D5727" i="106" s="1"/>
  <c r="B5522" i="106"/>
  <c r="D5522" i="106" s="1"/>
  <c r="E108" i="5"/>
  <c r="B5526" i="106" s="1"/>
  <c r="D5526" i="106" s="1"/>
  <c r="B6171" i="106"/>
  <c r="D6171" i="106" s="1"/>
  <c r="B166" i="106"/>
  <c r="D166" i="106" s="1"/>
  <c r="B5332" i="106"/>
  <c r="D5332" i="106" s="1"/>
  <c r="B6135" i="106"/>
  <c r="D6135" i="106" s="1"/>
  <c r="B7672" i="106"/>
  <c r="D7672" i="106" s="1"/>
  <c r="B2908" i="106"/>
  <c r="D2908" i="106" s="1"/>
  <c r="F18" i="4"/>
  <c r="B4133" i="106" s="1"/>
  <c r="D4133" i="106" s="1"/>
  <c r="B4116" i="106"/>
  <c r="D4116" i="106" s="1"/>
  <c r="B5735" i="106"/>
  <c r="D5735" i="106" s="1"/>
  <c r="B2760" i="106"/>
  <c r="D2760" i="106" s="1"/>
  <c r="B5580" i="106"/>
  <c r="D5580" i="106" s="1"/>
  <c r="F67" i="5"/>
  <c r="B5582" i="106" s="1"/>
  <c r="D5582" i="106" s="1"/>
  <c r="B5088" i="106"/>
  <c r="D5088" i="106" s="1"/>
  <c r="C67" i="5"/>
  <c r="B5090" i="106" s="1"/>
  <c r="D5090" i="106" s="1"/>
  <c r="B2762" i="106"/>
  <c r="D2762" i="106" s="1"/>
  <c r="B5083" i="106"/>
  <c r="D5083" i="106" s="1"/>
  <c r="B6363" i="106"/>
  <c r="D6363" i="106" s="1"/>
  <c r="B6174" i="106"/>
  <c r="D6174" i="106" s="1"/>
  <c r="K67" i="5"/>
  <c r="B5995" i="106" s="1"/>
  <c r="D5995" i="106" s="1"/>
  <c r="B5993" i="106"/>
  <c r="D5993" i="106" s="1"/>
  <c r="B4879" i="106"/>
  <c r="D4879" i="106" s="1"/>
  <c r="B6097" i="106"/>
  <c r="D6097" i="106" s="1"/>
  <c r="B3230" i="106"/>
  <c r="D3230" i="106" s="1"/>
  <c r="B6312" i="106"/>
  <c r="D6312" i="106" s="1"/>
  <c r="F87" i="34"/>
  <c r="B7728" i="106"/>
  <c r="D7728" i="106" s="1"/>
  <c r="B6359" i="106"/>
  <c r="D6359" i="106" s="1"/>
  <c r="B5523" i="106"/>
  <c r="D5523" i="106" s="1"/>
  <c r="B1673" i="106"/>
  <c r="D1673" i="106" s="1"/>
  <c r="B7639" i="106"/>
  <c r="B4878" i="106"/>
  <c r="D4878" i="106" s="1"/>
  <c r="B3533" i="106"/>
  <c r="D3533" i="106" s="1"/>
  <c r="B7682" i="106"/>
  <c r="D7682" i="106" s="1"/>
  <c r="B6090" i="106"/>
  <c r="D6090" i="106" s="1"/>
  <c r="B6103" i="106"/>
  <c r="D6103" i="106" s="1"/>
  <c r="B206" i="106"/>
  <c r="D206" i="106" s="1"/>
  <c r="B65" i="106"/>
  <c r="D65" i="106" s="1"/>
  <c r="C13" i="3"/>
  <c r="B77" i="106" s="1"/>
  <c r="D77" i="106" s="1"/>
  <c r="B6303" i="106"/>
  <c r="D6303" i="106" s="1"/>
  <c r="B104" i="106"/>
  <c r="D104" i="106" s="1"/>
  <c r="E34" i="3"/>
  <c r="B139" i="106" s="1"/>
  <c r="D139" i="106" s="1"/>
  <c r="B6127" i="106"/>
  <c r="D6127" i="106" s="1"/>
  <c r="B7663" i="106"/>
  <c r="D7663" i="106" s="1"/>
  <c r="B6304" i="106"/>
  <c r="D6304" i="106" s="1"/>
  <c r="B5564" i="106"/>
  <c r="D5564" i="106" s="1"/>
  <c r="F18" i="34"/>
  <c r="B6360" i="106"/>
  <c r="D6360" i="106" s="1"/>
  <c r="B3583" i="106"/>
  <c r="D3583" i="106" s="1"/>
  <c r="B5601" i="106"/>
  <c r="D5601" i="106" s="1"/>
  <c r="B5880" i="106"/>
  <c r="D5880" i="106" s="1"/>
  <c r="F28" i="34"/>
  <c r="B6315" i="106"/>
  <c r="D6315" i="106" s="1"/>
  <c r="B6146" i="106"/>
  <c r="D6146" i="106" s="1"/>
  <c r="B3493" i="106"/>
  <c r="D3493" i="106" s="1"/>
  <c r="B3532" i="106"/>
  <c r="D3532" i="106" s="1"/>
  <c r="B3550" i="106"/>
  <c r="D3550" i="106" s="1"/>
  <c r="J18" i="5"/>
  <c r="B6306" i="106" s="1"/>
  <c r="D6306" i="106" s="1"/>
  <c r="B6302" i="106"/>
  <c r="D6302" i="106" s="1"/>
  <c r="B6189" i="106"/>
  <c r="D6189" i="106" s="1"/>
  <c r="H18" i="5"/>
  <c r="B5878" i="106" s="1"/>
  <c r="D5878" i="106" s="1"/>
  <c r="B5874" i="106"/>
  <c r="D5874" i="106" s="1"/>
  <c r="B3234" i="106"/>
  <c r="D3234" i="106" s="1"/>
  <c r="B5354" i="106"/>
  <c r="D5354" i="106" s="1"/>
  <c r="K53" i="4"/>
  <c r="B3703" i="106" s="1"/>
  <c r="D3703" i="106" s="1"/>
  <c r="B3699" i="106"/>
  <c r="D3699" i="106" s="1"/>
  <c r="B5520" i="106"/>
  <c r="D5520" i="106" s="1"/>
  <c r="B6155" i="106"/>
  <c r="D6155" i="106" s="1"/>
  <c r="B7657" i="106"/>
  <c r="D7657" i="106" s="1"/>
  <c r="B1617" i="106"/>
  <c r="D1617" i="106" s="1"/>
  <c r="B6133" i="106"/>
  <c r="D6133" i="106" s="1"/>
  <c r="B6246" i="106"/>
  <c r="D6246" i="106" s="1"/>
  <c r="E39" i="4"/>
  <c r="B6287" i="106" s="1"/>
  <c r="D6287" i="106" s="1"/>
  <c r="B6232" i="106"/>
  <c r="D6232" i="106" s="1"/>
  <c r="C108" i="5"/>
  <c r="B5120" i="106" s="1"/>
  <c r="D5120" i="106" s="1"/>
  <c r="F101" i="34"/>
  <c r="B5113" i="106"/>
  <c r="D5113" i="106" s="1"/>
  <c r="B4230" i="106"/>
  <c r="D4230" i="106" s="1"/>
  <c r="B6299" i="106"/>
  <c r="D6299" i="106" s="1"/>
  <c r="B619" i="106"/>
  <c r="D619" i="106" s="1"/>
  <c r="B2758" i="106"/>
  <c r="D2758" i="106" s="1"/>
  <c r="B6182" i="106"/>
  <c r="D6182" i="106" s="1"/>
  <c r="D34" i="3"/>
  <c r="B122" i="106" s="1"/>
  <c r="D122" i="106" s="1"/>
  <c r="B6126" i="106"/>
  <c r="D6126" i="106" s="1"/>
  <c r="B7673" i="106"/>
  <c r="D7673" i="106" s="1"/>
  <c r="B7638" i="106"/>
  <c r="B3492" i="106"/>
  <c r="D3492" i="106" s="1"/>
  <c r="B6169" i="106"/>
  <c r="D6169" i="106" s="1"/>
  <c r="B6243" i="106"/>
  <c r="D6243" i="106" s="1"/>
  <c r="E38" i="4"/>
  <c r="B6286" i="106" s="1"/>
  <c r="D6286" i="106" s="1"/>
  <c r="B6234" i="106"/>
  <c r="D6234" i="106" s="1"/>
  <c r="B3579" i="106"/>
  <c r="D3579" i="106" s="1"/>
  <c r="B3585" i="106"/>
  <c r="D3585" i="106" s="1"/>
  <c r="B5876" i="106"/>
  <c r="D5876" i="106" s="1"/>
  <c r="B6335" i="106"/>
  <c r="D6335" i="106" s="1"/>
  <c r="B6119" i="106"/>
  <c r="D6119" i="106" s="1"/>
  <c r="B6099" i="106"/>
  <c r="D6099" i="106" s="1"/>
  <c r="B7043" i="106"/>
  <c r="D7043" i="106" s="1"/>
  <c r="D36" i="36"/>
  <c r="E13" i="3"/>
  <c r="B131" i="106" s="1"/>
  <c r="D131" i="106" s="1"/>
  <c r="B3417" i="106"/>
  <c r="D3417" i="106" s="1"/>
  <c r="B6296" i="106"/>
  <c r="D6296" i="106" s="1"/>
  <c r="B6149" i="106"/>
  <c r="D6149" i="106" s="1"/>
  <c r="B6331" i="106"/>
  <c r="D6331" i="106" s="1"/>
  <c r="B4115" i="106"/>
  <c r="D4115" i="106" s="1"/>
  <c r="E18" i="4"/>
  <c r="B4175" i="106" s="1"/>
  <c r="D4175" i="106" s="1"/>
  <c r="B6321" i="106"/>
  <c r="D6321" i="106" s="1"/>
  <c r="G121" i="5"/>
  <c r="B5748" i="106" s="1"/>
  <c r="D5748" i="106" s="1"/>
  <c r="B5742" i="106"/>
  <c r="D5742" i="106" s="1"/>
  <c r="B5581" i="106"/>
  <c r="D5581" i="106" s="1"/>
  <c r="B5728" i="106"/>
  <c r="D5728" i="106" s="1"/>
  <c r="B4228" i="106"/>
  <c r="D4228" i="106" s="1"/>
  <c r="B7680" i="106"/>
  <c r="D7680" i="106" s="1"/>
  <c r="B6252" i="106"/>
  <c r="D6252" i="106" s="1"/>
  <c r="B4885" i="106"/>
  <c r="D4885" i="106" s="1"/>
  <c r="B5068" i="106"/>
  <c r="D5068" i="106" s="1"/>
  <c r="B4889" i="106"/>
  <c r="D4889" i="106" s="1"/>
  <c r="B5583" i="106"/>
  <c r="D5583" i="106" s="1"/>
  <c r="F108" i="5"/>
  <c r="B5587" i="106" s="1"/>
  <c r="D5587" i="106" s="1"/>
  <c r="B6300" i="106"/>
  <c r="D6300" i="106" s="1"/>
  <c r="B5572" i="106"/>
  <c r="D5572" i="106" s="1"/>
  <c r="F89" i="34"/>
  <c r="B5990" i="106"/>
  <c r="D5990" i="106" s="1"/>
  <c r="F63" i="5"/>
  <c r="B5579" i="106" s="1"/>
  <c r="D5579" i="106" s="1"/>
  <c r="B5563" i="106"/>
  <c r="D5563" i="106" s="1"/>
  <c r="F84" i="34"/>
  <c r="B6358" i="106"/>
  <c r="D6358" i="106" s="1"/>
  <c r="B5086" i="106"/>
  <c r="D5086" i="106" s="1"/>
  <c r="B3275" i="106"/>
  <c r="D3275" i="106" s="1"/>
  <c r="B6241" i="106"/>
  <c r="D6241" i="106" s="1"/>
  <c r="B6102" i="106"/>
  <c r="D6102" i="106" s="1"/>
  <c r="B2806" i="106"/>
  <c r="D2806" i="106" s="1"/>
  <c r="B6240" i="106"/>
  <c r="D6240" i="106" s="1"/>
  <c r="H14" i="118"/>
  <c r="H19" i="118"/>
  <c r="E37" i="4"/>
  <c r="B6285" i="106" s="1"/>
  <c r="D6285" i="106" s="1"/>
  <c r="B6365" i="106"/>
  <c r="D6365" i="106" s="1"/>
  <c r="B3582" i="106"/>
  <c r="D3582" i="106" s="1"/>
  <c r="B5589" i="106"/>
  <c r="D5589" i="106" s="1"/>
  <c r="F114" i="5"/>
  <c r="B6260" i="106"/>
  <c r="D6260" i="106" s="1"/>
  <c r="B6134" i="106"/>
  <c r="D6134" i="106" s="1"/>
  <c r="B6339" i="106"/>
  <c r="D6339" i="106" s="1"/>
  <c r="B6253" i="106"/>
  <c r="D6253" i="106" s="1"/>
  <c r="B5091" i="106"/>
  <c r="D5091" i="106" s="1"/>
  <c r="B5560" i="106"/>
  <c r="D5560" i="106" s="1"/>
  <c r="B3236" i="106"/>
  <c r="D3236" i="106" s="1"/>
  <c r="B7679" i="106"/>
  <c r="D7679" i="106" s="1"/>
  <c r="B4309" i="106"/>
  <c r="D4309" i="106" s="1"/>
  <c r="B6170" i="106"/>
  <c r="D6170" i="106" s="1"/>
  <c r="B4771" i="106"/>
  <c r="D4771" i="106" s="1"/>
  <c r="B5153" i="106"/>
  <c r="D5153" i="106" s="1"/>
  <c r="E18" i="5"/>
  <c r="B5518" i="106" s="1"/>
  <c r="D5518" i="106" s="1"/>
  <c r="B5514" i="106"/>
  <c r="D5514" i="106" s="1"/>
  <c r="B6095" i="106"/>
  <c r="D6095" i="106" s="1"/>
  <c r="B6087" i="106"/>
  <c r="D6087" i="106" s="1"/>
  <c r="B3578" i="106"/>
  <c r="D3578" i="106" s="1"/>
  <c r="B2772" i="106"/>
  <c r="D2772" i="106" s="1"/>
  <c r="I44" i="4"/>
  <c r="B3317" i="106" s="1"/>
  <c r="D3317" i="106" s="1"/>
  <c r="B6326" i="106"/>
  <c r="D6326" i="106" s="1"/>
  <c r="B3530" i="106"/>
  <c r="D3530" i="106" s="1"/>
  <c r="C121" i="5"/>
  <c r="B5132" i="106" s="1"/>
  <c r="D5132" i="106" s="1"/>
  <c r="B5126" i="106"/>
  <c r="D5126" i="106" s="1"/>
  <c r="B6327" i="106"/>
  <c r="D6327" i="106" s="1"/>
  <c r="B6257" i="106"/>
  <c r="D6257" i="106" s="1"/>
  <c r="B7045" i="106"/>
  <c r="D7045" i="106" s="1"/>
  <c r="F18" i="5"/>
  <c r="B5562" i="106" s="1"/>
  <c r="D5562" i="106" s="1"/>
  <c r="B5558" i="106"/>
  <c r="D5558" i="106" s="1"/>
  <c r="B5594" i="106"/>
  <c r="D5594" i="106" s="1"/>
  <c r="B164" i="106"/>
  <c r="D164" i="106" s="1"/>
  <c r="B325" i="106"/>
  <c r="D325" i="106" s="1"/>
  <c r="B2880" i="106"/>
  <c r="D2880" i="106" s="1"/>
  <c r="B14" i="7"/>
  <c r="B1754" i="106" s="1"/>
  <c r="D1754" i="106" s="1"/>
  <c r="B5063" i="106"/>
  <c r="D5063" i="106" s="1"/>
  <c r="B7751" i="106"/>
  <c r="D7751" i="106" s="1"/>
  <c r="F44" i="4"/>
  <c r="B3252" i="106" s="1"/>
  <c r="D3252" i="106" s="1"/>
  <c r="B5081" i="106"/>
  <c r="D5081" i="106" s="1"/>
  <c r="B6294" i="106"/>
  <c r="D6294" i="106" s="1"/>
  <c r="B18" i="7"/>
  <c r="B4103" i="106" s="1"/>
  <c r="D4103" i="106" s="1"/>
  <c r="B5065" i="106"/>
  <c r="D5065" i="106" s="1"/>
  <c r="B5511" i="106"/>
  <c r="D5511" i="106" s="1"/>
  <c r="B15" i="7"/>
  <c r="B5124" i="106"/>
  <c r="D5124" i="106" s="1"/>
  <c r="B6093" i="106"/>
  <c r="D6093" i="106" s="1"/>
  <c r="B5084" i="106"/>
  <c r="D5084" i="106" s="1"/>
  <c r="B6160" i="106"/>
  <c r="D6160" i="106" s="1"/>
  <c r="F22" i="34"/>
  <c r="B6313" i="106"/>
  <c r="D6313" i="106" s="1"/>
  <c r="B6125" i="106"/>
  <c r="D6125" i="106" s="1"/>
  <c r="C34" i="3"/>
  <c r="B91" i="106" s="1"/>
  <c r="D91" i="106" s="1"/>
  <c r="B7753" i="106"/>
  <c r="D7753" i="106" s="1"/>
  <c r="B5997" i="106"/>
  <c r="D5997" i="106" s="1"/>
  <c r="B6115" i="106"/>
  <c r="D6115" i="106" s="1"/>
  <c r="B6317" i="106"/>
  <c r="D6317" i="106" s="1"/>
  <c r="B6361" i="106"/>
  <c r="D6361" i="106" s="1"/>
  <c r="B7651" i="106"/>
  <c r="D7651" i="106" s="1"/>
  <c r="B6139" i="106"/>
  <c r="D6139" i="106" s="1"/>
  <c r="I34" i="3"/>
  <c r="B2910" i="106" s="1"/>
  <c r="D2910" i="106" s="1"/>
  <c r="B3490" i="106"/>
  <c r="D3490" i="106" s="1"/>
  <c r="B5586" i="106"/>
  <c r="D5586" i="106" s="1"/>
  <c r="B7664" i="106"/>
  <c r="D7664" i="106" s="1"/>
  <c r="B6184" i="106"/>
  <c r="D6184" i="106" s="1"/>
  <c r="B6142" i="106"/>
  <c r="D6142" i="106" s="1"/>
  <c r="B5122" i="106"/>
  <c r="D5122" i="106" s="1"/>
  <c r="C114" i="5"/>
  <c r="B6366" i="106"/>
  <c r="D6366" i="106" s="1"/>
  <c r="B321" i="106"/>
  <c r="D321" i="106" s="1"/>
  <c r="I48" i="4"/>
  <c r="B2106" i="106" s="1"/>
  <c r="D2106" i="106" s="1"/>
  <c r="B5163" i="106"/>
  <c r="D5163" i="106" s="1"/>
  <c r="C144" i="5"/>
  <c r="B6337" i="106"/>
  <c r="D6337" i="106" s="1"/>
  <c r="F76" i="4"/>
  <c r="B3254" i="106" s="1"/>
  <c r="D3254" i="106" s="1"/>
  <c r="B5024" i="106"/>
  <c r="D5024" i="106" s="1"/>
  <c r="B5991" i="106"/>
  <c r="D5991" i="106" s="1"/>
  <c r="B5885" i="106"/>
  <c r="D5885" i="106" s="1"/>
  <c r="B3562" i="106"/>
  <c r="D3562" i="106" s="1"/>
  <c r="B618" i="106"/>
  <c r="D618" i="106" s="1"/>
  <c r="B5584" i="106"/>
  <c r="D5584" i="106" s="1"/>
  <c r="B7659" i="106"/>
  <c r="D7659" i="106" s="1"/>
  <c r="B6347" i="106"/>
  <c r="D6347" i="106" s="1"/>
  <c r="B5593" i="106"/>
  <c r="D5593" i="106" s="1"/>
  <c r="F121" i="5"/>
  <c r="B5599" i="106" s="1"/>
  <c r="D5599" i="106" s="1"/>
  <c r="B5749" i="106"/>
  <c r="D5749" i="106" s="1"/>
  <c r="G140" i="5"/>
  <c r="B5752" i="106" s="1"/>
  <c r="D5752" i="106" s="1"/>
  <c r="B3546" i="106"/>
  <c r="D3546" i="106" s="1"/>
  <c r="D42" i="36"/>
  <c r="K13" i="3"/>
  <c r="B3552" i="106" s="1"/>
  <c r="D3552" i="106" s="1"/>
  <c r="B5105" i="106"/>
  <c r="D5105" i="106" s="1"/>
  <c r="B6325" i="106"/>
  <c r="D6325" i="106" s="1"/>
  <c r="B5726" i="106"/>
  <c r="D5726" i="106" s="1"/>
  <c r="G18" i="5"/>
  <c r="B5730" i="106" s="1"/>
  <c r="D5730" i="106" s="1"/>
  <c r="B5027" i="106"/>
  <c r="D5027" i="106" s="1"/>
  <c r="B5556" i="106"/>
  <c r="D5556" i="106" s="1"/>
  <c r="B5927" i="106"/>
  <c r="D5927" i="106" s="1"/>
  <c r="I108" i="5"/>
  <c r="B5930" i="106" s="1"/>
  <c r="D5930" i="106" s="1"/>
  <c r="B5133" i="106"/>
  <c r="D5133" i="106" s="1"/>
  <c r="C131" i="5"/>
  <c r="B5147" i="106" s="1"/>
  <c r="D5147" i="106" s="1"/>
  <c r="B2840" i="106"/>
  <c r="D2840" i="106" s="1"/>
  <c r="B5374" i="106"/>
  <c r="D5374" i="106" s="1"/>
  <c r="B6293" i="106"/>
  <c r="D6293" i="106" s="1"/>
  <c r="B6311" i="106"/>
  <c r="D6311" i="106" s="1"/>
  <c r="I47" i="4"/>
  <c r="B2105" i="106" s="1"/>
  <c r="D2105" i="106" s="1"/>
  <c r="C44" i="4"/>
  <c r="B7748" i="106"/>
  <c r="D7748" i="106" s="1"/>
  <c r="B3085" i="106"/>
  <c r="D3085" i="106" s="1"/>
  <c r="B7669" i="106"/>
  <c r="D7669" i="106" s="1"/>
  <c r="B5341" i="106"/>
  <c r="D5341" i="106" s="1"/>
  <c r="B4875" i="106"/>
  <c r="D4875" i="106" s="1"/>
  <c r="B5164" i="106"/>
  <c r="D5164" i="106" s="1"/>
  <c r="B5069" i="106"/>
  <c r="D5069" i="106" s="1"/>
  <c r="B5732" i="106"/>
  <c r="D5732" i="106" s="1"/>
  <c r="B7677" i="106"/>
  <c r="D7677" i="106" s="1"/>
  <c r="B5528" i="106"/>
  <c r="D5528" i="106" s="1"/>
  <c r="E121" i="5"/>
  <c r="B6334" i="106"/>
  <c r="D6334" i="106" s="1"/>
  <c r="B5137" i="106"/>
  <c r="D5137" i="106" s="1"/>
  <c r="B7749" i="106"/>
  <c r="D7749" i="106" s="1"/>
  <c r="D44" i="4"/>
  <c r="D76" i="4"/>
  <c r="B3237" i="106" s="1"/>
  <c r="D3237" i="106" s="1"/>
  <c r="B5023" i="106"/>
  <c r="D5023" i="106" s="1"/>
  <c r="B6138" i="106"/>
  <c r="D6138" i="106" s="1"/>
  <c r="B6367" i="106"/>
  <c r="D6367" i="106" s="1"/>
  <c r="B6237" i="106"/>
  <c r="D6237" i="106" s="1"/>
  <c r="B6344" i="106"/>
  <c r="D6344" i="106" s="1"/>
  <c r="D16" i="7"/>
  <c r="B3447" i="106" s="1"/>
  <c r="D3447" i="106" s="1"/>
  <c r="D14" i="7"/>
  <c r="B1770" i="106" s="1"/>
  <c r="D1770" i="106" s="1"/>
  <c r="I109" i="5"/>
  <c r="I4" i="4" s="1"/>
  <c r="J109" i="5"/>
  <c r="J4" i="4" s="1"/>
  <c r="B5360" i="106"/>
  <c r="D5360" i="106" s="1"/>
  <c r="D5" i="4"/>
  <c r="B3406" i="106" s="1"/>
  <c r="D3406" i="106" s="1"/>
  <c r="D18" i="7"/>
  <c r="B4105" i="106" s="1"/>
  <c r="D4105" i="106" s="1"/>
  <c r="M41" i="3"/>
  <c r="B280" i="106"/>
  <c r="D280" i="106" s="1"/>
  <c r="B2917" i="106"/>
  <c r="D2917" i="106" s="1"/>
  <c r="D53" i="36"/>
  <c r="N41" i="3"/>
  <c r="B287" i="106"/>
  <c r="D287" i="106" s="1"/>
  <c r="B4997" i="106"/>
  <c r="D4997" i="106" s="1"/>
  <c r="H32" i="118"/>
  <c r="K32" i="118" s="1"/>
  <c r="O31" i="118" s="1"/>
  <c r="O33" i="118" s="1"/>
  <c r="A7260" i="106"/>
  <c r="B6668" i="106" l="1"/>
  <c r="D6668" i="106" s="1"/>
  <c r="B6779" i="106"/>
  <c r="D6779" i="106" s="1"/>
  <c r="B6671" i="106"/>
  <c r="D6671" i="106" s="1"/>
  <c r="F146" i="34"/>
  <c r="B6690" i="106"/>
  <c r="D6690" i="106" s="1"/>
  <c r="B4345" i="106"/>
  <c r="D4345" i="106" s="1"/>
  <c r="F134" i="34"/>
  <c r="B5280" i="106"/>
  <c r="D5280" i="106" s="1"/>
  <c r="B944" i="106"/>
  <c r="D944" i="106" s="1"/>
  <c r="B6926" i="106"/>
  <c r="D6926" i="106" s="1"/>
  <c r="I53" i="29"/>
  <c r="B6942" i="106" s="1"/>
  <c r="D6942" i="106" s="1"/>
  <c r="B6771" i="106"/>
  <c r="D6771" i="106" s="1"/>
  <c r="B4356" i="106"/>
  <c r="D4356" i="106" s="1"/>
  <c r="L184" i="29"/>
  <c r="B1534" i="106"/>
  <c r="D1534" i="106" s="1"/>
  <c r="B915" i="106"/>
  <c r="D915" i="106" s="1"/>
  <c r="B6375" i="106"/>
  <c r="D6375" i="106" s="1"/>
  <c r="B6764" i="106"/>
  <c r="D6764" i="106" s="1"/>
  <c r="B1012" i="106"/>
  <c r="D1012" i="106" s="1"/>
  <c r="B2829" i="106"/>
  <c r="D2829" i="106" s="1"/>
  <c r="B5705" i="106"/>
  <c r="D5705" i="106" s="1"/>
  <c r="B5494" i="106"/>
  <c r="D5494" i="106" s="1"/>
  <c r="F33" i="34"/>
  <c r="B717" i="106"/>
  <c r="D717" i="106" s="1"/>
  <c r="K13" i="29"/>
  <c r="B1105" i="106" s="1"/>
  <c r="D1105" i="106" s="1"/>
  <c r="B988" i="106"/>
  <c r="D988" i="106" s="1"/>
  <c r="B4236" i="106"/>
  <c r="D4236" i="106" s="1"/>
  <c r="B6681" i="106"/>
  <c r="D6681" i="106" s="1"/>
  <c r="B854" i="106"/>
  <c r="D854" i="106" s="1"/>
  <c r="E65" i="29"/>
  <c r="B861" i="106" s="1"/>
  <c r="D861" i="106" s="1"/>
  <c r="B6937" i="106"/>
  <c r="D6937" i="106" s="1"/>
  <c r="B4793" i="106"/>
  <c r="D4793" i="106" s="1"/>
  <c r="B6376" i="106"/>
  <c r="D6376" i="106" s="1"/>
  <c r="B3375" i="106"/>
  <c r="D3375" i="106" s="1"/>
  <c r="B6696" i="106"/>
  <c r="D6696" i="106" s="1"/>
  <c r="B4944" i="106"/>
  <c r="D4944" i="106" s="1"/>
  <c r="B6760" i="106"/>
  <c r="D6760" i="106" s="1"/>
  <c r="B7032" i="106"/>
  <c r="D7032" i="106" s="1"/>
  <c r="B4191" i="106"/>
  <c r="D4191" i="106" s="1"/>
  <c r="B6687" i="106"/>
  <c r="D6687" i="106" s="1"/>
  <c r="B7061" i="106"/>
  <c r="D7061" i="106" s="1"/>
  <c r="B6404" i="106"/>
  <c r="D6404" i="106" s="1"/>
  <c r="B2820" i="106"/>
  <c r="D2820" i="106" s="1"/>
  <c r="K185" i="29"/>
  <c r="G39" i="108" s="1"/>
  <c r="B764" i="106"/>
  <c r="D764" i="106" s="1"/>
  <c r="B6892" i="106"/>
  <c r="D6892" i="106" s="1"/>
  <c r="K28" i="29"/>
  <c r="F47" i="34" s="1"/>
  <c r="B6971" i="106"/>
  <c r="D6971" i="106" s="1"/>
  <c r="B5239" i="106"/>
  <c r="D5239" i="106" s="1"/>
  <c r="B856" i="106"/>
  <c r="D856" i="106" s="1"/>
  <c r="B6929" i="106"/>
  <c r="D6929" i="106" s="1"/>
  <c r="B6919" i="106"/>
  <c r="D6919" i="106" s="1"/>
  <c r="J47" i="29"/>
  <c r="B6925" i="106" s="1"/>
  <c r="D6925" i="106" s="1"/>
  <c r="B6852" i="106"/>
  <c r="D6852" i="106" s="1"/>
  <c r="D53" i="29"/>
  <c r="B792" i="106" s="1"/>
  <c r="D792" i="106" s="1"/>
  <c r="B790" i="106"/>
  <c r="D790" i="106" s="1"/>
  <c r="B6716" i="106"/>
  <c r="D6716" i="106" s="1"/>
  <c r="B6791" i="106"/>
  <c r="D6791" i="106" s="1"/>
  <c r="B6859" i="106"/>
  <c r="D6859" i="106" s="1"/>
  <c r="B7700" i="106"/>
  <c r="D7700" i="106" s="1"/>
  <c r="B4079" i="106"/>
  <c r="D4079" i="106" s="1"/>
  <c r="B6717" i="106"/>
  <c r="D6717" i="106" s="1"/>
  <c r="B4400" i="106"/>
  <c r="D4400" i="106" s="1"/>
  <c r="B1549" i="106"/>
  <c r="D1549" i="106" s="1"/>
  <c r="H303" i="29"/>
  <c r="B1341" i="106"/>
  <c r="D1341" i="106" s="1"/>
  <c r="B4416" i="106"/>
  <c r="D4416" i="106" s="1"/>
  <c r="B2990" i="106"/>
  <c r="D2990" i="106" s="1"/>
  <c r="K189" i="29"/>
  <c r="B3008" i="106" s="1"/>
  <c r="D3008" i="106" s="1"/>
  <c r="B6755" i="106"/>
  <c r="D6755" i="106" s="1"/>
  <c r="B5196" i="106"/>
  <c r="D5196" i="106" s="1"/>
  <c r="B6795" i="106"/>
  <c r="D6795" i="106" s="1"/>
  <c r="B7208" i="106"/>
  <c r="D7208" i="106" s="1"/>
  <c r="H340" i="29"/>
  <c r="B7214" i="106" s="1"/>
  <c r="D7214" i="106" s="1"/>
  <c r="K337" i="29"/>
  <c r="B6664" i="106"/>
  <c r="D6664" i="106" s="1"/>
  <c r="B1338" i="106"/>
  <c r="D1338" i="106" s="1"/>
  <c r="K183" i="29"/>
  <c r="B1380" i="106" s="1"/>
  <c r="D1380" i="106" s="1"/>
  <c r="B2960" i="106"/>
  <c r="D2960" i="106" s="1"/>
  <c r="B6805" i="106"/>
  <c r="D6805" i="106" s="1"/>
  <c r="B3487" i="106"/>
  <c r="D3487" i="106" s="1"/>
  <c r="B6679" i="106"/>
  <c r="D6679" i="106" s="1"/>
  <c r="B5496" i="106"/>
  <c r="D5496" i="106" s="1"/>
  <c r="B1268" i="106"/>
  <c r="D1268" i="106" s="1"/>
  <c r="K142" i="29"/>
  <c r="H147" i="29"/>
  <c r="B4086" i="106"/>
  <c r="D4086" i="106" s="1"/>
  <c r="H184" i="29"/>
  <c r="B1370" i="106" s="1"/>
  <c r="D1370" i="106" s="1"/>
  <c r="B6945" i="106"/>
  <c r="D6945" i="106" s="1"/>
  <c r="J57" i="29"/>
  <c r="B6949" i="106" s="1"/>
  <c r="D6949" i="106" s="1"/>
  <c r="B7212" i="106"/>
  <c r="D7212" i="106" s="1"/>
  <c r="K339" i="29"/>
  <c r="B7213" i="106" s="1"/>
  <c r="D7213" i="106" s="1"/>
  <c r="B6722" i="106"/>
  <c r="D6722" i="106" s="1"/>
  <c r="B7228" i="106"/>
  <c r="D7228" i="106" s="1"/>
  <c r="B2798" i="106"/>
  <c r="D2798" i="106" s="1"/>
  <c r="B4917" i="106"/>
  <c r="D4917" i="106" s="1"/>
  <c r="B7113" i="106"/>
  <c r="D7113" i="106" s="1"/>
  <c r="B4816" i="106"/>
  <c r="D4816" i="106" s="1"/>
  <c r="K184" i="5"/>
  <c r="B6016" i="106" s="1"/>
  <c r="D6016" i="106" s="1"/>
  <c r="B6849" i="106"/>
  <c r="D6849" i="106" s="1"/>
  <c r="B5279" i="106"/>
  <c r="D5279" i="106" s="1"/>
  <c r="F133" i="34"/>
  <c r="B7118" i="106"/>
  <c r="D7118" i="106" s="1"/>
  <c r="K319" i="29"/>
  <c r="C330" i="29"/>
  <c r="L100" i="29"/>
  <c r="B937" i="106"/>
  <c r="D937" i="106" s="1"/>
  <c r="G33" i="29"/>
  <c r="B952" i="106" s="1"/>
  <c r="D952" i="106" s="1"/>
  <c r="B7062" i="106"/>
  <c r="D7062" i="106" s="1"/>
  <c r="B748" i="106"/>
  <c r="D748" i="106" s="1"/>
  <c r="K69" i="29"/>
  <c r="B6832" i="106"/>
  <c r="D6832" i="106" s="1"/>
  <c r="B4375" i="106"/>
  <c r="D4375" i="106" s="1"/>
  <c r="B7158" i="106"/>
  <c r="D7158" i="106" s="1"/>
  <c r="B7168" i="106"/>
  <c r="D7168" i="106" s="1"/>
  <c r="B4342" i="106"/>
  <c r="D4342" i="106" s="1"/>
  <c r="B6744" i="106"/>
  <c r="D6744" i="106" s="1"/>
  <c r="B1315" i="106"/>
  <c r="D1315" i="106" s="1"/>
  <c r="D69" i="36"/>
  <c r="K170" i="29"/>
  <c r="B1329" i="106" s="1"/>
  <c r="D1329" i="106" s="1"/>
  <c r="B6676" i="106"/>
  <c r="D6676" i="106" s="1"/>
  <c r="B6851" i="106"/>
  <c r="D6851" i="106" s="1"/>
  <c r="B3371" i="106"/>
  <c r="D3371" i="106" s="1"/>
  <c r="B6806" i="106"/>
  <c r="D6806" i="106" s="1"/>
  <c r="B6389" i="106"/>
  <c r="D6389" i="106" s="1"/>
  <c r="B7059" i="106"/>
  <c r="D7059" i="106" s="1"/>
  <c r="B4797" i="106"/>
  <c r="D4797" i="106" s="1"/>
  <c r="B7100" i="106"/>
  <c r="D7100" i="106" s="1"/>
  <c r="J303" i="29"/>
  <c r="F150" i="34"/>
  <c r="B6737" i="106"/>
  <c r="D6737" i="106" s="1"/>
  <c r="B776" i="106"/>
  <c r="D776" i="106" s="1"/>
  <c r="B7157" i="106"/>
  <c r="D7157" i="106" s="1"/>
  <c r="B5665" i="106"/>
  <c r="D5665" i="106" s="1"/>
  <c r="E184" i="29"/>
  <c r="B1351" i="106" s="1"/>
  <c r="D1351" i="106" s="1"/>
  <c r="B4083" i="106"/>
  <c r="D4083" i="106" s="1"/>
  <c r="B4408" i="106"/>
  <c r="D4408" i="106" s="1"/>
  <c r="B3058" i="106"/>
  <c r="D3058" i="106" s="1"/>
  <c r="B5278" i="106"/>
  <c r="D5278" i="106" s="1"/>
  <c r="F132" i="34"/>
  <c r="B777" i="106"/>
  <c r="D777" i="106" s="1"/>
  <c r="B1260" i="106"/>
  <c r="D1260" i="106" s="1"/>
  <c r="H127" i="29"/>
  <c r="B1264" i="106" s="1"/>
  <c r="D1264" i="106" s="1"/>
  <c r="B6619" i="106"/>
  <c r="D6619" i="106" s="1"/>
  <c r="H259" i="5"/>
  <c r="B1419" i="106"/>
  <c r="D1419" i="106" s="1"/>
  <c r="K241" i="29"/>
  <c r="B1483" i="106" s="1"/>
  <c r="D1483" i="106" s="1"/>
  <c r="B2996" i="106"/>
  <c r="D2996" i="106" s="1"/>
  <c r="J127" i="29"/>
  <c r="B7034" i="106" s="1"/>
  <c r="D7034" i="106" s="1"/>
  <c r="B7025" i="106"/>
  <c r="D7025" i="106" s="1"/>
  <c r="B724" i="106"/>
  <c r="D724" i="106" s="1"/>
  <c r="K39" i="29"/>
  <c r="B1112" i="106" s="1"/>
  <c r="D1112" i="106" s="1"/>
  <c r="B6654" i="106"/>
  <c r="D6654" i="106" s="1"/>
  <c r="B6804" i="106"/>
  <c r="D6804" i="106" s="1"/>
  <c r="I72" i="29"/>
  <c r="B6973" i="106" s="1"/>
  <c r="D6973" i="106" s="1"/>
  <c r="B6963" i="106"/>
  <c r="D6963" i="106" s="1"/>
  <c r="B5785" i="106"/>
  <c r="D5785" i="106" s="1"/>
  <c r="G191" i="5"/>
  <c r="K45" i="29"/>
  <c r="B1117" i="106" s="1"/>
  <c r="D1117" i="106" s="1"/>
  <c r="B729" i="106"/>
  <c r="D729" i="106" s="1"/>
  <c r="B5797" i="106"/>
  <c r="D5797" i="106" s="1"/>
  <c r="B846" i="106"/>
  <c r="D846" i="106" s="1"/>
  <c r="B983" i="106"/>
  <c r="D983" i="106" s="1"/>
  <c r="B7197" i="106"/>
  <c r="D7197" i="106" s="1"/>
  <c r="B6728" i="106"/>
  <c r="D6728" i="106" s="1"/>
  <c r="B1540" i="106"/>
  <c r="D1540" i="106" s="1"/>
  <c r="K252" i="29"/>
  <c r="B7090" i="106" s="1"/>
  <c r="D7090" i="106" s="1"/>
  <c r="B7089" i="106"/>
  <c r="D7089" i="106" s="1"/>
  <c r="B6850" i="106"/>
  <c r="D6850" i="106" s="1"/>
  <c r="K32" i="29"/>
  <c r="B6900" i="106"/>
  <c r="D6900" i="106" s="1"/>
  <c r="B921" i="106"/>
  <c r="D921" i="106" s="1"/>
  <c r="B4868" i="106"/>
  <c r="D4868" i="106" s="1"/>
  <c r="B4802" i="106"/>
  <c r="D4802" i="106" s="1"/>
  <c r="L293" i="29"/>
  <c r="B5464" i="106"/>
  <c r="D5464" i="106" s="1"/>
  <c r="B6952" i="106"/>
  <c r="D6952" i="106" s="1"/>
  <c r="B7183" i="106"/>
  <c r="D7183" i="106" s="1"/>
  <c r="F148" i="34"/>
  <c r="B6720" i="106"/>
  <c r="D6720" i="106" s="1"/>
  <c r="B1261" i="106"/>
  <c r="D1261" i="106" s="1"/>
  <c r="B1015" i="106"/>
  <c r="D1015" i="106" s="1"/>
  <c r="B6383" i="106"/>
  <c r="D6383" i="106" s="1"/>
  <c r="B5422" i="106"/>
  <c r="D5422" i="106" s="1"/>
  <c r="D178" i="5"/>
  <c r="B5763" i="106"/>
  <c r="D5763" i="106" s="1"/>
  <c r="B954" i="106"/>
  <c r="D954" i="106" s="1"/>
  <c r="B7097" i="106"/>
  <c r="D7097" i="106" s="1"/>
  <c r="K256" i="29"/>
  <c r="B7098" i="106" s="1"/>
  <c r="D7098" i="106" s="1"/>
  <c r="F184" i="5"/>
  <c r="B5658" i="106" s="1"/>
  <c r="D5658" i="106" s="1"/>
  <c r="B4804" i="106"/>
  <c r="D4804" i="106" s="1"/>
  <c r="B6652" i="106"/>
  <c r="D6652" i="106" s="1"/>
  <c r="B3388" i="106"/>
  <c r="D3388" i="106" s="1"/>
  <c r="K217" i="29"/>
  <c r="B3391" i="106" s="1"/>
  <c r="D3391" i="106" s="1"/>
  <c r="B5059" i="106"/>
  <c r="D5059" i="106" s="1"/>
  <c r="B6617" i="106"/>
  <c r="D6617" i="106" s="1"/>
  <c r="F259" i="5"/>
  <c r="B6836" i="106" s="1"/>
  <c r="D6836" i="106" s="1"/>
  <c r="B6767" i="106"/>
  <c r="D6767" i="106" s="1"/>
  <c r="B4799" i="106"/>
  <c r="D4799" i="106" s="1"/>
  <c r="K169" i="29"/>
  <c r="B1326" i="106" s="1"/>
  <c r="D1326" i="106" s="1"/>
  <c r="B1312" i="106"/>
  <c r="D1312" i="106" s="1"/>
  <c r="K55" i="29"/>
  <c r="B735" i="106"/>
  <c r="D735" i="106" s="1"/>
  <c r="C57" i="29"/>
  <c r="B737" i="106" s="1"/>
  <c r="D737" i="106" s="1"/>
  <c r="B7173" i="106"/>
  <c r="D7173" i="106" s="1"/>
  <c r="B4382" i="106"/>
  <c r="D4382" i="106" s="1"/>
  <c r="B6747" i="106"/>
  <c r="D6747" i="106" s="1"/>
  <c r="B6811" i="106"/>
  <c r="D6811" i="106" s="1"/>
  <c r="B6823" i="106"/>
  <c r="D6823" i="106" s="1"/>
  <c r="B7185" i="106"/>
  <c r="D7185" i="106" s="1"/>
  <c r="B7166" i="106"/>
  <c r="D7166" i="106" s="1"/>
  <c r="L127" i="29"/>
  <c r="L129" i="29" s="1"/>
  <c r="F165" i="34"/>
  <c r="B5312" i="106"/>
  <c r="D5312" i="106" s="1"/>
  <c r="B1253" i="106"/>
  <c r="D1253" i="106" s="1"/>
  <c r="B5708" i="106"/>
  <c r="D5708" i="106" s="1"/>
  <c r="B4378" i="106"/>
  <c r="D4378" i="106" s="1"/>
  <c r="B1552" i="106"/>
  <c r="D1552" i="106" s="1"/>
  <c r="B930" i="106"/>
  <c r="D930" i="106" s="1"/>
  <c r="B828" i="106"/>
  <c r="D828" i="106" s="1"/>
  <c r="B870" i="106"/>
  <c r="D870" i="106" s="1"/>
  <c r="B7143" i="106"/>
  <c r="D7143" i="106" s="1"/>
  <c r="B4081" i="106"/>
  <c r="D4081" i="106" s="1"/>
  <c r="C184" i="29"/>
  <c r="C210" i="29" s="1"/>
  <c r="B1340" i="106" s="1"/>
  <c r="D1340" i="106" s="1"/>
  <c r="K180" i="29"/>
  <c r="B6923" i="106"/>
  <c r="D6923" i="106" s="1"/>
  <c r="C191" i="5"/>
  <c r="B5233" i="106"/>
  <c r="D5233" i="106" s="1"/>
  <c r="B7689" i="106"/>
  <c r="D7689" i="106" s="1"/>
  <c r="B3059" i="106"/>
  <c r="D3059" i="106" s="1"/>
  <c r="F224" i="5"/>
  <c r="B5703" i="106" s="1"/>
  <c r="D5703" i="106" s="1"/>
  <c r="B5691" i="106"/>
  <c r="D5691" i="106" s="1"/>
  <c r="B4922" i="106"/>
  <c r="D4922" i="106" s="1"/>
  <c r="B7745" i="106"/>
  <c r="D7745" i="106" s="1"/>
  <c r="K364" i="29"/>
  <c r="B7746" i="106" s="1"/>
  <c r="D7746" i="106" s="1"/>
  <c r="B6626" i="106"/>
  <c r="D6626" i="106" s="1"/>
  <c r="F138" i="34"/>
  <c r="B6958" i="106"/>
  <c r="D6958" i="106" s="1"/>
  <c r="B864" i="106"/>
  <c r="D864" i="106" s="1"/>
  <c r="B6769" i="106"/>
  <c r="D6769" i="106" s="1"/>
  <c r="F153" i="34"/>
  <c r="B6743" i="106"/>
  <c r="D6743" i="106" s="1"/>
  <c r="B4165" i="106"/>
  <c r="D4165" i="106" s="1"/>
  <c r="K284" i="29"/>
  <c r="B4166" i="106" s="1"/>
  <c r="D4166" i="106" s="1"/>
  <c r="B4417" i="106"/>
  <c r="D4417" i="106" s="1"/>
  <c r="F184" i="29"/>
  <c r="B1358" i="106" s="1"/>
  <c r="D1358" i="106" s="1"/>
  <c r="B4084" i="106"/>
  <c r="D4084" i="106" s="1"/>
  <c r="B7065" i="106"/>
  <c r="D7065" i="106" s="1"/>
  <c r="B7106" i="106"/>
  <c r="D7106" i="106" s="1"/>
  <c r="H310" i="29"/>
  <c r="B7115" i="106" s="1"/>
  <c r="D7115" i="106" s="1"/>
  <c r="I350" i="29"/>
  <c r="B7226" i="106"/>
  <c r="D7226" i="106" s="1"/>
  <c r="B6931" i="106"/>
  <c r="D6931" i="106" s="1"/>
  <c r="B4362" i="106"/>
  <c r="D4362" i="106" s="1"/>
  <c r="F173" i="34"/>
  <c r="D17" i="171"/>
  <c r="G57" i="29"/>
  <c r="B969" i="106" s="1"/>
  <c r="D969" i="106" s="1"/>
  <c r="B967" i="106"/>
  <c r="D967" i="106" s="1"/>
  <c r="B6705" i="106"/>
  <c r="D6705" i="106" s="1"/>
  <c r="B4796" i="106"/>
  <c r="D4796" i="106" s="1"/>
  <c r="B974" i="106"/>
  <c r="D974" i="106" s="1"/>
  <c r="B3377" i="106"/>
  <c r="D3377" i="106" s="1"/>
  <c r="B4082" i="106"/>
  <c r="D4082" i="106" s="1"/>
  <c r="D184" i="29"/>
  <c r="D210" i="29" s="1"/>
  <c r="B1346" i="106" s="1"/>
  <c r="D1346" i="106" s="1"/>
  <c r="B7154" i="106"/>
  <c r="D7154" i="106" s="1"/>
  <c r="K323" i="29"/>
  <c r="B7162" i="106" s="1"/>
  <c r="D7162" i="106" s="1"/>
  <c r="B6394" i="106"/>
  <c r="D6394" i="106" s="1"/>
  <c r="B6392" i="106"/>
  <c r="D6392" i="106" s="1"/>
  <c r="B1044" i="106"/>
  <c r="D1044" i="106" s="1"/>
  <c r="B7690" i="106"/>
  <c r="D7690" i="106" s="1"/>
  <c r="B7229" i="106"/>
  <c r="D7229" i="106" s="1"/>
  <c r="B6770" i="106"/>
  <c r="D6770" i="106" s="1"/>
  <c r="B3000" i="106"/>
  <c r="D3000" i="106" s="1"/>
  <c r="L277" i="29"/>
  <c r="B6830" i="106"/>
  <c r="D6830" i="106" s="1"/>
  <c r="B7263" i="106"/>
  <c r="K17" i="29"/>
  <c r="B6871" i="106" s="1"/>
  <c r="D6871" i="106" s="1"/>
  <c r="B6382" i="106"/>
  <c r="D6382" i="106" s="1"/>
  <c r="F117" i="34"/>
  <c r="B3631" i="106"/>
  <c r="D3631" i="106" s="1"/>
  <c r="E350" i="29"/>
  <c r="B5692" i="106"/>
  <c r="D5692" i="106" s="1"/>
  <c r="B1262" i="106"/>
  <c r="D1262" i="106" s="1"/>
  <c r="B6766" i="106"/>
  <c r="D6766" i="106" s="1"/>
  <c r="B6860" i="106"/>
  <c r="D6860" i="106" s="1"/>
  <c r="B5818" i="106"/>
  <c r="D5818" i="106" s="1"/>
  <c r="B4179" i="106"/>
  <c r="D4179" i="106" s="1"/>
  <c r="B4853" i="106"/>
  <c r="D4853" i="106" s="1"/>
  <c r="L285" i="29"/>
  <c r="B741" i="106"/>
  <c r="D741" i="106" s="1"/>
  <c r="K62" i="29"/>
  <c r="B1029" i="106"/>
  <c r="D1029" i="106" s="1"/>
  <c r="B5822" i="106"/>
  <c r="D5822" i="106" s="1"/>
  <c r="B6620" i="106"/>
  <c r="D6620" i="106" s="1"/>
  <c r="J259" i="5"/>
  <c r="J273" i="5" s="1"/>
  <c r="B6673" i="106"/>
  <c r="D6673" i="106" s="1"/>
  <c r="B6718" i="106"/>
  <c r="D6718" i="106" s="1"/>
  <c r="B5631" i="106"/>
  <c r="D5631" i="106" s="1"/>
  <c r="B7256" i="106"/>
  <c r="D7256" i="106" s="1"/>
  <c r="B6907" i="106"/>
  <c r="D6907" i="106" s="1"/>
  <c r="B6930" i="106"/>
  <c r="D6930" i="106" s="1"/>
  <c r="B5710" i="106"/>
  <c r="D5710" i="106" s="1"/>
  <c r="B7238" i="106"/>
  <c r="D7238" i="106" s="1"/>
  <c r="K361" i="29"/>
  <c r="B7239" i="106" s="1"/>
  <c r="D7239" i="106" s="1"/>
  <c r="K143" i="29"/>
  <c r="B1284" i="106" s="1"/>
  <c r="D1284" i="106" s="1"/>
  <c r="B1269" i="106"/>
  <c r="D1269" i="106" s="1"/>
  <c r="B5630" i="106"/>
  <c r="D5630" i="106" s="1"/>
  <c r="K178" i="5"/>
  <c r="B4951" i="106" s="1"/>
  <c r="D4951" i="106" s="1"/>
  <c r="B4368" i="106"/>
  <c r="D4368" i="106" s="1"/>
  <c r="B1429" i="106"/>
  <c r="D1429" i="106" s="1"/>
  <c r="K264" i="29"/>
  <c r="B1493" i="106" s="1"/>
  <c r="D1493" i="106" s="1"/>
  <c r="K192" i="29"/>
  <c r="B3011" i="106" s="1"/>
  <c r="D3011" i="106" s="1"/>
  <c r="B2993" i="106"/>
  <c r="D2993" i="106" s="1"/>
  <c r="B812" i="106"/>
  <c r="D812" i="106" s="1"/>
  <c r="B950" i="106"/>
  <c r="D950" i="106" s="1"/>
  <c r="B1354" i="106"/>
  <c r="D1354" i="106" s="1"/>
  <c r="K246" i="29"/>
  <c r="B1487" i="106" s="1"/>
  <c r="D1487" i="106" s="1"/>
  <c r="B1423" i="106"/>
  <c r="D1423" i="106" s="1"/>
  <c r="B7147" i="106"/>
  <c r="D7147" i="106" s="1"/>
  <c r="B719" i="106"/>
  <c r="D719" i="106" s="1"/>
  <c r="K15" i="29"/>
  <c r="B4409" i="106"/>
  <c r="D4409" i="106" s="1"/>
  <c r="B1369" i="106"/>
  <c r="D1369" i="106" s="1"/>
  <c r="B4794" i="106"/>
  <c r="D4794" i="106" s="1"/>
  <c r="F169" i="34"/>
  <c r="B5317" i="106"/>
  <c r="D5317" i="106" s="1"/>
  <c r="B7260" i="106"/>
  <c r="B6381" i="106"/>
  <c r="D6381" i="106" s="1"/>
  <c r="B782" i="106"/>
  <c r="D782" i="106" s="1"/>
  <c r="B6789" i="106"/>
  <c r="D6789" i="106" s="1"/>
  <c r="I184" i="29"/>
  <c r="B7063" i="106" s="1"/>
  <c r="D7063" i="106" s="1"/>
  <c r="B7057" i="106"/>
  <c r="D7057" i="106" s="1"/>
  <c r="B6740" i="106"/>
  <c r="D6740" i="106" s="1"/>
  <c r="B980" i="106"/>
  <c r="D980" i="106" s="1"/>
  <c r="B4916" i="106"/>
  <c r="D4916" i="106" s="1"/>
  <c r="B4394" i="106"/>
  <c r="D4394" i="106" s="1"/>
  <c r="B7148" i="106"/>
  <c r="D7148" i="106" s="1"/>
  <c r="K10" i="29"/>
  <c r="B3062" i="106" s="1"/>
  <c r="D3062" i="106" s="1"/>
  <c r="B3055" i="106"/>
  <c r="D3055" i="106" s="1"/>
  <c r="L340" i="29"/>
  <c r="B6688" i="106"/>
  <c r="D6688" i="106" s="1"/>
  <c r="B6736" i="106"/>
  <c r="D6736" i="106" s="1"/>
  <c r="B4316" i="106"/>
  <c r="D4316" i="106" s="1"/>
  <c r="B4359" i="106"/>
  <c r="D4359" i="106" s="1"/>
  <c r="B5627" i="106"/>
  <c r="D5627" i="106" s="1"/>
  <c r="B4189" i="106"/>
  <c r="D4189" i="106" s="1"/>
  <c r="F171" i="34"/>
  <c r="B6968" i="106"/>
  <c r="D6968" i="106" s="1"/>
  <c r="B962" i="106"/>
  <c r="D962" i="106" s="1"/>
  <c r="B6822" i="106"/>
  <c r="D6822" i="106" s="1"/>
  <c r="B6756" i="106"/>
  <c r="D6756" i="106" s="1"/>
  <c r="B7163" i="106"/>
  <c r="D7163" i="106" s="1"/>
  <c r="K324" i="29"/>
  <c r="B7171" i="106" s="1"/>
  <c r="D7171" i="106" s="1"/>
  <c r="B6704" i="106"/>
  <c r="D6704" i="106" s="1"/>
  <c r="B6864" i="106"/>
  <c r="D6864" i="106" s="1"/>
  <c r="B7249" i="106"/>
  <c r="D7249" i="106" s="1"/>
  <c r="B6976" i="106"/>
  <c r="D6976" i="106" s="1"/>
  <c r="B7029" i="106"/>
  <c r="D7029" i="106" s="1"/>
  <c r="B6774" i="106"/>
  <c r="D6774" i="106" s="1"/>
  <c r="B5671" i="106"/>
  <c r="D5671" i="106" s="1"/>
  <c r="B1039" i="106"/>
  <c r="D1039" i="106" s="1"/>
  <c r="B7707" i="106"/>
  <c r="D7707" i="106" s="1"/>
  <c r="B786" i="106"/>
  <c r="D786" i="106" s="1"/>
  <c r="D47" i="29"/>
  <c r="B789" i="106" s="1"/>
  <c r="D789" i="106" s="1"/>
  <c r="B7030" i="106"/>
  <c r="D7030" i="106" s="1"/>
  <c r="B4192" i="106"/>
  <c r="D4192" i="106" s="1"/>
  <c r="B6797" i="106"/>
  <c r="D6797" i="106" s="1"/>
  <c r="B7120" i="106"/>
  <c r="D7120" i="106" s="1"/>
  <c r="E330" i="29"/>
  <c r="K360" i="29"/>
  <c r="B3657" i="106"/>
  <c r="D3657" i="106" s="1"/>
  <c r="H362" i="29"/>
  <c r="H365" i="29" s="1"/>
  <c r="B7242" i="106" s="1"/>
  <c r="D7242" i="106" s="1"/>
  <c r="B4181" i="106"/>
  <c r="D4181" i="106" s="1"/>
  <c r="B3056" i="106"/>
  <c r="D3056" i="106" s="1"/>
  <c r="K11" i="29"/>
  <c r="B6858" i="106" s="1"/>
  <c r="D6858" i="106" s="1"/>
  <c r="B7257" i="106"/>
  <c r="D7257" i="106" s="1"/>
  <c r="B6683" i="106"/>
  <c r="D6683" i="106" s="1"/>
  <c r="E53" i="29"/>
  <c r="B850" i="106" s="1"/>
  <c r="D850" i="106" s="1"/>
  <c r="B848" i="106"/>
  <c r="D848" i="106" s="1"/>
  <c r="B3367" i="106"/>
  <c r="D3367" i="106" s="1"/>
  <c r="K19" i="29"/>
  <c r="B3381" i="106" s="1"/>
  <c r="D3381" i="106" s="1"/>
  <c r="B6781" i="106"/>
  <c r="D6781" i="106" s="1"/>
  <c r="B7014" i="106"/>
  <c r="D7014" i="106" s="1"/>
  <c r="B1244" i="106"/>
  <c r="D1244" i="106" s="1"/>
  <c r="B7769" i="106"/>
  <c r="D7769" i="106" s="1"/>
  <c r="B3632" i="106"/>
  <c r="D3632" i="106" s="1"/>
  <c r="B898" i="106"/>
  <c r="D898" i="106" s="1"/>
  <c r="B6965" i="106"/>
  <c r="D6965" i="106" s="1"/>
  <c r="B7699" i="106"/>
  <c r="D7699" i="106" s="1"/>
  <c r="B809" i="106"/>
  <c r="D809" i="106" s="1"/>
  <c r="B6777" i="106"/>
  <c r="D6777" i="106" s="1"/>
  <c r="F154" i="34"/>
  <c r="B4340" i="106"/>
  <c r="D4340" i="106" s="1"/>
  <c r="F135" i="34"/>
  <c r="B6634" i="106"/>
  <c r="D6634" i="106" s="1"/>
  <c r="F139" i="34"/>
  <c r="B4805" i="106"/>
  <c r="D4805" i="106" s="1"/>
  <c r="B7167" i="106"/>
  <c r="D7167" i="106" s="1"/>
  <c r="B7119" i="106"/>
  <c r="D7119" i="106" s="1"/>
  <c r="D330" i="29"/>
  <c r="D342" i="29" s="1"/>
  <c r="B7217" i="106" s="1"/>
  <c r="D7217" i="106" s="1"/>
  <c r="B7267" i="106"/>
  <c r="B5310" i="106"/>
  <c r="D5310" i="106" s="1"/>
  <c r="B6390" i="106"/>
  <c r="D6390" i="106" s="1"/>
  <c r="B949" i="106"/>
  <c r="D949" i="106" s="1"/>
  <c r="B2722" i="106"/>
  <c r="D2722" i="106" s="1"/>
  <c r="B6393" i="106"/>
  <c r="D6393" i="106" s="1"/>
  <c r="B7706" i="106"/>
  <c r="D7706" i="106" s="1"/>
  <c r="B912" i="106"/>
  <c r="D912" i="106" s="1"/>
  <c r="F65" i="29"/>
  <c r="B919" i="106" s="1"/>
  <c r="D919" i="106" s="1"/>
  <c r="B6981" i="106"/>
  <c r="D6981" i="106" s="1"/>
  <c r="H92" i="29"/>
  <c r="K85" i="29"/>
  <c r="B6982" i="106" s="1"/>
  <c r="D6982" i="106" s="1"/>
  <c r="B4448" i="106"/>
  <c r="D4448" i="106" s="1"/>
  <c r="B7133" i="106"/>
  <c r="D7133" i="106" s="1"/>
  <c r="K105" i="29"/>
  <c r="H110" i="29"/>
  <c r="H112" i="29" s="1"/>
  <c r="B7018" i="106" s="1"/>
  <c r="D7018" i="106" s="1"/>
  <c r="B1048" i="106"/>
  <c r="D1048" i="106" s="1"/>
  <c r="B7186" i="106"/>
  <c r="D7186" i="106" s="1"/>
  <c r="L257" i="29"/>
  <c r="B6388" i="106"/>
  <c r="D6388" i="106" s="1"/>
  <c r="F122" i="34"/>
  <c r="B916" i="106"/>
  <c r="D916" i="106" s="1"/>
  <c r="B787" i="106"/>
  <c r="D787" i="106" s="1"/>
  <c r="B6648" i="106"/>
  <c r="D6648" i="106" s="1"/>
  <c r="B4865" i="106"/>
  <c r="D4865" i="106" s="1"/>
  <c r="B6708" i="106"/>
  <c r="D6708" i="106" s="1"/>
  <c r="B6680" i="106"/>
  <c r="D6680" i="106" s="1"/>
  <c r="B6378" i="106"/>
  <c r="D6378" i="106" s="1"/>
  <c r="F72" i="29"/>
  <c r="B927" i="106" s="1"/>
  <c r="D927" i="106" s="1"/>
  <c r="B920" i="106"/>
  <c r="D920" i="106" s="1"/>
  <c r="B6637" i="106"/>
  <c r="D6637" i="106" s="1"/>
  <c r="B6665" i="106"/>
  <c r="D6665" i="106" s="1"/>
  <c r="B6980" i="106"/>
  <c r="D6980" i="106" s="1"/>
  <c r="B4447" i="106"/>
  <c r="D4447" i="106" s="1"/>
  <c r="B5393" i="106"/>
  <c r="D5393" i="106" s="1"/>
  <c r="B5057" i="106"/>
  <c r="D5057" i="106" s="1"/>
  <c r="B6623" i="106"/>
  <c r="D6623" i="106" s="1"/>
  <c r="B6641" i="106"/>
  <c r="D6641" i="106" s="1"/>
  <c r="B6950" i="106"/>
  <c r="D6950" i="106" s="1"/>
  <c r="I65" i="29"/>
  <c r="B6961" i="106" s="1"/>
  <c r="D6961" i="106" s="1"/>
  <c r="B4331" i="106"/>
  <c r="D4331" i="106" s="1"/>
  <c r="B4801" i="106"/>
  <c r="D4801" i="106" s="1"/>
  <c r="B1438" i="106"/>
  <c r="D1438" i="106" s="1"/>
  <c r="K273" i="29"/>
  <c r="B1502" i="106" s="1"/>
  <c r="D1502" i="106" s="1"/>
  <c r="B5256" i="106"/>
  <c r="D5256" i="106" s="1"/>
  <c r="C216" i="5"/>
  <c r="B7268" i="106"/>
  <c r="K203" i="29"/>
  <c r="B1385" i="106" s="1"/>
  <c r="D1385" i="106" s="1"/>
  <c r="B1373" i="106"/>
  <c r="D1373" i="106" s="1"/>
  <c r="B6802" i="106"/>
  <c r="D6802" i="106" s="1"/>
  <c r="B986" i="106"/>
  <c r="D986" i="106" s="1"/>
  <c r="I42" i="29"/>
  <c r="B6904" i="106"/>
  <c r="D6904" i="106" s="1"/>
  <c r="E72" i="29"/>
  <c r="B869" i="106" s="1"/>
  <c r="D869" i="106" s="1"/>
  <c r="B862" i="106"/>
  <c r="D862" i="106" s="1"/>
  <c r="D211" i="5"/>
  <c r="B5444" i="106" s="1"/>
  <c r="D5444" i="106" s="1"/>
  <c r="B5431" i="106"/>
  <c r="D5431" i="106" s="1"/>
  <c r="K30" i="29"/>
  <c r="B6896" i="106"/>
  <c r="D6896" i="106" s="1"/>
  <c r="B6721" i="106"/>
  <c r="D6721" i="106" s="1"/>
  <c r="B4318" i="106"/>
  <c r="D4318" i="106" s="1"/>
  <c r="B4235" i="106"/>
  <c r="D4235" i="106" s="1"/>
  <c r="F159" i="34"/>
  <c r="B6817" i="106"/>
  <c r="D6817" i="106" s="1"/>
  <c r="B6731" i="106"/>
  <c r="D6731" i="106" s="1"/>
  <c r="B6377" i="106"/>
  <c r="D6377" i="106" s="1"/>
  <c r="K167" i="29"/>
  <c r="B1327" i="106" s="1"/>
  <c r="D1327" i="106" s="1"/>
  <c r="B1313" i="106"/>
  <c r="D1313" i="106" s="1"/>
  <c r="F32" i="34"/>
  <c r="B5459" i="106"/>
  <c r="D5459" i="106" s="1"/>
  <c r="B6635" i="106"/>
  <c r="D6635" i="106" s="1"/>
  <c r="B6759" i="106"/>
  <c r="D6759" i="106" s="1"/>
  <c r="B972" i="106"/>
  <c r="D972" i="106" s="1"/>
  <c r="B7192" i="106"/>
  <c r="D7192" i="106" s="1"/>
  <c r="K292" i="29"/>
  <c r="B1514" i="106" s="1"/>
  <c r="D1514" i="106" s="1"/>
  <c r="B1451" i="106"/>
  <c r="D1451" i="106" s="1"/>
  <c r="B5243" i="106"/>
  <c r="D5243" i="106" s="1"/>
  <c r="B5619" i="106"/>
  <c r="D5619" i="106" s="1"/>
  <c r="B886" i="106"/>
  <c r="D886" i="106" s="1"/>
  <c r="B6682" i="106"/>
  <c r="D6682" i="106" s="1"/>
  <c r="F145" i="34"/>
  <c r="B5907" i="106"/>
  <c r="D5907" i="106" s="1"/>
  <c r="H184" i="5"/>
  <c r="B5908" i="106" s="1"/>
  <c r="D5908" i="106" s="1"/>
  <c r="K274" i="29"/>
  <c r="B1503" i="106" s="1"/>
  <c r="D1503" i="106" s="1"/>
  <c r="B1439" i="106"/>
  <c r="D1439" i="106" s="1"/>
  <c r="B4330" i="106"/>
  <c r="D4330" i="106" s="1"/>
  <c r="B1236" i="106"/>
  <c r="D1236" i="106" s="1"/>
  <c r="B6960" i="106"/>
  <c r="D6960" i="106" s="1"/>
  <c r="B6667" i="106"/>
  <c r="D6667" i="106" s="1"/>
  <c r="B783" i="106"/>
  <c r="D783" i="106" s="1"/>
  <c r="B7195" i="106"/>
  <c r="D7195" i="106" s="1"/>
  <c r="J330" i="29"/>
  <c r="J342" i="29" s="1"/>
  <c r="B7223" i="106" s="1"/>
  <c r="D7223" i="106" s="1"/>
  <c r="B7125" i="106"/>
  <c r="D7125" i="106" s="1"/>
  <c r="K96" i="29"/>
  <c r="B7003" i="106" s="1"/>
  <c r="D7003" i="106" s="1"/>
  <c r="B7002" i="106"/>
  <c r="D7002" i="106" s="1"/>
  <c r="B4855" i="106"/>
  <c r="D4855" i="106" s="1"/>
  <c r="B6369" i="106"/>
  <c r="D6369" i="106" s="1"/>
  <c r="B6909" i="106"/>
  <c r="D6909" i="106" s="1"/>
  <c r="B6847" i="106"/>
  <c r="D6847" i="106" s="1"/>
  <c r="B5706" i="106"/>
  <c r="D5706" i="106" s="1"/>
  <c r="B835" i="106"/>
  <c r="D835" i="106" s="1"/>
  <c r="B6651" i="106"/>
  <c r="D6651" i="106" s="1"/>
  <c r="B958" i="106"/>
  <c r="D958" i="106" s="1"/>
  <c r="B6934" i="106"/>
  <c r="D6934" i="106" s="1"/>
  <c r="B7175" i="106"/>
  <c r="D7175" i="106" s="1"/>
  <c r="B6725" i="106"/>
  <c r="D6725" i="106" s="1"/>
  <c r="B6863" i="106"/>
  <c r="D6863" i="106" s="1"/>
  <c r="B6773" i="106"/>
  <c r="D6773" i="106" s="1"/>
  <c r="F112" i="34"/>
  <c r="B5181" i="106"/>
  <c r="D5181" i="106" s="1"/>
  <c r="B6713" i="106"/>
  <c r="D6713" i="106" s="1"/>
  <c r="B763" i="106"/>
  <c r="D763" i="106" s="1"/>
  <c r="D33" i="29"/>
  <c r="B6734" i="106"/>
  <c r="D6734" i="106" s="1"/>
  <c r="B2827" i="106"/>
  <c r="D2827" i="106" s="1"/>
  <c r="B2826" i="106"/>
  <c r="D2826" i="106" s="1"/>
  <c r="K269" i="29"/>
  <c r="B1498" i="106" s="1"/>
  <c r="D1498" i="106" s="1"/>
  <c r="B1434" i="106"/>
  <c r="D1434" i="106" s="1"/>
  <c r="B1347" i="106"/>
  <c r="D1347" i="106" s="1"/>
  <c r="B6782" i="106"/>
  <c r="D6782" i="106" s="1"/>
  <c r="B6873" i="106"/>
  <c r="D6873" i="106" s="1"/>
  <c r="B6913" i="106"/>
  <c r="D6913" i="106" s="1"/>
  <c r="B1372" i="106"/>
  <c r="D1372" i="106" s="1"/>
  <c r="K200" i="29"/>
  <c r="B1384" i="106" s="1"/>
  <c r="D1384" i="106" s="1"/>
  <c r="B1245" i="106"/>
  <c r="D1245" i="106" s="1"/>
  <c r="B1243" i="106"/>
  <c r="D1243" i="106" s="1"/>
  <c r="F127" i="29"/>
  <c r="B1247" i="106" s="1"/>
  <c r="D1247" i="106" s="1"/>
  <c r="B6855" i="106"/>
  <c r="D6855" i="106" s="1"/>
  <c r="B794" i="106"/>
  <c r="D794" i="106" s="1"/>
  <c r="B1019" i="106"/>
  <c r="D1019" i="106" s="1"/>
  <c r="B4421" i="106"/>
  <c r="D4421" i="106" s="1"/>
  <c r="B7101" i="106"/>
  <c r="D7101" i="106" s="1"/>
  <c r="K89" i="29"/>
  <c r="B6990" i="106" s="1"/>
  <c r="D6990" i="106" s="1"/>
  <c r="B6989" i="106"/>
  <c r="D6989" i="106" s="1"/>
  <c r="B7123" i="106"/>
  <c r="D7123" i="106" s="1"/>
  <c r="H330" i="29"/>
  <c r="H342" i="29" s="1"/>
  <c r="B7221" i="106" s="1"/>
  <c r="D7221" i="106" s="1"/>
  <c r="D154" i="5"/>
  <c r="B5394" i="106" s="1"/>
  <c r="D5394" i="106" s="1"/>
  <c r="B5391" i="106"/>
  <c r="D5391" i="106" s="1"/>
  <c r="B6956" i="106"/>
  <c r="D6956" i="106" s="1"/>
  <c r="B955" i="106"/>
  <c r="D955" i="106" s="1"/>
  <c r="B6762" i="106"/>
  <c r="D6762" i="106" s="1"/>
  <c r="B6727" i="106"/>
  <c r="D6727" i="106" s="1"/>
  <c r="K7" i="29"/>
  <c r="F34" i="34" s="1"/>
  <c r="B6643" i="106"/>
  <c r="D6643" i="106" s="1"/>
  <c r="B6658" i="106"/>
  <c r="D6658" i="106" s="1"/>
  <c r="B1229" i="106"/>
  <c r="D1229" i="106" s="1"/>
  <c r="B5817" i="106"/>
  <c r="D5817" i="106" s="1"/>
  <c r="G224" i="5"/>
  <c r="B5829" i="106" s="1"/>
  <c r="D5829" i="106" s="1"/>
  <c r="B774" i="106"/>
  <c r="D774" i="106" s="1"/>
  <c r="B6684" i="106"/>
  <c r="D6684" i="106" s="1"/>
  <c r="B6796" i="106"/>
  <c r="D6796" i="106" s="1"/>
  <c r="B6783" i="106"/>
  <c r="D6783" i="106" s="1"/>
  <c r="B6966" i="106"/>
  <c r="D6966" i="106" s="1"/>
  <c r="B705" i="106"/>
  <c r="D705" i="106" s="1"/>
  <c r="K5" i="29"/>
  <c r="C33" i="29"/>
  <c r="B720" i="106" s="1"/>
  <c r="D720" i="106" s="1"/>
  <c r="B7087" i="106"/>
  <c r="D7087" i="106" s="1"/>
  <c r="K251" i="29"/>
  <c r="B7088" i="106" s="1"/>
  <c r="D7088" i="106" s="1"/>
  <c r="B7111" i="106"/>
  <c r="D7111" i="106" s="1"/>
  <c r="B7698" i="106"/>
  <c r="D7698" i="106" s="1"/>
  <c r="K195" i="29"/>
  <c r="B2839" i="106" s="1"/>
  <c r="D2839" i="106" s="1"/>
  <c r="B2824" i="106"/>
  <c r="D2824" i="106" s="1"/>
  <c r="B7695" i="106"/>
  <c r="D7695" i="106" s="1"/>
  <c r="B4190" i="106"/>
  <c r="D4190" i="106" s="1"/>
  <c r="B6749" i="106"/>
  <c r="D6749" i="106" s="1"/>
  <c r="B896" i="106"/>
  <c r="D896" i="106" s="1"/>
  <c r="B1408" i="106"/>
  <c r="D1408" i="106" s="1"/>
  <c r="K223" i="29"/>
  <c r="B1472" i="106" s="1"/>
  <c r="D1472" i="106" s="1"/>
  <c r="B5395" i="106"/>
  <c r="D5395" i="106" s="1"/>
  <c r="B6653" i="106"/>
  <c r="D6653" i="106" s="1"/>
  <c r="B6819" i="106"/>
  <c r="D6819" i="106" s="1"/>
  <c r="K234" i="29"/>
  <c r="B1477" i="106" s="1"/>
  <c r="D1477" i="106" s="1"/>
  <c r="B1413" i="106"/>
  <c r="D1413" i="106" s="1"/>
  <c r="B7138" i="106"/>
  <c r="D7138" i="106" s="1"/>
  <c r="D57" i="29"/>
  <c r="B795" i="106" s="1"/>
  <c r="D795" i="106" s="1"/>
  <c r="B793" i="106"/>
  <c r="D793" i="106" s="1"/>
  <c r="B5765" i="106"/>
  <c r="D5765" i="106" s="1"/>
  <c r="B5754" i="106"/>
  <c r="D5754" i="106" s="1"/>
  <c r="G144" i="5"/>
  <c r="B7008" i="106"/>
  <c r="D7008" i="106" s="1"/>
  <c r="E100" i="29"/>
  <c r="B7011" i="106" s="1"/>
  <c r="D7011" i="106" s="1"/>
  <c r="K99" i="29"/>
  <c r="B7010" i="106" s="1"/>
  <c r="D7010" i="106" s="1"/>
  <c r="I303" i="29"/>
  <c r="I312" i="29" s="1"/>
  <c r="B7116" i="106" s="1"/>
  <c r="D7116" i="106" s="1"/>
  <c r="B7099" i="106"/>
  <c r="D7099" i="106" s="1"/>
  <c r="B6712" i="106"/>
  <c r="D6712" i="106" s="1"/>
  <c r="F147" i="34"/>
  <c r="B798" i="106"/>
  <c r="D798" i="106" s="1"/>
  <c r="K61" i="29"/>
  <c r="E28" i="108" s="1"/>
  <c r="B6699" i="106"/>
  <c r="D6699" i="106" s="1"/>
  <c r="B6666" i="106"/>
  <c r="D6666" i="106" s="1"/>
  <c r="F143" i="34"/>
  <c r="B6846" i="106"/>
  <c r="D6846" i="106" s="1"/>
  <c r="B7176" i="106"/>
  <c r="D7176" i="106" s="1"/>
  <c r="B4078" i="106"/>
  <c r="D4078" i="106" s="1"/>
  <c r="B893" i="106"/>
  <c r="D893" i="106" s="1"/>
  <c r="B6884" i="106"/>
  <c r="D6884" i="106" s="1"/>
  <c r="K24" i="29"/>
  <c r="B4355" i="106"/>
  <c r="D4355" i="106" s="1"/>
  <c r="B5695" i="106"/>
  <c r="D5695" i="106" s="1"/>
  <c r="B6927" i="106"/>
  <c r="D6927" i="106" s="1"/>
  <c r="J53" i="29"/>
  <c r="B6943" i="106" s="1"/>
  <c r="D6943" i="106" s="1"/>
  <c r="B7266" i="106"/>
  <c r="B5274" i="106"/>
  <c r="D5274" i="106" s="1"/>
  <c r="C224" i="5"/>
  <c r="B5286" i="106" s="1"/>
  <c r="D5286" i="106" s="1"/>
  <c r="K125" i="29"/>
  <c r="B3488" i="106" s="1"/>
  <c r="D3488" i="106" s="1"/>
  <c r="B3482" i="106"/>
  <c r="D3482" i="106" s="1"/>
  <c r="B6379" i="106"/>
  <c r="D6379" i="106" s="1"/>
  <c r="B6630" i="106"/>
  <c r="D6630" i="106" s="1"/>
  <c r="B6979" i="106"/>
  <c r="D6979" i="106" s="1"/>
  <c r="K263" i="29"/>
  <c r="B1492" i="106" s="1"/>
  <c r="D1492" i="106" s="1"/>
  <c r="D270" i="29"/>
  <c r="B1436" i="106" s="1"/>
  <c r="D1436" i="106" s="1"/>
  <c r="B1428" i="106"/>
  <c r="D1428" i="106" s="1"/>
  <c r="B7155" i="106"/>
  <c r="D7155" i="106" s="1"/>
  <c r="B832" i="106"/>
  <c r="D832" i="106" s="1"/>
  <c r="K199" i="29"/>
  <c r="B1371" i="106"/>
  <c r="D1371" i="106" s="1"/>
  <c r="H204" i="29"/>
  <c r="B751" i="106"/>
  <c r="D751" i="106" s="1"/>
  <c r="K71" i="29"/>
  <c r="B6857" i="106"/>
  <c r="D6857" i="106" s="1"/>
  <c r="K322" i="29"/>
  <c r="B7153" i="106" s="1"/>
  <c r="D7153" i="106" s="1"/>
  <c r="B7145" i="106"/>
  <c r="D7145" i="106" s="1"/>
  <c r="B1026" i="106"/>
  <c r="D1026" i="106" s="1"/>
  <c r="B3370" i="106"/>
  <c r="D3370" i="106" s="1"/>
  <c r="B7027" i="106"/>
  <c r="D7027" i="106" s="1"/>
  <c r="B7109" i="106"/>
  <c r="D7109" i="106" s="1"/>
  <c r="B5767" i="106"/>
  <c r="D5767" i="106" s="1"/>
  <c r="K255" i="29"/>
  <c r="B7096" i="106" s="1"/>
  <c r="D7096" i="106" s="1"/>
  <c r="B7095" i="106"/>
  <c r="D7095" i="106" s="1"/>
  <c r="B5672" i="106"/>
  <c r="D5672" i="106" s="1"/>
  <c r="K226" i="29"/>
  <c r="B7080" i="106" s="1"/>
  <c r="D7080" i="106" s="1"/>
  <c r="B7079" i="106"/>
  <c r="D7079" i="106" s="1"/>
  <c r="B4315" i="106"/>
  <c r="D4315" i="106" s="1"/>
  <c r="B6787" i="106"/>
  <c r="D6787" i="106" s="1"/>
  <c r="B7265" i="106"/>
  <c r="F30" i="34"/>
  <c r="B4313" i="106"/>
  <c r="D4313" i="106" s="1"/>
  <c r="B6757" i="106"/>
  <c r="D6757" i="106" s="1"/>
  <c r="B7768" i="106"/>
  <c r="D7768" i="106" s="1"/>
  <c r="B4399" i="106"/>
  <c r="D4399" i="106" s="1"/>
  <c r="B6735" i="106"/>
  <c r="D6735" i="106" s="1"/>
  <c r="B732" i="106"/>
  <c r="D732" i="106" s="1"/>
  <c r="C53" i="29"/>
  <c r="B734" i="106" s="1"/>
  <c r="D734" i="106" s="1"/>
  <c r="K49" i="29"/>
  <c r="B891" i="106"/>
  <c r="D891" i="106" s="1"/>
  <c r="B971" i="106"/>
  <c r="D971" i="106" s="1"/>
  <c r="B4381" i="106"/>
  <c r="D4381" i="106" s="1"/>
  <c r="B6938" i="106"/>
  <c r="D6938" i="106" s="1"/>
  <c r="L84" i="29"/>
  <c r="B6384" i="106"/>
  <c r="D6384" i="106" s="1"/>
  <c r="L330" i="29"/>
  <c r="B961" i="106"/>
  <c r="D961" i="106" s="1"/>
  <c r="B7169" i="106"/>
  <c r="D7169" i="106" s="1"/>
  <c r="B7073" i="106"/>
  <c r="D7073" i="106" s="1"/>
  <c r="K216" i="29"/>
  <c r="B784" i="106"/>
  <c r="D784" i="106" s="1"/>
  <c r="B6406" i="106"/>
  <c r="D6406" i="106" s="1"/>
  <c r="B3373" i="106"/>
  <c r="D3373" i="106" s="1"/>
  <c r="B6618" i="106"/>
  <c r="D6618" i="106" s="1"/>
  <c r="G259" i="5"/>
  <c r="B6837" i="106" s="1"/>
  <c r="D6837" i="106" s="1"/>
  <c r="B979" i="106"/>
  <c r="D979" i="106" s="1"/>
  <c r="B6724" i="106"/>
  <c r="D6724" i="106" s="1"/>
  <c r="B7697" i="106"/>
  <c r="D7697" i="106" s="1"/>
  <c r="K329" i="29"/>
  <c r="B7705" i="106" s="1"/>
  <c r="D7705" i="106" s="1"/>
  <c r="B6655" i="106"/>
  <c r="D6655" i="106" s="1"/>
  <c r="B6706" i="106"/>
  <c r="D6706" i="106" s="1"/>
  <c r="K81" i="29"/>
  <c r="B2976" i="106" s="1"/>
  <c r="D2976" i="106" s="1"/>
  <c r="B2952" i="106"/>
  <c r="D2952" i="106" s="1"/>
  <c r="B6403" i="106"/>
  <c r="D6403" i="106" s="1"/>
  <c r="B2957" i="106"/>
  <c r="D2957" i="106" s="1"/>
  <c r="B7035" i="106"/>
  <c r="D7035" i="106" s="1"/>
  <c r="B6878" i="106"/>
  <c r="D6878" i="106" s="1"/>
  <c r="K21" i="29"/>
  <c r="L194" i="29"/>
  <c r="L196" i="29" s="1"/>
  <c r="G127" i="29"/>
  <c r="B1256" i="106" s="1"/>
  <c r="D1256" i="106" s="1"/>
  <c r="B1251" i="106"/>
  <c r="D1251" i="106" s="1"/>
  <c r="B5757" i="106"/>
  <c r="D5757" i="106" s="1"/>
  <c r="L243" i="29"/>
  <c r="K222" i="29"/>
  <c r="B1471" i="106" s="1"/>
  <c r="D1471" i="106" s="1"/>
  <c r="B1407" i="106"/>
  <c r="D1407" i="106" s="1"/>
  <c r="B7190" i="106"/>
  <c r="D7190" i="106" s="1"/>
  <c r="K327" i="29"/>
  <c r="B7198" i="106" s="1"/>
  <c r="D7198" i="106" s="1"/>
  <c r="F154" i="5"/>
  <c r="B5618" i="106" s="1"/>
  <c r="D5618" i="106" s="1"/>
  <c r="B5615" i="106"/>
  <c r="D5615" i="106" s="1"/>
  <c r="B837" i="106"/>
  <c r="D837" i="106" s="1"/>
  <c r="E42" i="29"/>
  <c r="B6639" i="106"/>
  <c r="D6639" i="106" s="1"/>
  <c r="B857" i="106"/>
  <c r="D857" i="106" s="1"/>
  <c r="B6669" i="106"/>
  <c r="D6669" i="106" s="1"/>
  <c r="K38" i="29"/>
  <c r="B1111" i="106" s="1"/>
  <c r="D1111" i="106" s="1"/>
  <c r="B723" i="106"/>
  <c r="D723" i="106" s="1"/>
  <c r="B6908" i="106"/>
  <c r="D6908" i="106" s="1"/>
  <c r="L53" i="29"/>
  <c r="B6636" i="106"/>
  <c r="D6636" i="106" s="1"/>
  <c r="B7252" i="106"/>
  <c r="D7252" i="106" s="1"/>
  <c r="H168" i="29"/>
  <c r="K163" i="29"/>
  <c r="B1310" i="106"/>
  <c r="D1310" i="106" s="1"/>
  <c r="B4201" i="106"/>
  <c r="D4201" i="106" s="1"/>
  <c r="K136" i="29"/>
  <c r="B2988" i="106" s="1"/>
  <c r="D2988" i="106" s="1"/>
  <c r="B6750" i="106"/>
  <c r="D6750" i="106" s="1"/>
  <c r="B6862" i="106"/>
  <c r="D6862" i="106" s="1"/>
  <c r="K278" i="29"/>
  <c r="B1509" i="106" s="1"/>
  <c r="D1509" i="106" s="1"/>
  <c r="B1445" i="106"/>
  <c r="D1445" i="106" s="1"/>
  <c r="B6411" i="106"/>
  <c r="D6411" i="106" s="1"/>
  <c r="B6702" i="106"/>
  <c r="D6702" i="106" s="1"/>
  <c r="K215" i="29"/>
  <c r="B3390" i="106" s="1"/>
  <c r="D3390" i="106" s="1"/>
  <c r="B3387" i="106"/>
  <c r="D3387" i="106" s="1"/>
  <c r="D229" i="29"/>
  <c r="B4343" i="106"/>
  <c r="D4343" i="106" s="1"/>
  <c r="B775" i="106"/>
  <c r="D775" i="106" s="1"/>
  <c r="B7108" i="106"/>
  <c r="D7108" i="106" s="1"/>
  <c r="K307" i="29"/>
  <c r="B4099" i="106" s="1"/>
  <c r="D4099" i="106" s="1"/>
  <c r="B6987" i="106"/>
  <c r="D6987" i="106" s="1"/>
  <c r="K88" i="29"/>
  <c r="B6988" i="106" s="1"/>
  <c r="D6988" i="106" s="1"/>
  <c r="B6898" i="106"/>
  <c r="D6898" i="106" s="1"/>
  <c r="K31" i="29"/>
  <c r="B6842" i="106"/>
  <c r="D6842" i="106" s="1"/>
  <c r="B6856" i="106"/>
  <c r="D6856" i="106" s="1"/>
  <c r="D224" i="5"/>
  <c r="B5470" i="106" s="1"/>
  <c r="D5470" i="106" s="1"/>
  <c r="B5458" i="106"/>
  <c r="D5458" i="106" s="1"/>
  <c r="F31" i="34"/>
  <c r="B5313" i="106"/>
  <c r="D5313" i="106" s="1"/>
  <c r="F167" i="34"/>
  <c r="B7184" i="106"/>
  <c r="D7184" i="106" s="1"/>
  <c r="B3645" i="106"/>
  <c r="D3645" i="106" s="1"/>
  <c r="G350" i="29"/>
  <c r="L310" i="29"/>
  <c r="B736" i="106"/>
  <c r="D736" i="106" s="1"/>
  <c r="K56" i="29"/>
  <c r="B781" i="106"/>
  <c r="D781" i="106" s="1"/>
  <c r="D303" i="29"/>
  <c r="D312" i="29" s="1"/>
  <c r="B1530" i="106" s="1"/>
  <c r="D1530" i="106" s="1"/>
  <c r="B1525" i="106"/>
  <c r="D1525" i="106" s="1"/>
  <c r="B6368" i="106"/>
  <c r="D6368" i="106" s="1"/>
  <c r="E172" i="5"/>
  <c r="B5537" i="106" s="1"/>
  <c r="D5537" i="106" s="1"/>
  <c r="B4334" i="106"/>
  <c r="D4334" i="106" s="1"/>
  <c r="B7159" i="106"/>
  <c r="D7159" i="106" s="1"/>
  <c r="B5177" i="106"/>
  <c r="D5177" i="106" s="1"/>
  <c r="B7703" i="106"/>
  <c r="D7703" i="106" s="1"/>
  <c r="B6906" i="106"/>
  <c r="D6906" i="106" s="1"/>
  <c r="B4322" i="106"/>
  <c r="D4322" i="106" s="1"/>
  <c r="B1433" i="106"/>
  <c r="D1433" i="106" s="1"/>
  <c r="K268" i="29"/>
  <c r="B1497" i="106" s="1"/>
  <c r="D1497" i="106" s="1"/>
  <c r="K254" i="29"/>
  <c r="B7094" i="106" s="1"/>
  <c r="D7094" i="106" s="1"/>
  <c r="B7093" i="106"/>
  <c r="D7093" i="106" s="1"/>
  <c r="K275" i="29"/>
  <c r="B1504" i="106" s="1"/>
  <c r="D1504" i="106" s="1"/>
  <c r="B1440" i="106"/>
  <c r="D1440" i="106" s="1"/>
  <c r="G303" i="29"/>
  <c r="G312" i="29" s="1"/>
  <c r="B1548" i="106" s="1"/>
  <c r="D1548" i="106" s="1"/>
  <c r="B1543" i="106"/>
  <c r="D1543" i="106" s="1"/>
  <c r="K191" i="29"/>
  <c r="B3010" i="106" s="1"/>
  <c r="D3010" i="106" s="1"/>
  <c r="B2992" i="106"/>
  <c r="D2992" i="106" s="1"/>
  <c r="B1232" i="106"/>
  <c r="D1232" i="106" s="1"/>
  <c r="K79" i="29"/>
  <c r="B2974" i="106" s="1"/>
  <c r="D2974" i="106" s="1"/>
  <c r="B2950" i="106"/>
  <c r="D2950" i="106" s="1"/>
  <c r="B7028" i="106"/>
  <c r="D7028" i="106" s="1"/>
  <c r="B6970" i="106"/>
  <c r="D6970" i="106" s="1"/>
  <c r="B6775" i="106"/>
  <c r="D6775" i="106" s="1"/>
  <c r="B1248" i="106"/>
  <c r="D1248" i="106" s="1"/>
  <c r="B1252" i="106"/>
  <c r="D1252" i="106" s="1"/>
  <c r="B754" i="106"/>
  <c r="D754" i="106" s="1"/>
  <c r="K73" i="29"/>
  <c r="B4314" i="106"/>
  <c r="D4314" i="106" s="1"/>
  <c r="B5384" i="106"/>
  <c r="D5384" i="106" s="1"/>
  <c r="B2813" i="106"/>
  <c r="D2813" i="106" s="1"/>
  <c r="K166" i="29"/>
  <c r="B2819" i="106" s="1"/>
  <c r="D2819" i="106" s="1"/>
  <c r="B7152" i="106"/>
  <c r="D7152" i="106" s="1"/>
  <c r="B4401" i="106"/>
  <c r="D4401" i="106" s="1"/>
  <c r="B7687" i="106"/>
  <c r="D7687" i="106" s="1"/>
  <c r="B1450" i="106"/>
  <c r="D1450" i="106" s="1"/>
  <c r="K289" i="29"/>
  <c r="B1513" i="106" s="1"/>
  <c r="D1513" i="106" s="1"/>
  <c r="B872" i="106"/>
  <c r="D872" i="106" s="1"/>
  <c r="B3057" i="106"/>
  <c r="D3057" i="106" s="1"/>
  <c r="D191" i="5"/>
  <c r="B5426" i="106"/>
  <c r="D5426" i="106" s="1"/>
  <c r="B1013" i="106"/>
  <c r="D1013" i="106" s="1"/>
  <c r="L92" i="29"/>
  <c r="L102" i="29" s="1"/>
  <c r="B1366" i="106"/>
  <c r="D1366" i="106" s="1"/>
  <c r="K111" i="29"/>
  <c r="B7017" i="106" s="1"/>
  <c r="D7017" i="106" s="1"/>
  <c r="B7016" i="106"/>
  <c r="D7016" i="106" s="1"/>
  <c r="B4792" i="106"/>
  <c r="D4792" i="106" s="1"/>
  <c r="F125" i="34"/>
  <c r="B839" i="106"/>
  <c r="D839" i="106" s="1"/>
  <c r="B7130" i="106"/>
  <c r="D7130" i="106" s="1"/>
  <c r="B6888" i="106"/>
  <c r="D6888" i="106" s="1"/>
  <c r="K26" i="29"/>
  <c r="J65" i="29"/>
  <c r="B6962" i="106" s="1"/>
  <c r="D6962" i="106" s="1"/>
  <c r="B6951" i="106"/>
  <c r="D6951" i="106" s="1"/>
  <c r="B4328" i="106"/>
  <c r="D4328" i="106" s="1"/>
  <c r="B2949" i="106"/>
  <c r="D2949" i="106" s="1"/>
  <c r="K78" i="29"/>
  <c r="B2973" i="106" s="1"/>
  <c r="D2973" i="106" s="1"/>
  <c r="E84" i="29"/>
  <c r="B7164" i="106"/>
  <c r="D7164" i="106" s="1"/>
  <c r="B4377" i="106"/>
  <c r="D4377" i="106" s="1"/>
  <c r="B1350" i="106"/>
  <c r="D1350" i="106" s="1"/>
  <c r="C184" i="5"/>
  <c r="B5230" i="106"/>
  <c r="D5230" i="106" s="1"/>
  <c r="F126" i="34"/>
  <c r="K37" i="29"/>
  <c r="B1110" i="106" s="1"/>
  <c r="D1110" i="106" s="1"/>
  <c r="B722" i="106"/>
  <c r="D722" i="106" s="1"/>
  <c r="B4075" i="106"/>
  <c r="D4075" i="106" s="1"/>
  <c r="K67" i="29"/>
  <c r="B1134" i="106" s="1"/>
  <c r="D1134" i="106" s="1"/>
  <c r="C72" i="29"/>
  <c r="B753" i="106" s="1"/>
  <c r="D753" i="106" s="1"/>
  <c r="B746" i="106"/>
  <c r="D746" i="106" s="1"/>
  <c r="B7039" i="106"/>
  <c r="D7039" i="106" s="1"/>
  <c r="B6915" i="106"/>
  <c r="D6915" i="106" s="1"/>
  <c r="B6694" i="106"/>
  <c r="D6694" i="106" s="1"/>
  <c r="E127" i="29"/>
  <c r="B1239" i="106" s="1"/>
  <c r="D1239" i="106" s="1"/>
  <c r="B1235" i="106"/>
  <c r="D1235" i="106" s="1"/>
  <c r="B5462" i="106"/>
  <c r="D5462" i="106" s="1"/>
  <c r="B2832" i="106"/>
  <c r="D2832" i="106" s="1"/>
  <c r="K202" i="29"/>
  <c r="B2842" i="106" s="1"/>
  <c r="D2842" i="106" s="1"/>
  <c r="B6726" i="106"/>
  <c r="D6726" i="106" s="1"/>
  <c r="B1425" i="106"/>
  <c r="D1425" i="106" s="1"/>
  <c r="D261" i="29"/>
  <c r="B1427" i="106" s="1"/>
  <c r="D1427" i="106" s="1"/>
  <c r="K259" i="29"/>
  <c r="B721" i="106"/>
  <c r="D721" i="106" s="1"/>
  <c r="C42" i="29"/>
  <c r="K36" i="29"/>
  <c r="B5697" i="106"/>
  <c r="D5697" i="106" s="1"/>
  <c r="B7704" i="106"/>
  <c r="D7704" i="106" s="1"/>
  <c r="B4351" i="106"/>
  <c r="D4351" i="106" s="1"/>
  <c r="F109" i="34"/>
  <c r="B6758" i="106"/>
  <c r="D6758" i="106" s="1"/>
  <c r="B4419" i="106"/>
  <c r="D4419" i="106" s="1"/>
  <c r="B6920" i="106"/>
  <c r="D6920" i="106" s="1"/>
  <c r="B6761" i="106"/>
  <c r="D6761" i="106" s="1"/>
  <c r="F152" i="34"/>
  <c r="B5194" i="106"/>
  <c r="D5194" i="106" s="1"/>
  <c r="F114" i="34"/>
  <c r="B6732" i="106"/>
  <c r="D6732" i="106" s="1"/>
  <c r="B6387" i="106"/>
  <c r="D6387" i="106" s="1"/>
  <c r="B4369" i="106"/>
  <c r="D4369" i="106" s="1"/>
  <c r="B4393" i="106"/>
  <c r="D4393" i="106" s="1"/>
  <c r="B7247" i="106"/>
  <c r="D7247" i="106" s="1"/>
  <c r="B5438" i="106"/>
  <c r="D5438" i="106" s="1"/>
  <c r="K75" i="29"/>
  <c r="B756" i="106"/>
  <c r="D756" i="106" s="1"/>
  <c r="K280" i="29"/>
  <c r="B1447" i="106"/>
  <c r="D1447" i="106" s="1"/>
  <c r="B4341" i="106"/>
  <c r="D4341" i="106" s="1"/>
  <c r="B4947" i="106"/>
  <c r="D4947" i="106" s="1"/>
  <c r="B7251" i="106"/>
  <c r="D7251" i="106" s="1"/>
  <c r="K9" i="29"/>
  <c r="B6853" i="106" s="1"/>
  <c r="D6853" i="106" s="1"/>
  <c r="K22" i="29"/>
  <c r="B6881" i="106" s="1"/>
  <c r="D6881" i="106" s="1"/>
  <c r="B6880" i="106"/>
  <c r="D6880" i="106" s="1"/>
  <c r="B5432" i="106"/>
  <c r="D5432" i="106" s="1"/>
  <c r="B6660" i="106"/>
  <c r="D6660" i="106" s="1"/>
  <c r="B845" i="106"/>
  <c r="D845" i="106" s="1"/>
  <c r="B903" i="106"/>
  <c r="D903" i="106" s="1"/>
  <c r="B5755" i="106"/>
  <c r="D5755" i="106" s="1"/>
  <c r="B770" i="106"/>
  <c r="D770" i="106" s="1"/>
  <c r="B858" i="106"/>
  <c r="D858" i="106" s="1"/>
  <c r="B7694" i="106"/>
  <c r="D7694" i="106" s="1"/>
  <c r="B6646" i="106"/>
  <c r="D6646" i="106" s="1"/>
  <c r="C228" i="5"/>
  <c r="B5301" i="106"/>
  <c r="D5301" i="106" s="1"/>
  <c r="B5060" i="106"/>
  <c r="D5060" i="106" s="1"/>
  <c r="F120" i="34"/>
  <c r="B4077" i="106"/>
  <c r="D4077" i="106" s="1"/>
  <c r="F129" i="29"/>
  <c r="B6843" i="106"/>
  <c r="D6843" i="106" s="1"/>
  <c r="B5058" i="106"/>
  <c r="D5058" i="106" s="1"/>
  <c r="I47" i="29"/>
  <c r="B6924" i="106" s="1"/>
  <c r="D6924" i="106" s="1"/>
  <c r="B6918" i="106"/>
  <c r="D6918" i="106" s="1"/>
  <c r="B2991" i="106"/>
  <c r="D2991" i="106" s="1"/>
  <c r="K190" i="29"/>
  <c r="B3009" i="106" s="1"/>
  <c r="D3009" i="106" s="1"/>
  <c r="B2980" i="106"/>
  <c r="D2980" i="106" s="1"/>
  <c r="B5798" i="106"/>
  <c r="D5798" i="106" s="1"/>
  <c r="B6936" i="106"/>
  <c r="D6936" i="106" s="1"/>
  <c r="B2997" i="106"/>
  <c r="D2997" i="106" s="1"/>
  <c r="B6794" i="106"/>
  <c r="D6794" i="106" s="1"/>
  <c r="B6868" i="106"/>
  <c r="D6868" i="106" s="1"/>
  <c r="B863" i="106"/>
  <c r="D863" i="106" s="1"/>
  <c r="B6788" i="106"/>
  <c r="D6788" i="106" s="1"/>
  <c r="B2954" i="106"/>
  <c r="D2954" i="106" s="1"/>
  <c r="K83" i="29"/>
  <c r="B2978" i="106" s="1"/>
  <c r="D2978" i="106" s="1"/>
  <c r="B6627" i="106"/>
  <c r="D6627" i="106" s="1"/>
  <c r="B4199" i="106"/>
  <c r="D4199" i="106" s="1"/>
  <c r="K134" i="29"/>
  <c r="E137" i="29"/>
  <c r="B780" i="106"/>
  <c r="D780" i="106" s="1"/>
  <c r="B7765" i="106"/>
  <c r="D7765" i="106" s="1"/>
  <c r="F163" i="34"/>
  <c r="B4329" i="106"/>
  <c r="D4329" i="106" s="1"/>
  <c r="F124" i="34"/>
  <c r="B6703" i="106"/>
  <c r="D6703" i="106" s="1"/>
  <c r="K41" i="29"/>
  <c r="B1114" i="106" s="1"/>
  <c r="D1114" i="106" s="1"/>
  <c r="B726" i="106"/>
  <c r="D726" i="106" s="1"/>
  <c r="B1546" i="106"/>
  <c r="D1546" i="106" s="1"/>
  <c r="B6763" i="106"/>
  <c r="D6763" i="106" s="1"/>
  <c r="B6659" i="106"/>
  <c r="D6659" i="106" s="1"/>
  <c r="B2955" i="106"/>
  <c r="D2955" i="106" s="1"/>
  <c r="H84" i="29"/>
  <c r="B2081" i="106" s="1"/>
  <c r="D2081" i="106" s="1"/>
  <c r="B6778" i="106"/>
  <c r="D6778" i="106" s="1"/>
  <c r="B3389" i="106"/>
  <c r="D3389" i="106" s="1"/>
  <c r="K228" i="29"/>
  <c r="B3392" i="106" s="1"/>
  <c r="D3392" i="106" s="1"/>
  <c r="B1030" i="106"/>
  <c r="D1030" i="106" s="1"/>
  <c r="H47" i="29"/>
  <c r="B1021" i="106" s="1"/>
  <c r="D1021" i="106" s="1"/>
  <c r="B1018" i="106"/>
  <c r="D1018" i="106" s="1"/>
  <c r="F166" i="34"/>
  <c r="B4415" i="106"/>
  <c r="D4415" i="106" s="1"/>
  <c r="B6814" i="106"/>
  <c r="D6814" i="106" s="1"/>
  <c r="B2959" i="106"/>
  <c r="D2959" i="106" s="1"/>
  <c r="B1344" i="106"/>
  <c r="D1344" i="106" s="1"/>
  <c r="H350" i="29"/>
  <c r="B3652" i="106"/>
  <c r="D3652" i="106" s="1"/>
  <c r="B1041" i="106"/>
  <c r="D1041" i="106" s="1"/>
  <c r="B5254" i="106"/>
  <c r="D5254" i="106" s="1"/>
  <c r="B6776" i="106"/>
  <c r="D6776" i="106" s="1"/>
  <c r="B2958" i="106"/>
  <c r="D2958" i="106" s="1"/>
  <c r="B3483" i="106"/>
  <c r="D3483" i="106" s="1"/>
  <c r="J129" i="29"/>
  <c r="B7023" i="106"/>
  <c r="D7023" i="106" s="1"/>
  <c r="B4808" i="106"/>
  <c r="D4808" i="106" s="1"/>
  <c r="B4333" i="106"/>
  <c r="D4333" i="106" s="1"/>
  <c r="B6754" i="106"/>
  <c r="D6754" i="106" s="1"/>
  <c r="K363" i="29"/>
  <c r="B7241" i="106" s="1"/>
  <c r="D7241" i="106" s="1"/>
  <c r="B7240" i="106"/>
  <c r="D7240" i="106" s="1"/>
  <c r="B7149" i="106"/>
  <c r="D7149" i="106" s="1"/>
  <c r="B6631" i="106"/>
  <c r="D6631" i="106" s="1"/>
  <c r="K82" i="29"/>
  <c r="B2977" i="106" s="1"/>
  <c r="D2977" i="106" s="1"/>
  <c r="B2953" i="106"/>
  <c r="D2953" i="106" s="1"/>
  <c r="B3372" i="106"/>
  <c r="D3372" i="106" s="1"/>
  <c r="D238" i="29"/>
  <c r="B1411" i="106"/>
  <c r="D1411" i="106" s="1"/>
  <c r="K232" i="29"/>
  <c r="B2979" i="106"/>
  <c r="D2979" i="106" s="1"/>
  <c r="H137" i="29"/>
  <c r="G53" i="29"/>
  <c r="B966" i="106" s="1"/>
  <c r="D966" i="106" s="1"/>
  <c r="B964" i="106"/>
  <c r="D964" i="106" s="1"/>
  <c r="K259" i="5"/>
  <c r="B6840" i="106" s="1"/>
  <c r="D6840" i="106" s="1"/>
  <c r="B6621" i="106"/>
  <c r="D6621" i="106" s="1"/>
  <c r="B3625" i="106"/>
  <c r="D3625" i="106" s="1"/>
  <c r="B1025" i="106"/>
  <c r="D1025" i="106" s="1"/>
  <c r="H57" i="29"/>
  <c r="B1027" i="106" s="1"/>
  <c r="D1027" i="106" s="1"/>
  <c r="B968" i="106"/>
  <c r="D968" i="106" s="1"/>
  <c r="B807" i="106"/>
  <c r="D807" i="106" s="1"/>
  <c r="B6785" i="106"/>
  <c r="D6785" i="106" s="1"/>
  <c r="B6933" i="106"/>
  <c r="D6933" i="106" s="1"/>
  <c r="B7701" i="106"/>
  <c r="D7701" i="106" s="1"/>
  <c r="B6412" i="106"/>
  <c r="D6412" i="106" s="1"/>
  <c r="B4402" i="106"/>
  <c r="D4402" i="106" s="1"/>
  <c r="B6820" i="106"/>
  <c r="D6820" i="106" s="1"/>
  <c r="B5860" i="106"/>
  <c r="D5860" i="106" s="1"/>
  <c r="B3374" i="106"/>
  <c r="D3374" i="106" s="1"/>
  <c r="B7233" i="106"/>
  <c r="D7233" i="106" s="1"/>
  <c r="B6711" i="106"/>
  <c r="D6711" i="106" s="1"/>
  <c r="B4379" i="106"/>
  <c r="D4379" i="106" s="1"/>
  <c r="L137" i="29"/>
  <c r="L139" i="29" s="1"/>
  <c r="K144" i="29"/>
  <c r="B2810" i="106" s="1"/>
  <c r="D2810" i="106" s="1"/>
  <c r="B2807" i="106"/>
  <c r="D2807" i="106" s="1"/>
  <c r="K106" i="29"/>
  <c r="B1147" i="106" s="1"/>
  <c r="D1147" i="106" s="1"/>
  <c r="B1049" i="106"/>
  <c r="D1049" i="106" s="1"/>
  <c r="B6710" i="106"/>
  <c r="D6710" i="106" s="1"/>
  <c r="B7258" i="106"/>
  <c r="D7258" i="106" s="1"/>
  <c r="B6715" i="106"/>
  <c r="D6715" i="106" s="1"/>
  <c r="B7259" i="106"/>
  <c r="D7259" i="106" s="1"/>
  <c r="J178" i="5"/>
  <c r="B6400" i="106" s="1"/>
  <c r="D6400" i="106" s="1"/>
  <c r="B6398" i="106"/>
  <c r="D6398" i="106" s="1"/>
  <c r="B5241" i="106"/>
  <c r="D5241" i="106" s="1"/>
  <c r="B3639" i="106"/>
  <c r="D3639" i="106" s="1"/>
  <c r="B1008" i="106"/>
  <c r="D1008" i="106" s="1"/>
  <c r="B928" i="106"/>
  <c r="D928" i="106" s="1"/>
  <c r="B867" i="106"/>
  <c r="D867" i="106" s="1"/>
  <c r="B6867" i="106"/>
  <c r="D6867" i="106" s="1"/>
  <c r="B6894" i="106"/>
  <c r="D6894" i="106" s="1"/>
  <c r="K29" i="29"/>
  <c r="B6895" i="106" s="1"/>
  <c r="D6895" i="106" s="1"/>
  <c r="B6697" i="106"/>
  <c r="D6697" i="106" s="1"/>
  <c r="B4948" i="106"/>
  <c r="D4948" i="106" s="1"/>
  <c r="B4370" i="106"/>
  <c r="D4370" i="106" s="1"/>
  <c r="B6816" i="106"/>
  <c r="D6816" i="106" s="1"/>
  <c r="B895" i="106"/>
  <c r="D895" i="106" s="1"/>
  <c r="F42" i="29"/>
  <c r="B6947" i="106"/>
  <c r="D6947" i="106" s="1"/>
  <c r="K68" i="29"/>
  <c r="B747" i="106"/>
  <c r="D747" i="106" s="1"/>
  <c r="F33" i="29"/>
  <c r="B894" i="106" s="1"/>
  <c r="D894" i="106" s="1"/>
  <c r="B879" i="106"/>
  <c r="D879" i="106" s="1"/>
  <c r="B6818" i="106"/>
  <c r="D6818" i="106" s="1"/>
  <c r="B7688" i="106"/>
  <c r="D7688" i="106" s="1"/>
  <c r="K328" i="29"/>
  <c r="B7696" i="106" s="1"/>
  <c r="D7696" i="106" s="1"/>
  <c r="K25" i="29"/>
  <c r="B6886" i="106"/>
  <c r="D6886" i="106" s="1"/>
  <c r="B5858" i="106"/>
  <c r="D5858" i="106" s="1"/>
  <c r="B1028" i="106"/>
  <c r="D1028" i="106" s="1"/>
  <c r="H65" i="29"/>
  <c r="B1035" i="106" s="1"/>
  <c r="D1035" i="106" s="1"/>
  <c r="B1002" i="106"/>
  <c r="D1002" i="106" s="1"/>
  <c r="B7692" i="106"/>
  <c r="D7692" i="106" s="1"/>
  <c r="K218" i="29"/>
  <c r="B7075" i="106"/>
  <c r="D7075" i="106" s="1"/>
  <c r="B4327" i="106"/>
  <c r="D4327" i="106" s="1"/>
  <c r="B3646" i="106"/>
  <c r="D3646" i="106" s="1"/>
  <c r="B6870" i="106"/>
  <c r="D6870" i="106" s="1"/>
  <c r="B1402" i="106"/>
  <c r="D1402" i="106" s="1"/>
  <c r="K227" i="29"/>
  <c r="B1466" i="106" s="1"/>
  <c r="D1466" i="106" s="1"/>
  <c r="B7129" i="106"/>
  <c r="D7129" i="106" s="1"/>
  <c r="B4391" i="106"/>
  <c r="D4391" i="106" s="1"/>
  <c r="F162" i="34"/>
  <c r="B7761" i="106"/>
  <c r="D7761" i="106" s="1"/>
  <c r="B6678" i="106"/>
  <c r="D6678" i="106" s="1"/>
  <c r="B2800" i="106"/>
  <c r="D2800" i="106" s="1"/>
  <c r="B6672" i="106"/>
  <c r="D6672" i="106" s="1"/>
  <c r="D216" i="5"/>
  <c r="B4412" i="106" s="1"/>
  <c r="D4412" i="106" s="1"/>
  <c r="B5440" i="106"/>
  <c r="D5440" i="106" s="1"/>
  <c r="B925" i="106"/>
  <c r="D925" i="106" s="1"/>
  <c r="B4352" i="106"/>
  <c r="D4352" i="106" s="1"/>
  <c r="B6614" i="106"/>
  <c r="D6614" i="106" s="1"/>
  <c r="C259" i="5"/>
  <c r="B6833" i="106" s="1"/>
  <c r="D6833" i="106" s="1"/>
  <c r="B6828" i="106"/>
  <c r="D6828" i="106" s="1"/>
  <c r="B5855" i="106"/>
  <c r="D5855" i="106" s="1"/>
  <c r="L357" i="29"/>
  <c r="B6686" i="106"/>
  <c r="D6686" i="106" s="1"/>
  <c r="B859" i="106"/>
  <c r="D859" i="106" s="1"/>
  <c r="B6799" i="106"/>
  <c r="D6799" i="106" s="1"/>
  <c r="B5056" i="106"/>
  <c r="D5056" i="106" s="1"/>
  <c r="F119" i="34"/>
  <c r="B4380" i="106"/>
  <c r="D4380" i="106" s="1"/>
  <c r="L110" i="29"/>
  <c r="L112" i="29" s="1"/>
  <c r="B1031" i="106"/>
  <c r="D1031" i="106" s="1"/>
  <c r="B6753" i="106"/>
  <c r="D6753" i="106" s="1"/>
  <c r="F151" i="34"/>
  <c r="B6730" i="106"/>
  <c r="D6730" i="106" s="1"/>
  <c r="B6405" i="106"/>
  <c r="D6405" i="106" s="1"/>
  <c r="B733" i="106"/>
  <c r="D733" i="106" s="1"/>
  <c r="K50" i="29"/>
  <c r="D257" i="29"/>
  <c r="B1424" i="106" s="1"/>
  <c r="D1424" i="106" s="1"/>
  <c r="K245" i="29"/>
  <c r="B1486" i="106" s="1"/>
  <c r="D1486" i="106" s="1"/>
  <c r="B1422" i="106"/>
  <c r="D1422" i="106" s="1"/>
  <c r="B6616" i="106"/>
  <c r="D6616" i="106" s="1"/>
  <c r="E259" i="5"/>
  <c r="K59" i="29"/>
  <c r="D65" i="29"/>
  <c r="B803" i="106" s="1"/>
  <c r="D803" i="106" s="1"/>
  <c r="B796" i="106"/>
  <c r="D796" i="106" s="1"/>
  <c r="B914" i="106"/>
  <c r="D914" i="106" s="1"/>
  <c r="B4358" i="106"/>
  <c r="D4358" i="106" s="1"/>
  <c r="F172" i="34"/>
  <c r="L270" i="29"/>
  <c r="B7161" i="106"/>
  <c r="D7161" i="106" s="1"/>
  <c r="B5821" i="106"/>
  <c r="D5821" i="106" s="1"/>
  <c r="B3638" i="106"/>
  <c r="D3638" i="106" s="1"/>
  <c r="F350" i="29"/>
  <c r="B799" i="106"/>
  <c r="D799" i="106" s="1"/>
  <c r="F118" i="34"/>
  <c r="B6385" i="106"/>
  <c r="D6385" i="106" s="1"/>
  <c r="B5844" i="106"/>
  <c r="D5844" i="106" s="1"/>
  <c r="G228" i="5"/>
  <c r="B5847" i="106" s="1"/>
  <c r="D5847" i="106" s="1"/>
  <c r="B6841" i="106"/>
  <c r="D6841" i="106" s="1"/>
  <c r="F164" i="34"/>
  <c r="K283" i="29"/>
  <c r="B3721" i="106"/>
  <c r="D3721" i="106" s="1"/>
  <c r="D285" i="29"/>
  <c r="B3722" i="106" s="1"/>
  <c r="D3722" i="106" s="1"/>
  <c r="C211" i="5"/>
  <c r="B5260" i="106" s="1"/>
  <c r="D5260" i="106" s="1"/>
  <c r="B5247" i="106"/>
  <c r="D5247" i="106" s="1"/>
  <c r="B902" i="106"/>
  <c r="D902" i="106" s="1"/>
  <c r="F47" i="29"/>
  <c r="B905" i="106" s="1"/>
  <c r="D905" i="106" s="1"/>
  <c r="B6810" i="106"/>
  <c r="D6810" i="106" s="1"/>
  <c r="B7181" i="106"/>
  <c r="D7181" i="106" s="1"/>
  <c r="K326" i="29"/>
  <c r="B7189" i="106" s="1"/>
  <c r="D7189" i="106" s="1"/>
  <c r="B822" i="106"/>
  <c r="D822" i="106" s="1"/>
  <c r="B6401" i="106"/>
  <c r="D6401" i="106" s="1"/>
  <c r="C201" i="5"/>
  <c r="B6955" i="106"/>
  <c r="D6955" i="106" s="1"/>
  <c r="B996" i="106"/>
  <c r="D996" i="106" s="1"/>
  <c r="D228" i="5"/>
  <c r="B5488" i="106" s="1"/>
  <c r="D5488" i="106" s="1"/>
  <c r="B5485" i="106"/>
  <c r="D5485" i="106" s="1"/>
  <c r="K27" i="29"/>
  <c r="B6890" i="106"/>
  <c r="D6890" i="106" s="1"/>
  <c r="B6954" i="106"/>
  <c r="D6954" i="106" s="1"/>
  <c r="K97" i="29"/>
  <c r="B7005" i="106" s="1"/>
  <c r="D7005" i="106" s="1"/>
  <c r="B7004" i="106"/>
  <c r="D7004" i="106" s="1"/>
  <c r="B7040" i="106"/>
  <c r="D7040" i="106" s="1"/>
  <c r="B7262" i="106"/>
  <c r="B7178" i="106"/>
  <c r="D7178" i="106" s="1"/>
  <c r="B1537" i="106"/>
  <c r="D1537" i="106" s="1"/>
  <c r="F303" i="29"/>
  <c r="F312" i="29" s="1"/>
  <c r="B1542" i="106" s="1"/>
  <c r="D1542" i="106" s="1"/>
  <c r="B6998" i="106"/>
  <c r="D6998" i="106" s="1"/>
  <c r="K94" i="29"/>
  <c r="B6999" i="106" s="1"/>
  <c r="D6999" i="106" s="1"/>
  <c r="B6946" i="106"/>
  <c r="D6946" i="106" s="1"/>
  <c r="B6939" i="106"/>
  <c r="D6939" i="106" s="1"/>
  <c r="B1051" i="106"/>
  <c r="D1051" i="106" s="1"/>
  <c r="K109" i="29"/>
  <c r="B1149" i="106" s="1"/>
  <c r="D1149" i="106" s="1"/>
  <c r="B6719" i="106"/>
  <c r="D6719" i="106" s="1"/>
  <c r="B1228" i="106"/>
  <c r="D1228" i="106" s="1"/>
  <c r="B7102" i="106"/>
  <c r="D7102" i="106" s="1"/>
  <c r="D259" i="5"/>
  <c r="B6834" i="106" s="1"/>
  <c r="D6834" i="106" s="1"/>
  <c r="B6615" i="106"/>
  <c r="D6615" i="106" s="1"/>
  <c r="B1037" i="106"/>
  <c r="D1037" i="106" s="1"/>
  <c r="B6910" i="106"/>
  <c r="D6910" i="106" s="1"/>
  <c r="F108" i="34"/>
  <c r="B5167" i="106"/>
  <c r="D5167" i="106" s="1"/>
  <c r="B7031" i="106"/>
  <c r="D7031" i="106" s="1"/>
  <c r="B6649" i="106"/>
  <c r="D6649" i="106" s="1"/>
  <c r="B5439" i="106"/>
  <c r="D5439" i="106" s="1"/>
  <c r="B7196" i="106"/>
  <c r="D7196" i="106" s="1"/>
  <c r="B4813" i="106"/>
  <c r="D4813" i="106" s="1"/>
  <c r="K276" i="29"/>
  <c r="B1506" i="106" s="1"/>
  <c r="D1506" i="106" s="1"/>
  <c r="B1442" i="106"/>
  <c r="D1442" i="106" s="1"/>
  <c r="B6632" i="106"/>
  <c r="D6632" i="106" s="1"/>
  <c r="J350" i="29"/>
  <c r="B7231" i="106" s="1"/>
  <c r="D7231" i="106" s="1"/>
  <c r="B7227" i="106"/>
  <c r="D7227" i="106" s="1"/>
  <c r="B800" i="106"/>
  <c r="D800" i="106" s="1"/>
  <c r="B3648" i="106"/>
  <c r="D3648" i="106" s="1"/>
  <c r="B6714" i="106"/>
  <c r="D6714" i="106" s="1"/>
  <c r="B4410" i="106"/>
  <c r="D4410" i="106" s="1"/>
  <c r="B4946" i="106"/>
  <c r="D4946" i="106" s="1"/>
  <c r="B6689" i="106"/>
  <c r="D6689" i="106" s="1"/>
  <c r="K248" i="29"/>
  <c r="B7082" i="106" s="1"/>
  <c r="D7082" i="106" s="1"/>
  <c r="B7081" i="106"/>
  <c r="D7081" i="106" s="1"/>
  <c r="B2720" i="106"/>
  <c r="D2720" i="106" s="1"/>
  <c r="G184" i="29"/>
  <c r="B4085" i="106"/>
  <c r="D4085" i="106" s="1"/>
  <c r="B4338" i="106"/>
  <c r="D4338" i="106" s="1"/>
  <c r="B5187" i="106"/>
  <c r="D5187" i="106" s="1"/>
  <c r="F113" i="34"/>
  <c r="B7187" i="106"/>
  <c r="D7187" i="106" s="1"/>
  <c r="B4200" i="106"/>
  <c r="D4200" i="106" s="1"/>
  <c r="K135" i="29"/>
  <c r="B2987" i="106" s="1"/>
  <c r="D2987" i="106" s="1"/>
  <c r="B6707" i="106"/>
  <c r="D6707" i="106" s="1"/>
  <c r="B5654" i="106"/>
  <c r="D5654" i="106" s="1"/>
  <c r="F178" i="5"/>
  <c r="B5655" i="106" s="1"/>
  <c r="D5655" i="106" s="1"/>
  <c r="B3484" i="106"/>
  <c r="D3484" i="106" s="1"/>
  <c r="G211" i="5"/>
  <c r="B5803" i="106" s="1"/>
  <c r="D5803" i="106" s="1"/>
  <c r="B5790" i="106"/>
  <c r="D5790" i="106" s="1"/>
  <c r="I330" i="29"/>
  <c r="I342" i="29" s="1"/>
  <c r="B7222" i="106" s="1"/>
  <c r="D7222" i="106" s="1"/>
  <c r="B7124" i="106"/>
  <c r="D7124" i="106" s="1"/>
  <c r="B4354" i="106"/>
  <c r="D4354" i="106" s="1"/>
  <c r="B6709" i="106"/>
  <c r="D6709" i="106" s="1"/>
  <c r="B6905" i="106"/>
  <c r="D6905" i="106" s="1"/>
  <c r="J42" i="29"/>
  <c r="B6911" i="106"/>
  <c r="D6911" i="106" s="1"/>
  <c r="B838" i="106"/>
  <c r="D838" i="106" s="1"/>
  <c r="K23" i="29"/>
  <c r="F42" i="34" s="1"/>
  <c r="B6882" i="106"/>
  <c r="D6882" i="106" s="1"/>
  <c r="B6675" i="106"/>
  <c r="D6675" i="106" s="1"/>
  <c r="B975" i="106"/>
  <c r="D975" i="106" s="1"/>
  <c r="B1416" i="106"/>
  <c r="D1416" i="106" s="1"/>
  <c r="K237" i="29"/>
  <c r="B1480" i="106" s="1"/>
  <c r="D1480" i="106" s="1"/>
  <c r="B6991" i="106"/>
  <c r="D6991" i="106" s="1"/>
  <c r="K90" i="29"/>
  <c r="B6992" i="106" s="1"/>
  <c r="D6992" i="106" s="1"/>
  <c r="K320" i="29"/>
  <c r="B7135" i="106" s="1"/>
  <c r="D7135" i="106" s="1"/>
  <c r="B7127" i="106"/>
  <c r="D7127" i="106" s="1"/>
  <c r="B7179" i="106"/>
  <c r="D7179" i="106" s="1"/>
  <c r="B973" i="106"/>
  <c r="D973" i="106" s="1"/>
  <c r="B6670" i="106"/>
  <c r="D6670" i="106" s="1"/>
  <c r="B2721" i="106"/>
  <c r="D2721" i="106" s="1"/>
  <c r="B2999" i="106"/>
  <c r="D2999" i="106" s="1"/>
  <c r="B834" i="106"/>
  <c r="D834" i="106" s="1"/>
  <c r="B6935" i="106"/>
  <c r="D6935" i="106" s="1"/>
  <c r="B6662" i="106"/>
  <c r="D6662" i="106" s="1"/>
  <c r="B4361" i="106"/>
  <c r="D4361" i="106" s="1"/>
  <c r="B4864" i="106"/>
  <c r="D4864" i="106" s="1"/>
  <c r="B865" i="106"/>
  <c r="D865" i="106" s="1"/>
  <c r="B890" i="106"/>
  <c r="D890" i="106" s="1"/>
  <c r="B1007" i="106"/>
  <c r="D1007" i="106" s="1"/>
  <c r="K52" i="29"/>
  <c r="B6940" i="106" s="1"/>
  <c r="D6940" i="106" s="1"/>
  <c r="B6932" i="106"/>
  <c r="D6932" i="106" s="1"/>
  <c r="L238" i="29"/>
  <c r="B1033" i="106"/>
  <c r="D1033" i="106" s="1"/>
  <c r="D127" i="29"/>
  <c r="B1231" i="106" s="1"/>
  <c r="D1231" i="106" s="1"/>
  <c r="B1227" i="106"/>
  <c r="D1227" i="106" s="1"/>
  <c r="B6751" i="106"/>
  <c r="D6751" i="106" s="1"/>
  <c r="C350" i="29"/>
  <c r="B3617" i="106"/>
  <c r="D3617" i="106" s="1"/>
  <c r="K348" i="29"/>
  <c r="B6372" i="106"/>
  <c r="D6372" i="106" s="1"/>
  <c r="I172" i="5"/>
  <c r="B1360" i="106"/>
  <c r="D1360" i="106" s="1"/>
  <c r="B2719" i="106"/>
  <c r="D2719" i="106" s="1"/>
  <c r="B4180" i="106"/>
  <c r="D4180" i="106" s="1"/>
  <c r="B1531" i="106"/>
  <c r="D1531" i="106" s="1"/>
  <c r="E303" i="29"/>
  <c r="B1535" i="106" s="1"/>
  <c r="D1535" i="106" s="1"/>
  <c r="B1311" i="106"/>
  <c r="D1311" i="106" s="1"/>
  <c r="K164" i="29"/>
  <c r="B1325" i="106" s="1"/>
  <c r="D1325" i="106" s="1"/>
  <c r="B4215" i="106"/>
  <c r="D4215" i="106" s="1"/>
  <c r="B3634" i="106"/>
  <c r="D3634" i="106" s="1"/>
  <c r="B7193" i="106"/>
  <c r="D7193" i="106" s="1"/>
  <c r="B6399" i="106"/>
  <c r="D6399" i="106" s="1"/>
  <c r="B7139" i="106"/>
  <c r="D7139" i="106" s="1"/>
  <c r="B3655" i="106"/>
  <c r="D3655" i="106" s="1"/>
  <c r="B948" i="106"/>
  <c r="D948" i="106" s="1"/>
  <c r="B960" i="106"/>
  <c r="D960" i="106" s="1"/>
  <c r="G47" i="29"/>
  <c r="B963" i="106" s="1"/>
  <c r="D963" i="106" s="1"/>
  <c r="B801" i="106"/>
  <c r="D801" i="106" s="1"/>
  <c r="B6780" i="106"/>
  <c r="D6780" i="106" s="1"/>
  <c r="L303" i="29"/>
  <c r="B844" i="106"/>
  <c r="D844" i="106" s="1"/>
  <c r="E47" i="29"/>
  <c r="B847" i="106" s="1"/>
  <c r="D847" i="106" s="1"/>
  <c r="K108" i="29"/>
  <c r="B2796" i="106" s="1"/>
  <c r="D2796" i="106" s="1"/>
  <c r="B2792" i="106"/>
  <c r="D2792" i="106" s="1"/>
  <c r="B1009" i="106"/>
  <c r="D1009" i="106" s="1"/>
  <c r="B6921" i="106"/>
  <c r="D6921" i="106" s="1"/>
  <c r="B6628" i="106"/>
  <c r="D6628" i="106" s="1"/>
  <c r="B2995" i="106"/>
  <c r="D2995" i="106" s="1"/>
  <c r="H194" i="29"/>
  <c r="K95" i="29"/>
  <c r="B7001" i="106" s="1"/>
  <c r="D7001" i="106" s="1"/>
  <c r="B7000" i="106"/>
  <c r="D7000" i="106" s="1"/>
  <c r="B2825" i="106"/>
  <c r="D2825" i="106" s="1"/>
  <c r="B6872" i="106"/>
  <c r="D6872" i="106" s="1"/>
  <c r="B6993" i="106"/>
  <c r="D6993" i="106" s="1"/>
  <c r="K91" i="29"/>
  <c r="B6994" i="106" s="1"/>
  <c r="D6994" i="106" s="1"/>
  <c r="B1016" i="106"/>
  <c r="D1016" i="106" s="1"/>
  <c r="B6969" i="106"/>
  <c r="D6969" i="106" s="1"/>
  <c r="B7177" i="106"/>
  <c r="D7177" i="106" s="1"/>
  <c r="B4317" i="106"/>
  <c r="D4317" i="106" s="1"/>
  <c r="F123" i="34"/>
  <c r="C47" i="29"/>
  <c r="B731" i="106" s="1"/>
  <c r="D731" i="106" s="1"/>
  <c r="K44" i="29"/>
  <c r="B728" i="106"/>
  <c r="D728" i="106" s="1"/>
  <c r="B6985" i="106"/>
  <c r="D6985" i="106" s="1"/>
  <c r="K87" i="29"/>
  <c r="B6986" i="106" s="1"/>
  <c r="D6986" i="106" s="1"/>
  <c r="K80" i="29"/>
  <c r="B2975" i="106" s="1"/>
  <c r="D2975" i="106" s="1"/>
  <c r="B2951" i="106"/>
  <c r="D2951" i="106" s="1"/>
  <c r="B805" i="106"/>
  <c r="D805" i="106" s="1"/>
  <c r="B917" i="106"/>
  <c r="D917" i="106" s="1"/>
  <c r="B6944" i="106"/>
  <c r="D6944" i="106" s="1"/>
  <c r="I57" i="29"/>
  <c r="B6948" i="106" s="1"/>
  <c r="D6948" i="106" s="1"/>
  <c r="B6739" i="106"/>
  <c r="D6739" i="106" s="1"/>
  <c r="B899" i="106"/>
  <c r="D899" i="106" s="1"/>
  <c r="B6656" i="106"/>
  <c r="D6656" i="106" s="1"/>
  <c r="B6410" i="106"/>
  <c r="D6410" i="106" s="1"/>
  <c r="L42" i="29"/>
  <c r="B4360" i="106"/>
  <c r="D4360" i="106" s="1"/>
  <c r="B749" i="106"/>
  <c r="D749" i="106" s="1"/>
  <c r="K70" i="29"/>
  <c r="B814" i="106"/>
  <c r="D814" i="106" s="1"/>
  <c r="B6650" i="106"/>
  <c r="D6650" i="106" s="1"/>
  <c r="F141" i="34"/>
  <c r="B2994" i="106"/>
  <c r="D2994" i="106" s="1"/>
  <c r="K193" i="29"/>
  <c r="B3012" i="106" s="1"/>
  <c r="D3012" i="106" s="1"/>
  <c r="B4949" i="106"/>
  <c r="D4949" i="106" s="1"/>
  <c r="B7141" i="106"/>
  <c r="D7141" i="106" s="1"/>
  <c r="B797" i="106"/>
  <c r="D797" i="106" s="1"/>
  <c r="B6742" i="106"/>
  <c r="D6742" i="106" s="1"/>
  <c r="B1257" i="106"/>
  <c r="D1257" i="106" s="1"/>
  <c r="B7122" i="106"/>
  <c r="D7122" i="106" s="1"/>
  <c r="G330" i="29"/>
  <c r="B7203" i="106" s="1"/>
  <c r="D7203" i="106" s="1"/>
  <c r="B6772" i="106"/>
  <c r="D6772" i="106" s="1"/>
  <c r="K6" i="29"/>
  <c r="B7763" i="106" s="1"/>
  <c r="D7763" i="106" s="1"/>
  <c r="B7762" i="106"/>
  <c r="D7762" i="106" s="1"/>
  <c r="B6729" i="106"/>
  <c r="D6729" i="106" s="1"/>
  <c r="F149" i="34"/>
  <c r="F29" i="34" s="1"/>
  <c r="C127" i="29"/>
  <c r="B1223" i="106" s="1"/>
  <c r="D1223" i="106" s="1"/>
  <c r="K122" i="29"/>
  <c r="B1219" i="106"/>
  <c r="D1219" i="106" s="1"/>
  <c r="K86" i="29"/>
  <c r="B6984" i="106" s="1"/>
  <c r="D6984" i="106" s="1"/>
  <c r="B6983" i="106"/>
  <c r="D6983" i="106" s="1"/>
  <c r="B4919" i="106"/>
  <c r="D4919" i="106" s="1"/>
  <c r="B7246" i="106"/>
  <c r="D7246" i="106" s="1"/>
  <c r="B743" i="106"/>
  <c r="D743" i="106" s="1"/>
  <c r="K64" i="29"/>
  <c r="B4366" i="106"/>
  <c r="D4366" i="106" s="1"/>
  <c r="I178" i="5"/>
  <c r="I274" i="5" s="1"/>
  <c r="B6645" i="106"/>
  <c r="D6645" i="106" s="1"/>
  <c r="B5199" i="106"/>
  <c r="D5199" i="106" s="1"/>
  <c r="F115" i="34"/>
  <c r="B4814" i="106"/>
  <c r="D4814" i="106" s="1"/>
  <c r="B2801" i="106"/>
  <c r="D2801" i="106" s="1"/>
  <c r="B6821" i="106"/>
  <c r="D6821" i="106" s="1"/>
  <c r="B6691" i="106"/>
  <c r="D6691" i="106" s="1"/>
  <c r="B4920" i="106"/>
  <c r="D4920" i="106" s="1"/>
  <c r="B7264" i="106"/>
  <c r="B4420" i="106"/>
  <c r="D4420" i="106" s="1"/>
  <c r="B7110" i="106"/>
  <c r="D7110" i="106" s="1"/>
  <c r="K308" i="29"/>
  <c r="B4100" i="106" s="1"/>
  <c r="D4100" i="106" s="1"/>
  <c r="B6866" i="106"/>
  <c r="D6866" i="106" s="1"/>
  <c r="B7140" i="106"/>
  <c r="D7140" i="106" s="1"/>
  <c r="B6824" i="106"/>
  <c r="D6824" i="106" s="1"/>
  <c r="B779" i="106"/>
  <c r="D779" i="106" s="1"/>
  <c r="D42" i="29"/>
  <c r="B842" i="106"/>
  <c r="D842" i="106" s="1"/>
  <c r="K219" i="29"/>
  <c r="B3065" i="106" s="1"/>
  <c r="D3065" i="106" s="1"/>
  <c r="B3064" i="106"/>
  <c r="D3064" i="106" s="1"/>
  <c r="B6826" i="106"/>
  <c r="D6826" i="106" s="1"/>
  <c r="B7165" i="106"/>
  <c r="D7165" i="106" s="1"/>
  <c r="B4332" i="106"/>
  <c r="D4332" i="106" s="1"/>
  <c r="B2723" i="106"/>
  <c r="D2723" i="106" s="1"/>
  <c r="B2821" i="106"/>
  <c r="D2821" i="106" s="1"/>
  <c r="B1038" i="106"/>
  <c r="D1038" i="106" s="1"/>
  <c r="B5463" i="106"/>
  <c r="D5463" i="106" s="1"/>
  <c r="B1396" i="106"/>
  <c r="D1396" i="106" s="1"/>
  <c r="K225" i="29"/>
  <c r="B1460" i="106" s="1"/>
  <c r="D1460" i="106" s="1"/>
  <c r="B7036" i="106"/>
  <c r="D7036" i="106" s="1"/>
  <c r="L204" i="29"/>
  <c r="L208" i="29" s="1"/>
  <c r="B6861" i="106"/>
  <c r="D6861" i="106" s="1"/>
  <c r="K233" i="29"/>
  <c r="B1476" i="106" s="1"/>
  <c r="D1476" i="106" s="1"/>
  <c r="B1412" i="106"/>
  <c r="D1412" i="106" s="1"/>
  <c r="B4346" i="106"/>
  <c r="D4346" i="106" s="1"/>
  <c r="B6808" i="106"/>
  <c r="D6808" i="106" s="1"/>
  <c r="B5171" i="106"/>
  <c r="D5171" i="106" s="1"/>
  <c r="B978" i="106"/>
  <c r="D978" i="106" s="1"/>
  <c r="G72" i="29"/>
  <c r="B985" i="106" s="1"/>
  <c r="D985" i="106" s="1"/>
  <c r="B4321" i="106"/>
  <c r="D4321" i="106" s="1"/>
  <c r="E57" i="29"/>
  <c r="B853" i="106" s="1"/>
  <c r="D853" i="106" s="1"/>
  <c r="B851" i="106"/>
  <c r="D851" i="106" s="1"/>
  <c r="D184" i="5"/>
  <c r="B5425" i="106" s="1"/>
  <c r="D5425" i="106" s="1"/>
  <c r="B5424" i="106"/>
  <c r="D5424" i="106" s="1"/>
  <c r="K123" i="29"/>
  <c r="B1275" i="106" s="1"/>
  <c r="D1275" i="106" s="1"/>
  <c r="B1220" i="106"/>
  <c r="D1220" i="106" s="1"/>
  <c r="B6967" i="106"/>
  <c r="D6967" i="106" s="1"/>
  <c r="B1431" i="106"/>
  <c r="D1431" i="106" s="1"/>
  <c r="K266" i="29"/>
  <c r="B1495" i="106" s="1"/>
  <c r="D1495" i="106" s="1"/>
  <c r="L261" i="29"/>
  <c r="F121" i="34"/>
  <c r="B4915" i="106"/>
  <c r="D4915" i="106" s="1"/>
  <c r="B904" i="106"/>
  <c r="D904" i="106" s="1"/>
  <c r="B1046" i="106"/>
  <c r="D1046" i="106" s="1"/>
  <c r="K12" i="29"/>
  <c r="F37" i="34" s="1"/>
  <c r="B716" i="106"/>
  <c r="D716" i="106" s="1"/>
  <c r="B1316" i="106"/>
  <c r="D1316" i="106" s="1"/>
  <c r="K171" i="29"/>
  <c r="B1330" i="106" s="1"/>
  <c r="D1330" i="106" s="1"/>
  <c r="B951" i="106"/>
  <c r="D951" i="106" s="1"/>
  <c r="B2797" i="106"/>
  <c r="D2797" i="106" s="1"/>
  <c r="K130" i="29"/>
  <c r="B5255" i="106"/>
  <c r="D5255" i="106" s="1"/>
  <c r="B1519" i="106"/>
  <c r="D1519" i="106" s="1"/>
  <c r="C303" i="29"/>
  <c r="B1523" i="106" s="1"/>
  <c r="D1523" i="106" s="1"/>
  <c r="K301" i="29"/>
  <c r="B6865" i="106"/>
  <c r="D6865" i="106" s="1"/>
  <c r="K249" i="29"/>
  <c r="B7084" i="106" s="1"/>
  <c r="D7084" i="106" s="1"/>
  <c r="B7083" i="106"/>
  <c r="D7083" i="106" s="1"/>
  <c r="B1430" i="106"/>
  <c r="D1430" i="106" s="1"/>
  <c r="K265" i="29"/>
  <c r="B1494" i="106" s="1"/>
  <c r="D1494" i="106" s="1"/>
  <c r="B4337" i="106"/>
  <c r="D4337" i="106" s="1"/>
  <c r="B5275" i="106"/>
  <c r="D5275" i="106" s="1"/>
  <c r="B4364" i="106"/>
  <c r="D4364" i="106" s="1"/>
  <c r="E178" i="5"/>
  <c r="L168" i="29"/>
  <c r="L172" i="29" s="1"/>
  <c r="L174" i="29" s="1"/>
  <c r="B909" i="106"/>
  <c r="D909" i="106" s="1"/>
  <c r="F57" i="29"/>
  <c r="B911" i="106" s="1"/>
  <c r="D911" i="106" s="1"/>
  <c r="C154" i="5"/>
  <c r="B5175" i="106"/>
  <c r="D5175" i="106" s="1"/>
  <c r="B4344" i="106"/>
  <c r="D4344" i="106" s="1"/>
  <c r="B953" i="106"/>
  <c r="D953" i="106" s="1"/>
  <c r="G42" i="29"/>
  <c r="B959" i="106" s="1"/>
  <c r="D959" i="106" s="1"/>
  <c r="B880" i="106"/>
  <c r="D880" i="106" s="1"/>
  <c r="B7134" i="106"/>
  <c r="D7134" i="106" s="1"/>
  <c r="B981" i="106"/>
  <c r="D981" i="106" s="1"/>
  <c r="B7693" i="106"/>
  <c r="D7693" i="106" s="1"/>
  <c r="B6413" i="106"/>
  <c r="D6413" i="106" s="1"/>
  <c r="B5823" i="106"/>
  <c r="D5823" i="106" s="1"/>
  <c r="B7026" i="106"/>
  <c r="D7026" i="106" s="1"/>
  <c r="B5625" i="106"/>
  <c r="D5625" i="106" s="1"/>
  <c r="B5242" i="106"/>
  <c r="D5242" i="106" s="1"/>
  <c r="B3620" i="106"/>
  <c r="D3620" i="106" s="1"/>
  <c r="K351" i="29"/>
  <c r="B3671" i="106" s="1"/>
  <c r="D3671" i="106" s="1"/>
  <c r="K172" i="5"/>
  <c r="B6374" i="106"/>
  <c r="D6374" i="106" s="1"/>
  <c r="B6831" i="106"/>
  <c r="D6831" i="106" s="1"/>
  <c r="E33" i="29"/>
  <c r="B836" i="106" s="1"/>
  <c r="D836" i="106" s="1"/>
  <c r="B821" i="106"/>
  <c r="D821" i="106" s="1"/>
  <c r="B892" i="106"/>
  <c r="D892" i="106" s="1"/>
  <c r="H33" i="29"/>
  <c r="B1010" i="106" s="1"/>
  <c r="D1010" i="106" s="1"/>
  <c r="B995" i="106"/>
  <c r="D995" i="106" s="1"/>
  <c r="B730" i="106"/>
  <c r="D730" i="106" s="1"/>
  <c r="K46" i="29"/>
  <c r="B1118" i="106" s="1"/>
  <c r="D1118" i="106" s="1"/>
  <c r="B1363" i="106"/>
  <c r="D1363" i="106" s="1"/>
  <c r="B965" i="106"/>
  <c r="D965" i="106" s="1"/>
  <c r="B7066" i="106"/>
  <c r="D7066" i="106" s="1"/>
  <c r="B6869" i="106"/>
  <c r="D6869" i="106" s="1"/>
  <c r="B6640" i="106"/>
  <c r="D6640" i="106" s="1"/>
  <c r="B6827" i="106"/>
  <c r="D6827" i="106" s="1"/>
  <c r="B6825" i="106"/>
  <c r="D6825" i="106" s="1"/>
  <c r="F160" i="34"/>
  <c r="F170" i="34"/>
  <c r="B4418" i="106"/>
  <c r="D4418" i="106" s="1"/>
  <c r="B4811" i="106"/>
  <c r="D4811" i="106" s="1"/>
  <c r="B5617" i="106"/>
  <c r="D5617" i="106" s="1"/>
  <c r="B4918" i="106"/>
  <c r="D4918" i="106" s="1"/>
  <c r="K138" i="29"/>
  <c r="B2094" i="106" s="1"/>
  <c r="D2094" i="106" s="1"/>
  <c r="B2092" i="106"/>
  <c r="D2092" i="106" s="1"/>
  <c r="B6765" i="106"/>
  <c r="D6765" i="106" s="1"/>
  <c r="B7150" i="106"/>
  <c r="D7150" i="106" s="1"/>
  <c r="B6752" i="106"/>
  <c r="D6752" i="106" s="1"/>
  <c r="B7172" i="106"/>
  <c r="D7172" i="106" s="1"/>
  <c r="K325" i="29"/>
  <c r="B7180" i="106" s="1"/>
  <c r="D7180" i="106" s="1"/>
  <c r="B970" i="106"/>
  <c r="D970" i="106" s="1"/>
  <c r="G65" i="29"/>
  <c r="B977" i="106" s="1"/>
  <c r="D977" i="106" s="1"/>
  <c r="B2799" i="106"/>
  <c r="D2799" i="106" s="1"/>
  <c r="B7069" i="106"/>
  <c r="D7069" i="106" s="1"/>
  <c r="K207" i="29"/>
  <c r="B7070" i="106" s="1"/>
  <c r="D7070" i="106" s="1"/>
  <c r="B6874" i="106"/>
  <c r="D6874" i="106" s="1"/>
  <c r="B7766" i="106"/>
  <c r="D7766" i="106" s="1"/>
  <c r="K20" i="29"/>
  <c r="B6877" i="106" s="1"/>
  <c r="D6877" i="106" s="1"/>
  <c r="B6876" i="106"/>
  <c r="D6876" i="106" s="1"/>
  <c r="B1240" i="106"/>
  <c r="D1240" i="106" s="1"/>
  <c r="B7058" i="106"/>
  <c r="D7058" i="106" s="1"/>
  <c r="J184" i="29"/>
  <c r="J210" i="29" s="1"/>
  <c r="B7072" i="106" s="1"/>
  <c r="D7072" i="106" s="1"/>
  <c r="B6803" i="106"/>
  <c r="D6803" i="106" s="1"/>
  <c r="B6845" i="106"/>
  <c r="D6845" i="106" s="1"/>
  <c r="J33" i="29"/>
  <c r="B6903" i="106" s="1"/>
  <c r="D6903" i="106" s="1"/>
  <c r="B6663" i="106"/>
  <c r="D6663" i="106" s="1"/>
  <c r="B7131" i="106"/>
  <c r="D7131" i="106" s="1"/>
  <c r="B913" i="106"/>
  <c r="D913" i="106" s="1"/>
  <c r="B907" i="106"/>
  <c r="D907" i="106" s="1"/>
  <c r="L350" i="29"/>
  <c r="L352" i="29" s="1"/>
  <c r="B4795" i="106"/>
  <c r="D4795" i="106" s="1"/>
  <c r="H172" i="5"/>
  <c r="B6371" i="106"/>
  <c r="D6371" i="106" s="1"/>
  <c r="B5856" i="106"/>
  <c r="D5856" i="106" s="1"/>
  <c r="F211" i="5"/>
  <c r="B5677" i="106" s="1"/>
  <c r="D5677" i="106" s="1"/>
  <c r="B5664" i="106"/>
  <c r="D5664" i="106" s="1"/>
  <c r="D350" i="29"/>
  <c r="B3624" i="106"/>
  <c r="D3624" i="106" s="1"/>
  <c r="B7132" i="106"/>
  <c r="D7132" i="106" s="1"/>
  <c r="B3486" i="106"/>
  <c r="D3486" i="106" s="1"/>
  <c r="B6959" i="106"/>
  <c r="D6959" i="106" s="1"/>
  <c r="B7137" i="106"/>
  <c r="D7137" i="106" s="1"/>
  <c r="J172" i="5"/>
  <c r="B6396" i="106" s="1"/>
  <c r="D6396" i="106" s="1"/>
  <c r="B6373" i="106"/>
  <c r="D6373" i="106" s="1"/>
  <c r="B7232" i="106"/>
  <c r="D7232" i="106" s="1"/>
  <c r="F157" i="34"/>
  <c r="B6801" i="106"/>
  <c r="D6801" i="106" s="1"/>
  <c r="B7191" i="106"/>
  <c r="D7191" i="106" s="1"/>
  <c r="B5248" i="106"/>
  <c r="D5248" i="106" s="1"/>
  <c r="B7142" i="106"/>
  <c r="D7142" i="106" s="1"/>
  <c r="B6807" i="106"/>
  <c r="D6807" i="106" s="1"/>
  <c r="K247" i="29"/>
  <c r="B2726" i="106" s="1"/>
  <c r="D2726" i="106" s="1"/>
  <c r="B2725" i="106"/>
  <c r="D2725" i="106" s="1"/>
  <c r="B957" i="106"/>
  <c r="D957" i="106" s="1"/>
  <c r="B3368" i="106"/>
  <c r="D3368" i="106" s="1"/>
  <c r="B852" i="106"/>
  <c r="D852" i="106" s="1"/>
  <c r="B6386" i="106"/>
  <c r="D6386" i="106" s="1"/>
  <c r="B6928" i="106"/>
  <c r="D6928" i="106" s="1"/>
  <c r="B4238" i="106"/>
  <c r="D4238" i="106" s="1"/>
  <c r="B6972" i="106"/>
  <c r="D6972" i="106" s="1"/>
  <c r="B5168" i="106"/>
  <c r="D5168" i="106" s="1"/>
  <c r="F110" i="34"/>
  <c r="J72" i="29"/>
  <c r="B6974" i="106" s="1"/>
  <c r="D6974" i="106" s="1"/>
  <c r="B6964" i="106"/>
  <c r="D6964" i="106" s="1"/>
  <c r="B7250" i="106"/>
  <c r="D7250" i="106" s="1"/>
  <c r="B7151" i="106"/>
  <c r="D7151" i="106" s="1"/>
  <c r="B6685" i="106"/>
  <c r="D6685" i="106" s="1"/>
  <c r="B7160" i="106"/>
  <c r="D7160" i="106" s="1"/>
  <c r="B7105" i="106"/>
  <c r="D7105" i="106" s="1"/>
  <c r="E310" i="29"/>
  <c r="B7114" i="106" s="1"/>
  <c r="D7114" i="106" s="1"/>
  <c r="K306" i="29"/>
  <c r="K356" i="29"/>
  <c r="K357" i="29" s="1"/>
  <c r="K15" i="4" s="1"/>
  <c r="B3573" i="106" s="1"/>
  <c r="D3573" i="106" s="1"/>
  <c r="H357" i="29"/>
  <c r="B6941" i="106"/>
  <c r="D6941" i="106" s="1"/>
  <c r="K101" i="29"/>
  <c r="B7015" i="106" s="1"/>
  <c r="D7015" i="106" s="1"/>
  <c r="B2947" i="106"/>
  <c r="D2947" i="106" s="1"/>
  <c r="B6633" i="106"/>
  <c r="D6633" i="106" s="1"/>
  <c r="B4339" i="106"/>
  <c r="D4339" i="106" s="1"/>
  <c r="B6912" i="106"/>
  <c r="D6912" i="106" s="1"/>
  <c r="B6975" i="106"/>
  <c r="D6975" i="106" s="1"/>
  <c r="L149" i="29"/>
  <c r="L147" i="29"/>
  <c r="B6813" i="106"/>
  <c r="D6813" i="106" s="1"/>
  <c r="K250" i="29"/>
  <c r="B7086" i="106" s="1"/>
  <c r="D7086" i="106" s="1"/>
  <c r="B7085" i="106"/>
  <c r="D7085" i="106" s="1"/>
  <c r="B6790" i="106"/>
  <c r="D6790" i="106" s="1"/>
  <c r="B3060" i="106"/>
  <c r="D3060" i="106" s="1"/>
  <c r="B4376" i="106"/>
  <c r="D4376" i="106" s="1"/>
  <c r="B4365" i="106"/>
  <c r="D4365" i="106" s="1"/>
  <c r="H178" i="5"/>
  <c r="B4950" i="106" s="1"/>
  <c r="D4950" i="106" s="1"/>
  <c r="B2981" i="106"/>
  <c r="D2981" i="106" s="1"/>
  <c r="B900" i="106"/>
  <c r="D900" i="106" s="1"/>
  <c r="K148" i="29"/>
  <c r="B7050" i="106" s="1"/>
  <c r="D7050" i="106" s="1"/>
  <c r="B7049" i="106"/>
  <c r="D7049" i="106" s="1"/>
  <c r="L362" i="29"/>
  <c r="L365" i="29" s="1"/>
  <c r="B1224" i="106"/>
  <c r="D1224" i="106" s="1"/>
  <c r="K128" i="29"/>
  <c r="B1280" i="106" s="1"/>
  <c r="D1280" i="106" s="1"/>
  <c r="B840" i="106"/>
  <c r="D840" i="106" s="1"/>
  <c r="B6642" i="106"/>
  <c r="D6642" i="106" s="1"/>
  <c r="F140" i="34"/>
  <c r="B6391" i="106"/>
  <c r="D6391" i="106" s="1"/>
  <c r="B1432" i="106"/>
  <c r="D1432" i="106" s="1"/>
  <c r="K267" i="29"/>
  <c r="B1496" i="106" s="1"/>
  <c r="D1496" i="106" s="1"/>
  <c r="B4810" i="106"/>
  <c r="D4810" i="106" s="1"/>
  <c r="G184" i="5"/>
  <c r="B5784" i="106" s="1"/>
  <c r="D5784" i="106" s="1"/>
  <c r="B6408" i="106"/>
  <c r="D6408" i="106" s="1"/>
  <c r="F168" i="34"/>
  <c r="B5315" i="106"/>
  <c r="D5315" i="106" s="1"/>
  <c r="L229" i="29"/>
  <c r="B7194" i="106"/>
  <c r="D7194" i="106" s="1"/>
  <c r="B6748" i="106"/>
  <c r="D6748" i="106" s="1"/>
  <c r="B4336" i="106"/>
  <c r="D4336" i="106" s="1"/>
  <c r="K14" i="29"/>
  <c r="B1106" i="106" s="1"/>
  <c r="D1106" i="106" s="1"/>
  <c r="B718" i="106"/>
  <c r="D718" i="106" s="1"/>
  <c r="G154" i="5"/>
  <c r="B4357" i="106" s="1"/>
  <c r="D4357" i="106" s="1"/>
  <c r="B6380" i="106"/>
  <c r="D6380" i="106" s="1"/>
  <c r="B5659" i="106"/>
  <c r="D5659" i="106" s="1"/>
  <c r="F191" i="5"/>
  <c r="B7248" i="106"/>
  <c r="D7248" i="106" s="1"/>
  <c r="B2791" i="106"/>
  <c r="D2791" i="106" s="1"/>
  <c r="K107" i="29"/>
  <c r="B2795" i="106" s="1"/>
  <c r="D2795" i="106" s="1"/>
  <c r="B1022" i="106"/>
  <c r="D1022" i="106" s="1"/>
  <c r="H53" i="29"/>
  <c r="B1024" i="106" s="1"/>
  <c r="D1024" i="106" s="1"/>
  <c r="B7009" i="106"/>
  <c r="D7009" i="106" s="1"/>
  <c r="B7261" i="106"/>
  <c r="D243" i="29"/>
  <c r="B1421" i="106" s="1"/>
  <c r="D1421" i="106" s="1"/>
  <c r="B1418" i="106"/>
  <c r="D1418" i="106" s="1"/>
  <c r="K240" i="29"/>
  <c r="B6745" i="106"/>
  <c r="D6745" i="106" s="1"/>
  <c r="B4237" i="106"/>
  <c r="D4237" i="106" s="1"/>
  <c r="B4407" i="106"/>
  <c r="D4407" i="106" s="1"/>
  <c r="B5791" i="106"/>
  <c r="D5791" i="106" s="1"/>
  <c r="B5498" i="106"/>
  <c r="D5498" i="106" s="1"/>
  <c r="B6733" i="106"/>
  <c r="D6733" i="106" s="1"/>
  <c r="B1420" i="106"/>
  <c r="D1420" i="106" s="1"/>
  <c r="K242" i="29"/>
  <c r="B1484" i="106" s="1"/>
  <c r="D1484" i="106" s="1"/>
  <c r="B7182" i="106"/>
  <c r="D7182" i="106" s="1"/>
  <c r="B6809" i="106"/>
  <c r="D6809" i="106" s="1"/>
  <c r="F158" i="34"/>
  <c r="B1014" i="106"/>
  <c r="D1014" i="106" s="1"/>
  <c r="B6370" i="106"/>
  <c r="D6370" i="106" s="1"/>
  <c r="B6854" i="106"/>
  <c r="D6854" i="106" s="1"/>
  <c r="B841" i="106"/>
  <c r="D841" i="106" s="1"/>
  <c r="L47" i="29"/>
  <c r="B1270" i="106"/>
  <c r="D1270" i="106" s="1"/>
  <c r="K146" i="29"/>
  <c r="B1285" i="106" s="1"/>
  <c r="D1285" i="106" s="1"/>
  <c r="I33" i="29"/>
  <c r="B6844" i="106"/>
  <c r="D6844" i="106" s="1"/>
  <c r="G216" i="5"/>
  <c r="B4414" i="106" s="1"/>
  <c r="D4414" i="106" s="1"/>
  <c r="B5799" i="106"/>
  <c r="D5799" i="106" s="1"/>
  <c r="K165" i="29"/>
  <c r="B2818" i="106" s="1"/>
  <c r="D2818" i="106" s="1"/>
  <c r="B2812" i="106"/>
  <c r="D2812" i="106" s="1"/>
  <c r="B6701" i="106"/>
  <c r="D6701" i="106" s="1"/>
  <c r="K98" i="29"/>
  <c r="B7007" i="106" s="1"/>
  <c r="D7007" i="106" s="1"/>
  <c r="B7006" i="106"/>
  <c r="D7006" i="106" s="1"/>
  <c r="B855" i="106"/>
  <c r="D855" i="106" s="1"/>
  <c r="B6700" i="106"/>
  <c r="D6700" i="106" s="1"/>
  <c r="B833" i="106"/>
  <c r="D833" i="106" s="1"/>
  <c r="B4446" i="106"/>
  <c r="D4446" i="106" s="1"/>
  <c r="B3485" i="106"/>
  <c r="D3485" i="106" s="1"/>
  <c r="K8" i="29"/>
  <c r="B3380" i="106" s="1"/>
  <c r="D3380" i="106" s="1"/>
  <c r="B3366" i="106"/>
  <c r="D3366" i="106" s="1"/>
  <c r="B4392" i="106"/>
  <c r="D4392" i="106" s="1"/>
  <c r="B897" i="106"/>
  <c r="D897" i="106" s="1"/>
  <c r="B6402" i="106"/>
  <c r="D6402" i="106" s="1"/>
  <c r="G201" i="5"/>
  <c r="B6409" i="106" s="1"/>
  <c r="D6409" i="106" s="1"/>
  <c r="B6786" i="106"/>
  <c r="D6786" i="106" s="1"/>
  <c r="B922" i="106"/>
  <c r="D922" i="106" s="1"/>
  <c r="B6647" i="106"/>
  <c r="D6647" i="106" s="1"/>
  <c r="B938" i="106"/>
  <c r="D938" i="106" s="1"/>
  <c r="B6815" i="106"/>
  <c r="D6815" i="106" s="1"/>
  <c r="B6695" i="106"/>
  <c r="D6695" i="106" s="1"/>
  <c r="K253" i="29"/>
  <c r="B7092" i="106" s="1"/>
  <c r="D7092" i="106" s="1"/>
  <c r="B7091" i="106"/>
  <c r="D7091" i="106" s="1"/>
  <c r="B5768" i="106"/>
  <c r="D5768" i="106" s="1"/>
  <c r="B910" i="106"/>
  <c r="D910" i="106" s="1"/>
  <c r="B5401" i="106"/>
  <c r="D5401" i="106" s="1"/>
  <c r="B2956" i="106"/>
  <c r="D2956" i="106" s="1"/>
  <c r="B6677" i="106"/>
  <c r="D6677" i="106" s="1"/>
  <c r="B1237" i="106"/>
  <c r="D1237" i="106" s="1"/>
  <c r="B1414" i="106"/>
  <c r="D1414" i="106" s="1"/>
  <c r="K235" i="29"/>
  <c r="B1478" i="106" s="1"/>
  <c r="D1478" i="106" s="1"/>
  <c r="B6698" i="106"/>
  <c r="D6698" i="106" s="1"/>
  <c r="B1006" i="106"/>
  <c r="D1006" i="106" s="1"/>
  <c r="B725" i="106"/>
  <c r="D725" i="106" s="1"/>
  <c r="K40" i="29"/>
  <c r="B1113" i="106" s="1"/>
  <c r="D1113" i="106" s="1"/>
  <c r="B7210" i="106"/>
  <c r="D7210" i="106" s="1"/>
  <c r="K338" i="29"/>
  <c r="B7211" i="106" s="1"/>
  <c r="D7211" i="106" s="1"/>
  <c r="B1335" i="106"/>
  <c r="D1335" i="106" s="1"/>
  <c r="K182" i="29"/>
  <c r="B1377" i="106" s="1"/>
  <c r="D1377" i="106" s="1"/>
  <c r="B6644" i="106"/>
  <c r="D6644" i="106" s="1"/>
  <c r="B6407" i="106"/>
  <c r="D6407" i="106" s="1"/>
  <c r="B6746" i="106"/>
  <c r="D6746" i="106" s="1"/>
  <c r="L57" i="29"/>
  <c r="B6768" i="106"/>
  <c r="D6768" i="106" s="1"/>
  <c r="B742" i="106"/>
  <c r="D742" i="106" s="1"/>
  <c r="K63" i="29"/>
  <c r="B5853" i="106"/>
  <c r="D5853" i="106" s="1"/>
  <c r="B1449" i="106"/>
  <c r="D1449" i="106" s="1"/>
  <c r="H293" i="29"/>
  <c r="K288" i="29"/>
  <c r="B6792" i="106"/>
  <c r="D6792" i="106" s="1"/>
  <c r="B1036" i="106"/>
  <c r="D1036" i="106" s="1"/>
  <c r="H72" i="29"/>
  <c r="B1043" i="106" s="1"/>
  <c r="D1043" i="106" s="1"/>
  <c r="B6829" i="106"/>
  <c r="D6829" i="106" s="1"/>
  <c r="F156" i="34"/>
  <c r="B6793" i="106"/>
  <c r="D6793" i="106" s="1"/>
  <c r="K188" i="29"/>
  <c r="E194" i="29"/>
  <c r="B2823" i="106" s="1"/>
  <c r="D2823" i="106" s="1"/>
  <c r="B2989" i="106"/>
  <c r="D2989" i="106" s="1"/>
  <c r="B5387" i="106"/>
  <c r="D5387" i="106" s="1"/>
  <c r="L72" i="29"/>
  <c r="B923" i="106"/>
  <c r="D923" i="106" s="1"/>
  <c r="B788" i="106"/>
  <c r="D788" i="106" s="1"/>
  <c r="B6638" i="106"/>
  <c r="D6638" i="106" s="1"/>
  <c r="B7121" i="106"/>
  <c r="D7121" i="106" s="1"/>
  <c r="F330" i="29"/>
  <c r="F342" i="29" s="1"/>
  <c r="B7219" i="106" s="1"/>
  <c r="D7219" i="106" s="1"/>
  <c r="B4335" i="106"/>
  <c r="D4335" i="106" s="1"/>
  <c r="E129" i="29"/>
  <c r="B1241" i="106" s="1"/>
  <c r="D1241" i="106" s="1"/>
  <c r="B4076" i="106"/>
  <c r="D4076" i="106" s="1"/>
  <c r="C65" i="29"/>
  <c r="B745" i="106" s="1"/>
  <c r="D745" i="106" s="1"/>
  <c r="B739" i="106"/>
  <c r="D739" i="106" s="1"/>
  <c r="K60" i="29"/>
  <c r="K272" i="29"/>
  <c r="B1501" i="106" s="1"/>
  <c r="D1501" i="106" s="1"/>
  <c r="D277" i="29"/>
  <c r="B1444" i="106" s="1"/>
  <c r="D1444" i="106" s="1"/>
  <c r="B1437" i="106"/>
  <c r="D1437" i="106" s="1"/>
  <c r="F144" i="34"/>
  <c r="B6674" i="106"/>
  <c r="D6674" i="106" s="1"/>
  <c r="B6395" i="106"/>
  <c r="D6395" i="106" s="1"/>
  <c r="B5696" i="106"/>
  <c r="D5696" i="106" s="1"/>
  <c r="B4312" i="106"/>
  <c r="D4312" i="106" s="1"/>
  <c r="B7112" i="106"/>
  <c r="D7112" i="106" s="1"/>
  <c r="K309" i="29"/>
  <c r="B3717" i="106" s="1"/>
  <c r="D3717" i="106" s="1"/>
  <c r="F53" i="29"/>
  <c r="B908" i="106" s="1"/>
  <c r="D908" i="106" s="1"/>
  <c r="B906" i="106"/>
  <c r="D906" i="106" s="1"/>
  <c r="B804" i="106"/>
  <c r="D804" i="106" s="1"/>
  <c r="D72" i="29"/>
  <c r="B811" i="106" s="1"/>
  <c r="D811" i="106" s="1"/>
  <c r="B3653" i="106"/>
  <c r="D3653" i="106" s="1"/>
  <c r="B2998" i="106"/>
  <c r="D2998" i="106" s="1"/>
  <c r="B6798" i="106"/>
  <c r="D6798" i="106" s="1"/>
  <c r="B4852" i="106"/>
  <c r="D4852" i="106" s="1"/>
  <c r="F174" i="34"/>
  <c r="B706" i="106"/>
  <c r="D706" i="106" s="1"/>
  <c r="K16" i="29"/>
  <c r="B1094" i="106" s="1"/>
  <c r="D1094" i="106" s="1"/>
  <c r="L33" i="29"/>
  <c r="B5240" i="106"/>
  <c r="D5240" i="106" s="1"/>
  <c r="B7691" i="106"/>
  <c r="D7691" i="106" s="1"/>
  <c r="K236" i="29"/>
  <c r="B1479" i="106" s="1"/>
  <c r="D1479" i="106" s="1"/>
  <c r="B1415" i="106"/>
  <c r="D1415" i="106" s="1"/>
  <c r="B1265" i="106"/>
  <c r="D1265" i="106" s="1"/>
  <c r="B3376" i="106"/>
  <c r="D3376" i="106" s="1"/>
  <c r="B7060" i="106"/>
  <c r="D7060" i="106" s="1"/>
  <c r="K321" i="29"/>
  <c r="B7144" i="106" s="1"/>
  <c r="D7144" i="106" s="1"/>
  <c r="B7136" i="106"/>
  <c r="D7136" i="106" s="1"/>
  <c r="B2802" i="106"/>
  <c r="D2802" i="106" s="1"/>
  <c r="B7170" i="106"/>
  <c r="D7170" i="106" s="1"/>
  <c r="L65" i="29"/>
  <c r="B7702" i="106"/>
  <c r="D7702" i="106" s="1"/>
  <c r="C178" i="5"/>
  <c r="B5225" i="106" s="1"/>
  <c r="D5225" i="106" s="1"/>
  <c r="B5224" i="106"/>
  <c r="D5224" i="106" s="1"/>
  <c r="B1011" i="106"/>
  <c r="D1011" i="106" s="1"/>
  <c r="H42" i="29"/>
  <c r="B6784" i="106"/>
  <c r="D6784" i="106" s="1"/>
  <c r="B4945" i="106"/>
  <c r="D4945" i="106" s="1"/>
  <c r="B806" i="106"/>
  <c r="D806" i="106" s="1"/>
  <c r="B6812" i="106"/>
  <c r="D6812" i="106" s="1"/>
  <c r="B7022" i="106"/>
  <c r="D7022" i="106" s="1"/>
  <c r="B6738" i="106"/>
  <c r="D6738" i="106" s="1"/>
  <c r="B791" i="106"/>
  <c r="D791" i="106" s="1"/>
  <c r="B7077" i="106"/>
  <c r="D7077" i="106" s="1"/>
  <c r="K220" i="29"/>
  <c r="B6922" i="106"/>
  <c r="D6922" i="106" s="1"/>
  <c r="B6953" i="106"/>
  <c r="D6953" i="106" s="1"/>
  <c r="B1032" i="106"/>
  <c r="D1032" i="106" s="1"/>
  <c r="B7067" i="106"/>
  <c r="D7067" i="106" s="1"/>
  <c r="K205" i="29"/>
  <c r="B7068" i="106" s="1"/>
  <c r="D7068" i="106" s="1"/>
  <c r="B1020" i="106"/>
  <c r="D1020" i="106" s="1"/>
  <c r="B1254" i="106"/>
  <c r="D1254" i="106" s="1"/>
  <c r="K126" i="29"/>
  <c r="B1277" i="106" s="1"/>
  <c r="D1277" i="106" s="1"/>
  <c r="B1406" i="106"/>
  <c r="D1406" i="106" s="1"/>
  <c r="K221" i="29"/>
  <c r="B1470" i="106" s="1"/>
  <c r="D1470" i="106" s="1"/>
  <c r="B7188" i="106"/>
  <c r="D7188" i="106" s="1"/>
  <c r="F137" i="34"/>
  <c r="F161" i="34" s="1"/>
  <c r="B6622" i="106"/>
  <c r="D6622" i="106" s="1"/>
  <c r="B5231" i="106"/>
  <c r="D5231" i="106" s="1"/>
  <c r="B6800" i="106"/>
  <c r="D6800" i="106" s="1"/>
  <c r="B1023" i="106"/>
  <c r="D1023" i="106" s="1"/>
  <c r="B7146" i="106"/>
  <c r="D7146" i="106" s="1"/>
  <c r="B3369" i="106"/>
  <c r="D3369" i="106" s="1"/>
  <c r="B6629" i="106"/>
  <c r="D6629" i="106" s="1"/>
  <c r="B6914" i="106"/>
  <c r="D6914" i="106" s="1"/>
  <c r="B6875" i="106"/>
  <c r="D6875" i="106" s="1"/>
  <c r="B1409" i="106"/>
  <c r="D1409" i="106" s="1"/>
  <c r="K224" i="29"/>
  <c r="B7174" i="106"/>
  <c r="D7174" i="106" s="1"/>
  <c r="B2822" i="106"/>
  <c r="D2822" i="106" s="1"/>
  <c r="B3618" i="106"/>
  <c r="D3618" i="106" s="1"/>
  <c r="K349" i="29"/>
  <c r="B3669" i="106" s="1"/>
  <c r="D3669" i="106" s="1"/>
  <c r="B2844" i="106"/>
  <c r="D2844" i="106" s="1"/>
  <c r="K291" i="29"/>
  <c r="B2846" i="106" s="1"/>
  <c r="D2846" i="106" s="1"/>
  <c r="B2831" i="106"/>
  <c r="D2831" i="106" s="1"/>
  <c r="K201" i="29"/>
  <c r="B2841" i="106" s="1"/>
  <c r="D2841" i="106" s="1"/>
  <c r="B6661" i="106"/>
  <c r="D6661" i="106" s="1"/>
  <c r="K206" i="29"/>
  <c r="B4210" i="106"/>
  <c r="D4210" i="106" s="1"/>
  <c r="B3641" i="106"/>
  <c r="D3641" i="106" s="1"/>
  <c r="B7024" i="106"/>
  <c r="D7024" i="106" s="1"/>
  <c r="I127" i="29"/>
  <c r="B7033" i="106" s="1"/>
  <c r="D7033" i="106" s="1"/>
  <c r="B7128" i="106"/>
  <c r="D7128" i="106" s="1"/>
  <c r="B7156" i="106"/>
  <c r="D7156" i="106" s="1"/>
  <c r="B956" i="106"/>
  <c r="D956" i="106" s="1"/>
  <c r="B3627" i="106"/>
  <c r="D3627" i="106" s="1"/>
  <c r="F216" i="5"/>
  <c r="B4413" i="106" s="1"/>
  <c r="D4413" i="106" s="1"/>
  <c r="B5673" i="106"/>
  <c r="D5673" i="106" s="1"/>
  <c r="K145" i="29"/>
  <c r="B2811" i="106" s="1"/>
  <c r="D2811" i="106" s="1"/>
  <c r="B2808" i="106"/>
  <c r="D2808" i="106" s="1"/>
  <c r="K18" i="29"/>
  <c r="B1100" i="106" s="1"/>
  <c r="D1100" i="106" s="1"/>
  <c r="B712" i="106"/>
  <c r="D712" i="106" s="1"/>
  <c r="B6996" i="106"/>
  <c r="D6996" i="106" s="1"/>
  <c r="K93" i="29"/>
  <c r="H100" i="29"/>
  <c r="B7012" i="106" s="1"/>
  <c r="D7012" i="106" s="1"/>
  <c r="B6657" i="106"/>
  <c r="D6657" i="106" s="1"/>
  <c r="B4806" i="106"/>
  <c r="D4806" i="106" s="1"/>
  <c r="K260" i="29"/>
  <c r="B1490" i="106" s="1"/>
  <c r="D1490" i="106" s="1"/>
  <c r="B1426" i="106"/>
  <c r="D1426" i="106" s="1"/>
  <c r="K120" i="29"/>
  <c r="C129" i="29"/>
  <c r="B4074" i="106"/>
  <c r="D4074" i="106" s="1"/>
  <c r="B1221" i="106"/>
  <c r="D1221" i="106" s="1"/>
  <c r="K124" i="29"/>
  <c r="B1276" i="106" s="1"/>
  <c r="D1276" i="106" s="1"/>
  <c r="B6723" i="106"/>
  <c r="D6723" i="106" s="1"/>
  <c r="B849" i="106"/>
  <c r="D849" i="106" s="1"/>
  <c r="K302" i="29"/>
  <c r="B1558" i="106" s="1"/>
  <c r="D1558" i="106" s="1"/>
  <c r="B1522" i="106"/>
  <c r="D1522" i="106" s="1"/>
  <c r="B6741" i="106"/>
  <c r="D6741" i="106" s="1"/>
  <c r="K51" i="29"/>
  <c r="B2718" i="106"/>
  <c r="D2718" i="106" s="1"/>
  <c r="B5779" i="106"/>
  <c r="D5779" i="106" s="1"/>
  <c r="G178" i="5"/>
  <c r="B5780" i="106" s="1"/>
  <c r="D5780" i="106" s="1"/>
  <c r="B6957" i="106"/>
  <c r="D6957" i="106" s="1"/>
  <c r="B1357" i="106"/>
  <c r="D1357" i="106" s="1"/>
  <c r="B5200" i="106"/>
  <c r="D5200" i="106" s="1"/>
  <c r="F116" i="34"/>
  <c r="B1528" i="106"/>
  <c r="D1528" i="106" s="1"/>
  <c r="B2843" i="106"/>
  <c r="D2843" i="106" s="1"/>
  <c r="K290" i="29"/>
  <c r="B2845" i="106" s="1"/>
  <c r="D2845" i="106" s="1"/>
  <c r="F105" i="34"/>
  <c r="C172" i="5"/>
  <c r="C109" i="5"/>
  <c r="C4" i="4" s="1"/>
  <c r="B2551" i="106" s="1"/>
  <c r="D2551" i="106" s="1"/>
  <c r="B6352" i="106"/>
  <c r="D6352" i="106" s="1"/>
  <c r="E109" i="5"/>
  <c r="E4" i="4" s="1"/>
  <c r="B2630" i="106" s="1"/>
  <c r="D2630" i="106" s="1"/>
  <c r="F109" i="5"/>
  <c r="F4" i="4" s="1"/>
  <c r="B2591" i="106" s="1"/>
  <c r="D2591" i="106" s="1"/>
  <c r="B19" i="7"/>
  <c r="B1759" i="106" s="1"/>
  <c r="D1759" i="106" s="1"/>
  <c r="F77" i="4"/>
  <c r="B3255" i="106" s="1"/>
  <c r="D3255" i="106" s="1"/>
  <c r="H76" i="4"/>
  <c r="B3298" i="106" s="1"/>
  <c r="D3298" i="106" s="1"/>
  <c r="I76" i="4"/>
  <c r="H44" i="4"/>
  <c r="B3296" i="106" s="1"/>
  <c r="D3296" i="106" s="1"/>
  <c r="E13" i="145"/>
  <c r="G13" i="145" s="1"/>
  <c r="B2724" i="106"/>
  <c r="D2724" i="106" s="1"/>
  <c r="B2828" i="106"/>
  <c r="D2828" i="106" s="1"/>
  <c r="H196" i="29"/>
  <c r="F70" i="34"/>
  <c r="B3668" i="106"/>
  <c r="D3668" i="106" s="1"/>
  <c r="B6917" i="106"/>
  <c r="D6917" i="106" s="1"/>
  <c r="E196" i="29"/>
  <c r="G210" i="29"/>
  <c r="B1364" i="106"/>
  <c r="D1364" i="106" s="1"/>
  <c r="B1512" i="106"/>
  <c r="D1512" i="106" s="1"/>
  <c r="J352" i="29"/>
  <c r="B1541" i="106"/>
  <c r="D1541" i="106" s="1"/>
  <c r="F46" i="34"/>
  <c r="B6891" i="106"/>
  <c r="D6891" i="106" s="1"/>
  <c r="B7103" i="106"/>
  <c r="D7103" i="106" s="1"/>
  <c r="D4" i="7"/>
  <c r="B1760" i="106" s="1"/>
  <c r="D1760" i="106" s="1"/>
  <c r="B1744" i="106"/>
  <c r="D1744" i="106" s="1"/>
  <c r="B6899" i="106"/>
  <c r="D6899" i="106" s="1"/>
  <c r="F50" i="34"/>
  <c r="F94" i="34"/>
  <c r="B5096" i="106"/>
  <c r="D5096" i="106" s="1"/>
  <c r="B3258" i="106"/>
  <c r="D3258" i="106" s="1"/>
  <c r="G77" i="4"/>
  <c r="B3261" i="106" s="1"/>
  <c r="D3261" i="106" s="1"/>
  <c r="B901" i="106"/>
  <c r="D901" i="106" s="1"/>
  <c r="B5987" i="106"/>
  <c r="D5987" i="106" s="1"/>
  <c r="K109" i="5"/>
  <c r="B727" i="106"/>
  <c r="D727" i="106" s="1"/>
  <c r="B3658" i="106"/>
  <c r="D3658" i="106" s="1"/>
  <c r="B2789" i="106"/>
  <c r="D2789" i="106" s="1"/>
  <c r="E102" i="29"/>
  <c r="B2790" i="106" s="1"/>
  <c r="D2790" i="106" s="1"/>
  <c r="B7201" i="106"/>
  <c r="D7201" i="106" s="1"/>
  <c r="E342" i="29"/>
  <c r="B7218" i="106" s="1"/>
  <c r="D7218" i="106" s="1"/>
  <c r="F61" i="34"/>
  <c r="B7199" i="106"/>
  <c r="D7199" i="106" s="1"/>
  <c r="C342" i="29"/>
  <c r="B7216" i="106" s="1"/>
  <c r="D7216" i="106" s="1"/>
  <c r="B4087" i="106"/>
  <c r="D4087" i="106" s="1"/>
  <c r="K184" i="29"/>
  <c r="D10" i="7"/>
  <c r="B1765" i="106" s="1"/>
  <c r="D1765" i="106" s="1"/>
  <c r="B1749" i="106"/>
  <c r="D1749" i="106" s="1"/>
  <c r="B7209" i="106"/>
  <c r="D7209" i="106" s="1"/>
  <c r="H312" i="29"/>
  <c r="B1554" i="106" s="1"/>
  <c r="D1554" i="106" s="1"/>
  <c r="B1553" i="106"/>
  <c r="D1553" i="106" s="1"/>
  <c r="B6893" i="106"/>
  <c r="D6893" i="106" s="1"/>
  <c r="B1747" i="106"/>
  <c r="D1747" i="106" s="1"/>
  <c r="D7" i="7"/>
  <c r="B1763" i="106" s="1"/>
  <c r="D1763" i="106" s="1"/>
  <c r="B6238" i="106"/>
  <c r="D6238" i="106" s="1"/>
  <c r="J77" i="4"/>
  <c r="B6262" i="106" s="1"/>
  <c r="D6262" i="106" s="1"/>
  <c r="B7104" i="106"/>
  <c r="D7104" i="106" s="1"/>
  <c r="J312" i="29"/>
  <c r="B7117" i="106" s="1"/>
  <c r="D7117" i="106" s="1"/>
  <c r="B3235" i="106"/>
  <c r="D3235" i="106" s="1"/>
  <c r="D77" i="4"/>
  <c r="B3238" i="106" s="1"/>
  <c r="D3238" i="106" s="1"/>
  <c r="E16" i="145"/>
  <c r="G16" i="145" s="1"/>
  <c r="B1131" i="106"/>
  <c r="D1131" i="106" s="1"/>
  <c r="B5178" i="106"/>
  <c r="D5178" i="106" s="1"/>
  <c r="B7205" i="106"/>
  <c r="D7205" i="106" s="1"/>
  <c r="H295" i="29"/>
  <c r="B1454" i="106" s="1"/>
  <c r="D1454" i="106" s="1"/>
  <c r="B1452" i="106"/>
  <c r="D1452" i="106" s="1"/>
  <c r="G38" i="108"/>
  <c r="E38" i="108"/>
  <c r="B1142" i="106"/>
  <c r="D1142" i="106" s="1"/>
  <c r="B1547" i="106"/>
  <c r="D1547" i="106" s="1"/>
  <c r="B5369" i="106"/>
  <c r="D5369" i="106" s="1"/>
  <c r="D172" i="5"/>
  <c r="B3702" i="106"/>
  <c r="D3702" i="106" s="1"/>
  <c r="K76" i="4"/>
  <c r="B2986" i="106"/>
  <c r="D2986" i="106" s="1"/>
  <c r="B6887" i="106"/>
  <c r="D6887" i="106" s="1"/>
  <c r="F44" i="34"/>
  <c r="F67" i="34"/>
  <c r="B7074" i="106"/>
  <c r="D7074" i="106" s="1"/>
  <c r="D129" i="29"/>
  <c r="I352" i="29"/>
  <c r="B7230" i="106"/>
  <c r="D7230" i="106" s="1"/>
  <c r="F210" i="29"/>
  <c r="B1359" i="106" s="1"/>
  <c r="D1359" i="106" s="1"/>
  <c r="B1339" i="106"/>
  <c r="D1339" i="106" s="1"/>
  <c r="D5" i="7"/>
  <c r="B1761" i="106" s="1"/>
  <c r="D1761" i="106" s="1"/>
  <c r="B1745" i="106"/>
  <c r="D1745" i="106" s="1"/>
  <c r="B1283" i="106"/>
  <c r="D1283" i="106" s="1"/>
  <c r="B5873" i="106"/>
  <c r="D5873" i="106" s="1"/>
  <c r="H109" i="5"/>
  <c r="B7200" i="106"/>
  <c r="D7200" i="106" s="1"/>
  <c r="B6357" i="106"/>
  <c r="D6357" i="106" s="1"/>
  <c r="E352" i="29"/>
  <c r="B3633" i="106"/>
  <c r="D3633" i="106" s="1"/>
  <c r="B5534" i="106"/>
  <c r="D5534" i="106" s="1"/>
  <c r="G342" i="29"/>
  <c r="B7220" i="106" s="1"/>
  <c r="D7220" i="106" s="1"/>
  <c r="B3229" i="106"/>
  <c r="D3229" i="106" s="1"/>
  <c r="C77" i="4"/>
  <c r="B3232" i="106" s="1"/>
  <c r="D3232" i="106" s="1"/>
  <c r="F107" i="34"/>
  <c r="B5165" i="106"/>
  <c r="D5165" i="106" s="1"/>
  <c r="B1473" i="106"/>
  <c r="D1473" i="106" s="1"/>
  <c r="F71" i="34"/>
  <c r="B1756" i="106"/>
  <c r="D1756" i="106" s="1"/>
  <c r="D15" i="7"/>
  <c r="B1772" i="106" s="1"/>
  <c r="D1772" i="106" s="1"/>
  <c r="B1482" i="106"/>
  <c r="D1482" i="106" s="1"/>
  <c r="B4397" i="106"/>
  <c r="D4397" i="106" s="1"/>
  <c r="F273" i="5"/>
  <c r="C352" i="29"/>
  <c r="B3619" i="106"/>
  <c r="D3619" i="106" s="1"/>
  <c r="B1555" i="106"/>
  <c r="D1555" i="106" s="1"/>
  <c r="B6883" i="106"/>
  <c r="D6883" i="106" s="1"/>
  <c r="B3007" i="106"/>
  <c r="D3007" i="106" s="1"/>
  <c r="B1383" i="106"/>
  <c r="D1383" i="106" s="1"/>
  <c r="H352" i="29"/>
  <c r="B3654" i="106"/>
  <c r="D3654" i="106" s="1"/>
  <c r="B3723" i="106"/>
  <c r="D3723" i="106" s="1"/>
  <c r="F106" i="34"/>
  <c r="B5161" i="106"/>
  <c r="D5161" i="106" s="1"/>
  <c r="G5" i="4"/>
  <c r="B3409" i="106" s="1"/>
  <c r="D3409" i="106" s="1"/>
  <c r="B5741" i="106"/>
  <c r="D5741" i="106" s="1"/>
  <c r="F41" i="34"/>
  <c r="B6879" i="106"/>
  <c r="D6879" i="106" s="1"/>
  <c r="F40" i="34"/>
  <c r="B1109" i="106"/>
  <c r="D1109" i="106" s="1"/>
  <c r="E17" i="145"/>
  <c r="G17" i="145" s="1"/>
  <c r="F95" i="34"/>
  <c r="B5102" i="106"/>
  <c r="D5102" i="106" s="1"/>
  <c r="B4102" i="106"/>
  <c r="D4102" i="106" s="1"/>
  <c r="D17" i="7"/>
  <c r="B4104" i="106" s="1"/>
  <c r="D4104" i="106" s="1"/>
  <c r="B1751" i="106"/>
  <c r="D1751" i="106" s="1"/>
  <c r="D9" i="7"/>
  <c r="B1767" i="106" s="1"/>
  <c r="D1767" i="106" s="1"/>
  <c r="K57" i="29"/>
  <c r="B1123" i="106"/>
  <c r="D1123" i="106" s="1"/>
  <c r="B1746" i="106"/>
  <c r="D1746" i="106" s="1"/>
  <c r="D6" i="7"/>
  <c r="B1762" i="106" s="1"/>
  <c r="D1762" i="106" s="1"/>
  <c r="B6901" i="106"/>
  <c r="D6901" i="106" s="1"/>
  <c r="F51" i="34"/>
  <c r="B1129" i="106"/>
  <c r="D1129" i="106" s="1"/>
  <c r="H273" i="5"/>
  <c r="B6838" i="106"/>
  <c r="D6838" i="106" s="1"/>
  <c r="B6997" i="106"/>
  <c r="D6997" i="106" s="1"/>
  <c r="K100" i="29"/>
  <c r="B7013" i="106" s="1"/>
  <c r="D7013" i="106" s="1"/>
  <c r="B5125" i="106"/>
  <c r="D5125" i="106" s="1"/>
  <c r="C5" i="4"/>
  <c r="B3405" i="106" s="1"/>
  <c r="D3405" i="106" s="1"/>
  <c r="B1116" i="106"/>
  <c r="D1116" i="106" s="1"/>
  <c r="K47" i="29"/>
  <c r="I129" i="29"/>
  <c r="I173" i="5"/>
  <c r="B4363" i="106"/>
  <c r="D4363" i="106" s="1"/>
  <c r="B5592" i="106"/>
  <c r="D5592" i="106" s="1"/>
  <c r="F5" i="4"/>
  <c r="B3408" i="106" s="1"/>
  <c r="D3408" i="106" s="1"/>
  <c r="F27" i="108"/>
  <c r="B7107" i="106"/>
  <c r="D7107" i="106" s="1"/>
  <c r="G30" i="108"/>
  <c r="E30" i="108"/>
  <c r="B1130" i="106"/>
  <c r="D1130" i="106" s="1"/>
  <c r="B1139" i="106"/>
  <c r="D1139" i="106" s="1"/>
  <c r="F37" i="108"/>
  <c r="D37" i="108"/>
  <c r="B5246" i="106"/>
  <c r="D5246" i="106" s="1"/>
  <c r="B6885" i="106"/>
  <c r="D6885" i="106" s="1"/>
  <c r="F43" i="34"/>
  <c r="F352" i="29"/>
  <c r="B3640" i="106"/>
  <c r="D3640" i="106" s="1"/>
  <c r="B5725" i="106"/>
  <c r="D5725" i="106" s="1"/>
  <c r="G109" i="5"/>
  <c r="B1124" i="106"/>
  <c r="D1124" i="106" s="1"/>
  <c r="E14" i="145"/>
  <c r="G14" i="145" s="1"/>
  <c r="G352" i="29"/>
  <c r="B3647" i="106"/>
  <c r="D3647" i="106" s="1"/>
  <c r="B1121" i="106"/>
  <c r="D1121" i="106" s="1"/>
  <c r="E12" i="145"/>
  <c r="B7204" i="106"/>
  <c r="D7204" i="106" s="1"/>
  <c r="B843" i="106"/>
  <c r="D843" i="106" s="1"/>
  <c r="B1135" i="106"/>
  <c r="D1135" i="106" s="1"/>
  <c r="E34" i="108"/>
  <c r="G34" i="108"/>
  <c r="F48" i="34"/>
  <c r="D12" i="7"/>
  <c r="B1769" i="106" s="1"/>
  <c r="D1769" i="106" s="1"/>
  <c r="B1753" i="106"/>
  <c r="D1753" i="106" s="1"/>
  <c r="E44" i="4"/>
  <c r="B5614" i="106"/>
  <c r="D5614" i="106" s="1"/>
  <c r="F172" i="5"/>
  <c r="B3675" i="106"/>
  <c r="D3675" i="106" s="1"/>
  <c r="B1752" i="106"/>
  <c r="D1752" i="106" s="1"/>
  <c r="D11" i="7"/>
  <c r="B1768" i="106" s="1"/>
  <c r="D1768" i="106" s="1"/>
  <c r="B5334" i="106"/>
  <c r="D5334" i="106" s="1"/>
  <c r="D109" i="5"/>
  <c r="B6897" i="106"/>
  <c r="D6897" i="106" s="1"/>
  <c r="F49" i="34"/>
  <c r="D13" i="7"/>
  <c r="B3726" i="106" s="1"/>
  <c r="D3726" i="106" s="1"/>
  <c r="B3725" i="106"/>
  <c r="D3725" i="106" s="1"/>
  <c r="L210" i="29"/>
  <c r="B6026" i="106"/>
  <c r="D6026" i="106" s="1"/>
  <c r="B3225" i="106"/>
  <c r="D3225" i="106" s="1"/>
  <c r="B6220" i="106"/>
  <c r="D6220" i="106" s="1"/>
  <c r="B281" i="106"/>
  <c r="D281" i="106" s="1"/>
  <c r="D54" i="36"/>
  <c r="A7261" i="106"/>
  <c r="D7260" i="106"/>
  <c r="B288" i="106"/>
  <c r="D288" i="106" s="1"/>
  <c r="K65" i="29" l="1"/>
  <c r="B1133" i="106" s="1"/>
  <c r="D1133" i="106" s="1"/>
  <c r="H102" i="29"/>
  <c r="K303" i="29"/>
  <c r="K229" i="29"/>
  <c r="K53" i="29"/>
  <c r="L151" i="29"/>
  <c r="K362" i="29"/>
  <c r="K243" i="29"/>
  <c r="B1485" i="106" s="1"/>
  <c r="D1485" i="106" s="1"/>
  <c r="F130" i="34"/>
  <c r="B7202" i="106"/>
  <c r="D7202" i="106" s="1"/>
  <c r="K330" i="29"/>
  <c r="B7126" i="106"/>
  <c r="D7126" i="106" s="1"/>
  <c r="B7206" i="106"/>
  <c r="D7206" i="106" s="1"/>
  <c r="K310" i="29"/>
  <c r="K312" i="29" s="1"/>
  <c r="B1560" i="106" s="1"/>
  <c r="D1560" i="106" s="1"/>
  <c r="E312" i="29"/>
  <c r="B1536" i="106" s="1"/>
  <c r="D1536" i="106" s="1"/>
  <c r="B1529" i="106"/>
  <c r="D1529" i="106" s="1"/>
  <c r="C312" i="29"/>
  <c r="B1524" i="106" s="1"/>
  <c r="D1524" i="106" s="1"/>
  <c r="K257" i="29"/>
  <c r="B1488" i="106" s="1"/>
  <c r="D1488" i="106" s="1"/>
  <c r="F69" i="34"/>
  <c r="B7078" i="106"/>
  <c r="D7078" i="106" s="1"/>
  <c r="K204" i="29"/>
  <c r="G29" i="108"/>
  <c r="B7064" i="106"/>
  <c r="D7064" i="106" s="1"/>
  <c r="I210" i="29"/>
  <c r="B7071" i="106" s="1"/>
  <c r="D7071" i="106" s="1"/>
  <c r="B1345" i="106"/>
  <c r="D1345" i="106" s="1"/>
  <c r="E39" i="108"/>
  <c r="F28" i="108"/>
  <c r="B1053" i="106"/>
  <c r="D1053" i="106" s="1"/>
  <c r="K84" i="29"/>
  <c r="C14" i="4"/>
  <c r="B2558" i="106" s="1"/>
  <c r="D2558" i="106" s="1"/>
  <c r="F52" i="34"/>
  <c r="B1144" i="106"/>
  <c r="D1144" i="106" s="1"/>
  <c r="K72" i="29"/>
  <c r="B1141" i="106" s="1"/>
  <c r="D1141" i="106" s="1"/>
  <c r="F74" i="29"/>
  <c r="B929" i="106" s="1"/>
  <c r="D929" i="106" s="1"/>
  <c r="D27" i="108"/>
  <c r="B1127" i="106"/>
  <c r="D1127" i="106" s="1"/>
  <c r="E29" i="108"/>
  <c r="B1128" i="106"/>
  <c r="D1128" i="106" s="1"/>
  <c r="L74" i="29"/>
  <c r="L114" i="29" s="1"/>
  <c r="B1120" i="106"/>
  <c r="D1120" i="106" s="1"/>
  <c r="E74" i="29"/>
  <c r="E114" i="29" s="1"/>
  <c r="B873" i="106" s="1"/>
  <c r="D873" i="106" s="1"/>
  <c r="G74" i="29"/>
  <c r="G114" i="29" s="1"/>
  <c r="F39" i="34"/>
  <c r="B1104" i="106"/>
  <c r="D1104" i="106" s="1"/>
  <c r="F35" i="34"/>
  <c r="B6848" i="106"/>
  <c r="D6848" i="106" s="1"/>
  <c r="F36" i="34"/>
  <c r="K147" i="29"/>
  <c r="C74" i="29"/>
  <c r="B755" i="106" s="1"/>
  <c r="D755" i="106" s="1"/>
  <c r="L342" i="29"/>
  <c r="K285" i="29"/>
  <c r="B3724" i="106" s="1"/>
  <c r="D3724" i="106" s="1"/>
  <c r="K270" i="29"/>
  <c r="B1500" i="106" s="1"/>
  <c r="D1500" i="106" s="1"/>
  <c r="K194" i="29"/>
  <c r="B2837" i="106" s="1"/>
  <c r="D2837" i="106" s="1"/>
  <c r="K277" i="29"/>
  <c r="B1508" i="106" s="1"/>
  <c r="D1508" i="106" s="1"/>
  <c r="K137" i="29"/>
  <c r="K139" i="29" s="1"/>
  <c r="J74" i="29"/>
  <c r="J114" i="29" s="1"/>
  <c r="B7021" i="106" s="1"/>
  <c r="D7021" i="106" s="1"/>
  <c r="K42" i="29"/>
  <c r="B1115" i="106" s="1"/>
  <c r="D1115" i="106" s="1"/>
  <c r="K340" i="29"/>
  <c r="L312" i="29"/>
  <c r="K273" i="5"/>
  <c r="B6839" i="106"/>
  <c r="D6839" i="106" s="1"/>
  <c r="F129" i="34"/>
  <c r="B4373" i="106"/>
  <c r="D4373" i="106" s="1"/>
  <c r="E173" i="5"/>
  <c r="F111" i="34"/>
  <c r="J173" i="5"/>
  <c r="B3626" i="106"/>
  <c r="D3626" i="106" s="1"/>
  <c r="D352" i="29"/>
  <c r="B5000" i="106"/>
  <c r="D5000" i="106" s="1"/>
  <c r="K173" i="5"/>
  <c r="B4372" i="106"/>
  <c r="D4372" i="106" s="1"/>
  <c r="F31" i="108"/>
  <c r="D31" i="108"/>
  <c r="E273" i="5"/>
  <c r="B7747" i="106" s="1"/>
  <c r="D7747" i="106" s="1"/>
  <c r="B6835" i="106"/>
  <c r="D6835" i="106" s="1"/>
  <c r="B1475" i="106"/>
  <c r="D1475" i="106" s="1"/>
  <c r="K238" i="29"/>
  <c r="B1481" i="106" s="1"/>
  <c r="D1481" i="106" s="1"/>
  <c r="F72" i="34"/>
  <c r="G14" i="4"/>
  <c r="B2609" i="106" s="1"/>
  <c r="D2609" i="106" s="1"/>
  <c r="B1511" i="106"/>
  <c r="D1511" i="106" s="1"/>
  <c r="B5756" i="106"/>
  <c r="D5756" i="106" s="1"/>
  <c r="G172" i="5"/>
  <c r="B1093" i="106"/>
  <c r="D1093" i="106" s="1"/>
  <c r="K33" i="29"/>
  <c r="B1146" i="106"/>
  <c r="D1146" i="106" s="1"/>
  <c r="K110" i="29"/>
  <c r="K92" i="29"/>
  <c r="B2089" i="106" s="1"/>
  <c r="D2089" i="106" s="1"/>
  <c r="B6995" i="106"/>
  <c r="D6995" i="106" s="1"/>
  <c r="B4395" i="106"/>
  <c r="D4395" i="106" s="1"/>
  <c r="F128" i="34"/>
  <c r="C273" i="5"/>
  <c r="G35" i="108"/>
  <c r="E35" i="108"/>
  <c r="B1136" i="106"/>
  <c r="D1136" i="106" s="1"/>
  <c r="F14" i="4"/>
  <c r="B2597" i="106" s="1"/>
  <c r="D2597" i="106" s="1"/>
  <c r="F62" i="34"/>
  <c r="B2836" i="106"/>
  <c r="D2836" i="106" s="1"/>
  <c r="B4211" i="106"/>
  <c r="D4211" i="106" s="1"/>
  <c r="F64" i="34"/>
  <c r="B5899" i="106"/>
  <c r="D5899" i="106" s="1"/>
  <c r="H173" i="5"/>
  <c r="D14" i="4"/>
  <c r="B2570" i="106" s="1"/>
  <c r="D2570" i="106" s="1"/>
  <c r="B2805" i="106"/>
  <c r="D2805" i="106" s="1"/>
  <c r="F56" i="34"/>
  <c r="B785" i="106"/>
  <c r="D785" i="106" s="1"/>
  <c r="D74" i="29"/>
  <c r="B813" i="106" s="1"/>
  <c r="D813" i="106" s="1"/>
  <c r="L279" i="29"/>
  <c r="L295" i="29" s="1"/>
  <c r="F68" i="34"/>
  <c r="B7076" i="106"/>
  <c r="D7076" i="106" s="1"/>
  <c r="G33" i="108"/>
  <c r="E33" i="108"/>
  <c r="B6889" i="106"/>
  <c r="D6889" i="106" s="1"/>
  <c r="F45" i="34"/>
  <c r="B4396" i="106"/>
  <c r="D4396" i="106" s="1"/>
  <c r="D273" i="5"/>
  <c r="B5501" i="106" s="1"/>
  <c r="D5501" i="106" s="1"/>
  <c r="B1410" i="106"/>
  <c r="D1410" i="106" s="1"/>
  <c r="B1324" i="106"/>
  <c r="D1324" i="106" s="1"/>
  <c r="K168" i="29"/>
  <c r="H208" i="29"/>
  <c r="B1375" i="106" s="1"/>
  <c r="D1375" i="106" s="1"/>
  <c r="B4156" i="106"/>
  <c r="D4156" i="106" s="1"/>
  <c r="G129" i="29"/>
  <c r="B4411" i="106"/>
  <c r="D4411" i="106" s="1"/>
  <c r="F131" i="34"/>
  <c r="B4398" i="106"/>
  <c r="D4398" i="106" s="1"/>
  <c r="G273" i="5"/>
  <c r="H149" i="29"/>
  <c r="B1272" i="106" s="1"/>
  <c r="D1272" i="106" s="1"/>
  <c r="B7047" i="106"/>
  <c r="D7047" i="106" s="1"/>
  <c r="K293" i="29"/>
  <c r="G16" i="4" s="1"/>
  <c r="B2611" i="106" s="1"/>
  <c r="D2611" i="106" s="1"/>
  <c r="K350" i="29"/>
  <c r="K352" i="29" s="1"/>
  <c r="C151" i="29"/>
  <c r="B1226" i="106" s="1"/>
  <c r="D1226" i="106" s="1"/>
  <c r="B1225" i="106"/>
  <c r="D1225" i="106" s="1"/>
  <c r="B6902" i="106"/>
  <c r="D6902" i="106" s="1"/>
  <c r="B1137" i="106"/>
  <c r="D1137" i="106" s="1"/>
  <c r="F36" i="108"/>
  <c r="D36" i="108"/>
  <c r="B2091" i="106"/>
  <c r="D2091" i="106" s="1"/>
  <c r="H139" i="29"/>
  <c r="B1267" i="106" s="1"/>
  <c r="D1267" i="106" s="1"/>
  <c r="B1417" i="106"/>
  <c r="D1417" i="106" s="1"/>
  <c r="D279" i="29"/>
  <c r="B1446" i="106" s="1"/>
  <c r="D1446" i="106" s="1"/>
  <c r="J151" i="29"/>
  <c r="B7052" i="106" s="1"/>
  <c r="D7052" i="106" s="1"/>
  <c r="B7038" i="106"/>
  <c r="D7038" i="106" s="1"/>
  <c r="E139" i="29"/>
  <c r="B4202" i="106"/>
  <c r="D4202" i="106" s="1"/>
  <c r="F151" i="29"/>
  <c r="B1250" i="106" s="1"/>
  <c r="D1250" i="106" s="1"/>
  <c r="B1249" i="106"/>
  <c r="D1249" i="106" s="1"/>
  <c r="B1314" i="106"/>
  <c r="D1314" i="106" s="1"/>
  <c r="H172" i="29"/>
  <c r="B778" i="106"/>
  <c r="D778" i="106" s="1"/>
  <c r="B1107" i="106"/>
  <c r="D1107" i="106" s="1"/>
  <c r="F38" i="34"/>
  <c r="B5423" i="106"/>
  <c r="D5423" i="106" s="1"/>
  <c r="H129" i="29"/>
  <c r="B4080" i="106"/>
  <c r="D4080" i="106" s="1"/>
  <c r="K129" i="29"/>
  <c r="B1017" i="106"/>
  <c r="D1017" i="106" s="1"/>
  <c r="H74" i="29"/>
  <c r="B1045" i="106" s="1"/>
  <c r="D1045" i="106" s="1"/>
  <c r="L367" i="29"/>
  <c r="F15" i="145"/>
  <c r="F19" i="145" s="1"/>
  <c r="G26" i="108"/>
  <c r="B1274" i="106"/>
  <c r="D1274" i="106" s="1"/>
  <c r="K127" i="29"/>
  <c r="B1279" i="106" s="1"/>
  <c r="D1279" i="106" s="1"/>
  <c r="E26" i="108"/>
  <c r="F26" i="108"/>
  <c r="E15" i="145"/>
  <c r="B1126" i="106"/>
  <c r="D1126" i="106" s="1"/>
  <c r="D26" i="108"/>
  <c r="B5304" i="106"/>
  <c r="D5304" i="106" s="1"/>
  <c r="F136" i="34"/>
  <c r="B1489" i="106"/>
  <c r="D1489" i="106" s="1"/>
  <c r="K261" i="29"/>
  <c r="B1491" i="106" s="1"/>
  <c r="D1491" i="106" s="1"/>
  <c r="B5232" i="106"/>
  <c r="D5232" i="106" s="1"/>
  <c r="F127" i="34"/>
  <c r="B6916" i="106"/>
  <c r="D6916" i="106" s="1"/>
  <c r="I74" i="29"/>
  <c r="B6977" i="106" s="1"/>
  <c r="D6977" i="106" s="1"/>
  <c r="B5214" i="106"/>
  <c r="D5214" i="106" s="1"/>
  <c r="C173" i="5"/>
  <c r="B5121" i="106"/>
  <c r="D5121" i="106" s="1"/>
  <c r="B5527" i="106"/>
  <c r="D5527" i="106" s="1"/>
  <c r="B5588" i="106"/>
  <c r="D5588" i="106" s="1"/>
  <c r="H77" i="4"/>
  <c r="B3299" i="106" s="1"/>
  <c r="D3299" i="106" s="1"/>
  <c r="B3318" i="106"/>
  <c r="D3318" i="106" s="1"/>
  <c r="I77" i="4"/>
  <c r="B3319" i="106" s="1"/>
  <c r="D3319" i="106" s="1"/>
  <c r="D4" i="4"/>
  <c r="B2564" i="106" s="1"/>
  <c r="D2564" i="106" s="1"/>
  <c r="B5356" i="106"/>
  <c r="D5356" i="106" s="1"/>
  <c r="G15" i="4"/>
  <c r="B6032" i="106" s="1"/>
  <c r="D6032" i="106" s="1"/>
  <c r="B4442" i="106"/>
  <c r="D4442" i="106" s="1"/>
  <c r="K274" i="5"/>
  <c r="K275" i="5" s="1"/>
  <c r="B6023" i="106" s="1"/>
  <c r="D6023" i="106" s="1"/>
  <c r="B6025" i="106"/>
  <c r="D6025" i="106" s="1"/>
  <c r="H4" i="4"/>
  <c r="B1233" i="106"/>
  <c r="D1233" i="106" s="1"/>
  <c r="D151" i="29"/>
  <c r="B1234" i="106" s="1"/>
  <c r="D1234" i="106" s="1"/>
  <c r="I7" i="4"/>
  <c r="B4444" i="106" s="1"/>
  <c r="D4444" i="106" s="1"/>
  <c r="B4435" i="106"/>
  <c r="D4435" i="106" s="1"/>
  <c r="J367" i="29"/>
  <c r="B7245" i="106" s="1"/>
  <c r="D7245" i="106" s="1"/>
  <c r="B7235" i="106"/>
  <c r="D7235" i="106" s="1"/>
  <c r="B3274" i="106"/>
  <c r="D3274" i="106" s="1"/>
  <c r="E77" i="4"/>
  <c r="B3277" i="106" s="1"/>
  <c r="D3277" i="106" s="1"/>
  <c r="G12" i="145"/>
  <c r="E19" i="145"/>
  <c r="D19" i="7"/>
  <c r="B1775" i="106" s="1"/>
  <c r="D1775" i="106" s="1"/>
  <c r="B3676" i="106"/>
  <c r="D3676" i="106" s="1"/>
  <c r="K365" i="29"/>
  <c r="F367" i="29"/>
  <c r="B3643" i="106" s="1"/>
  <c r="D3643" i="106" s="1"/>
  <c r="B3642" i="106"/>
  <c r="D3642" i="106" s="1"/>
  <c r="I151" i="29"/>
  <c r="B7037" i="106"/>
  <c r="D7037" i="106" s="1"/>
  <c r="E21" i="108"/>
  <c r="B1474" i="106"/>
  <c r="D1474" i="106" s="1"/>
  <c r="G12" i="4"/>
  <c r="B2607" i="106" s="1"/>
  <c r="D2607" i="106" s="1"/>
  <c r="C367" i="29"/>
  <c r="B3622" i="106" s="1"/>
  <c r="D3622" i="106" s="1"/>
  <c r="B3621" i="106"/>
  <c r="D3621" i="106" s="1"/>
  <c r="E367" i="29"/>
  <c r="B3636" i="106" s="1"/>
  <c r="D3636" i="106" s="1"/>
  <c r="B3635" i="106"/>
  <c r="D3635" i="106" s="1"/>
  <c r="K149" i="29"/>
  <c r="B7048" i="106"/>
  <c r="D7048" i="106" s="1"/>
  <c r="B1047" i="106"/>
  <c r="D1047" i="106" s="1"/>
  <c r="J16" i="4"/>
  <c r="B6226" i="106" s="1"/>
  <c r="D6226" i="106" s="1"/>
  <c r="B7215" i="106"/>
  <c r="D7215" i="106" s="1"/>
  <c r="F13" i="4"/>
  <c r="B2596" i="106" s="1"/>
  <c r="D2596" i="106" s="1"/>
  <c r="B1381" i="106"/>
  <c r="D1381" i="106" s="1"/>
  <c r="E23" i="108"/>
  <c r="B1122" i="106"/>
  <c r="D1122" i="106" s="1"/>
  <c r="G23" i="108"/>
  <c r="B6028" i="106"/>
  <c r="D6028" i="106" s="1"/>
  <c r="K4" i="4"/>
  <c r="B1365" i="106"/>
  <c r="D1365" i="106" s="1"/>
  <c r="F65" i="34"/>
  <c r="B5644" i="106"/>
  <c r="D5644" i="106" s="1"/>
  <c r="F173" i="5"/>
  <c r="B6024" i="106"/>
  <c r="D6024" i="106" s="1"/>
  <c r="G4" i="4"/>
  <c r="B2603" i="106" s="1"/>
  <c r="D2603" i="106" s="1"/>
  <c r="I6" i="4"/>
  <c r="B4216" i="106"/>
  <c r="D4216" i="106" s="1"/>
  <c r="E22" i="108"/>
  <c r="G22" i="108"/>
  <c r="B1119" i="106"/>
  <c r="D1119" i="106" s="1"/>
  <c r="G24" i="108"/>
  <c r="E24" i="108"/>
  <c r="B1125" i="106"/>
  <c r="D1125" i="106" s="1"/>
  <c r="B2088" i="106"/>
  <c r="D2088" i="106" s="1"/>
  <c r="K102" i="29"/>
  <c r="B4157" i="106"/>
  <c r="D4157" i="106" s="1"/>
  <c r="K208" i="29"/>
  <c r="B1559" i="106"/>
  <c r="D1559" i="106" s="1"/>
  <c r="H13" i="4"/>
  <c r="B5713" i="106"/>
  <c r="D5713" i="106" s="1"/>
  <c r="F274" i="5"/>
  <c r="B6397" i="106"/>
  <c r="D6397" i="106" s="1"/>
  <c r="J6" i="4"/>
  <c r="B6221" i="106" s="1"/>
  <c r="D6221" i="106" s="1"/>
  <c r="B7207" i="106"/>
  <c r="D7207" i="106" s="1"/>
  <c r="J13" i="4"/>
  <c r="K342" i="29"/>
  <c r="B2093" i="106"/>
  <c r="D2093" i="106" s="1"/>
  <c r="D173" i="5"/>
  <c r="B5412" i="106"/>
  <c r="D5412" i="106" s="1"/>
  <c r="B1515" i="106"/>
  <c r="D1515" i="106" s="1"/>
  <c r="B3670" i="106"/>
  <c r="D3670" i="106" s="1"/>
  <c r="B3649" i="106"/>
  <c r="D3649" i="106" s="1"/>
  <c r="G367" i="29"/>
  <c r="B3650" i="106" s="1"/>
  <c r="D3650" i="106" s="1"/>
  <c r="B2102" i="106"/>
  <c r="D2102" i="106" s="1"/>
  <c r="H15" i="4"/>
  <c r="B2660" i="106" s="1"/>
  <c r="D2660" i="106" s="1"/>
  <c r="B4441" i="106"/>
  <c r="D4441" i="106" s="1"/>
  <c r="H274" i="5"/>
  <c r="H367" i="29"/>
  <c r="B3660" i="106" s="1"/>
  <c r="D3660" i="106" s="1"/>
  <c r="B3656" i="106"/>
  <c r="D3656" i="106" s="1"/>
  <c r="E6" i="4"/>
  <c r="B2631" i="106" s="1"/>
  <c r="D2631" i="106" s="1"/>
  <c r="B5544" i="106"/>
  <c r="D5544" i="106" s="1"/>
  <c r="B7041" i="106"/>
  <c r="D7041" i="106" s="1"/>
  <c r="J274" i="5"/>
  <c r="I367" i="29"/>
  <c r="B7244" i="106" s="1"/>
  <c r="D7244" i="106" s="1"/>
  <c r="B7234" i="106"/>
  <c r="D7234" i="106" s="1"/>
  <c r="K77" i="4"/>
  <c r="B3587" i="106" s="1"/>
  <c r="D3587" i="106" s="1"/>
  <c r="B3586" i="106"/>
  <c r="D3586" i="106" s="1"/>
  <c r="B1352" i="106"/>
  <c r="D1352" i="106" s="1"/>
  <c r="E210" i="29"/>
  <c r="B1353" i="106" s="1"/>
  <c r="D1353" i="106" s="1"/>
  <c r="H210" i="29"/>
  <c r="B1376" i="106" s="1"/>
  <c r="D1376" i="106" s="1"/>
  <c r="B2830" i="106"/>
  <c r="D2830" i="106" s="1"/>
  <c r="I275" i="5"/>
  <c r="B5946" i="106" s="1"/>
  <c r="D5946" i="106" s="1"/>
  <c r="A7262" i="106"/>
  <c r="D7261" i="106"/>
  <c r="F73" i="34" l="1"/>
  <c r="D41" i="108"/>
  <c r="E43" i="108" s="1"/>
  <c r="K196" i="29"/>
  <c r="F63" i="34" s="1"/>
  <c r="F66" i="34"/>
  <c r="G15" i="145"/>
  <c r="G19" i="145"/>
  <c r="J20" i="145" s="1"/>
  <c r="F114" i="29"/>
  <c r="B931" i="106" s="1"/>
  <c r="D931" i="106" s="1"/>
  <c r="B871" i="106"/>
  <c r="D871" i="106" s="1"/>
  <c r="C114" i="29"/>
  <c r="B757" i="106" s="1"/>
  <c r="D757" i="106" s="1"/>
  <c r="F41" i="108"/>
  <c r="G43" i="108" s="1"/>
  <c r="B987" i="106"/>
  <c r="D987" i="106" s="1"/>
  <c r="D114" i="29"/>
  <c r="B815" i="106" s="1"/>
  <c r="D815" i="106" s="1"/>
  <c r="B6978" i="106"/>
  <c r="D6978" i="106" s="1"/>
  <c r="K74" i="29"/>
  <c r="B1143" i="106" s="1"/>
  <c r="D1143" i="106" s="1"/>
  <c r="H114" i="29"/>
  <c r="B1054" i="106" s="1"/>
  <c r="D1054" i="106" s="1"/>
  <c r="G21" i="108"/>
  <c r="K279" i="29"/>
  <c r="K295" i="29" s="1"/>
  <c r="F178" i="34"/>
  <c r="D274" i="5"/>
  <c r="B5507" i="106" s="1"/>
  <c r="D5507" i="106" s="1"/>
  <c r="B1266" i="106"/>
  <c r="D1266" i="106" s="1"/>
  <c r="H151" i="29"/>
  <c r="B1273" i="106" s="1"/>
  <c r="D1273" i="106" s="1"/>
  <c r="B4203" i="106"/>
  <c r="D4203" i="106" s="1"/>
  <c r="E151" i="29"/>
  <c r="B1242" i="106" s="1"/>
  <c r="D1242" i="106" s="1"/>
  <c r="K6" i="4"/>
  <c r="B3570" i="106" s="1"/>
  <c r="D3570" i="106" s="1"/>
  <c r="B6014" i="106"/>
  <c r="D6014" i="106" s="1"/>
  <c r="K172" i="29"/>
  <c r="B1328" i="106"/>
  <c r="D1328" i="106" s="1"/>
  <c r="B1108" i="106"/>
  <c r="D1108" i="106" s="1"/>
  <c r="E19" i="108"/>
  <c r="E41" i="108" s="1"/>
  <c r="E44" i="108" s="1"/>
  <c r="E45" i="108" s="1"/>
  <c r="G19" i="108"/>
  <c r="C12" i="4"/>
  <c r="B2556" i="106" s="1"/>
  <c r="D2556" i="106" s="1"/>
  <c r="D13" i="4"/>
  <c r="B2569" i="106" s="1"/>
  <c r="D2569" i="106" s="1"/>
  <c r="B1281" i="106"/>
  <c r="D1281" i="106" s="1"/>
  <c r="I114" i="29"/>
  <c r="F17" i="11" s="1"/>
  <c r="B5863" i="106"/>
  <c r="D5863" i="106" s="1"/>
  <c r="G274" i="5"/>
  <c r="B1258" i="106"/>
  <c r="D1258" i="106" s="1"/>
  <c r="G151" i="29"/>
  <c r="B5320" i="106"/>
  <c r="D5320" i="106" s="1"/>
  <c r="C274" i="5"/>
  <c r="E274" i="5"/>
  <c r="D367" i="29"/>
  <c r="B3629" i="106" s="1"/>
  <c r="D3629" i="106" s="1"/>
  <c r="B3628" i="106"/>
  <c r="D3628" i="106" s="1"/>
  <c r="B1317" i="106"/>
  <c r="D1317" i="106" s="1"/>
  <c r="H174" i="29"/>
  <c r="B1318" i="106" s="1"/>
  <c r="D1318" i="106" s="1"/>
  <c r="D295" i="29"/>
  <c r="B1448" i="106" s="1"/>
  <c r="D1448" i="106" s="1"/>
  <c r="B5906" i="106"/>
  <c r="D5906" i="106" s="1"/>
  <c r="H6" i="4"/>
  <c r="B2656" i="106" s="1"/>
  <c r="D2656" i="106" s="1"/>
  <c r="B1151" i="106"/>
  <c r="D1151" i="106" s="1"/>
  <c r="K112" i="29"/>
  <c r="K114" i="29" s="1"/>
  <c r="G173" i="5"/>
  <c r="B5770" i="106"/>
  <c r="D5770" i="106" s="1"/>
  <c r="B5223" i="106"/>
  <c r="D5223" i="106" s="1"/>
  <c r="C6" i="4"/>
  <c r="J275" i="5"/>
  <c r="J7" i="4"/>
  <c r="B7054" i="106"/>
  <c r="D7054" i="106" s="1"/>
  <c r="F16" i="4"/>
  <c r="B2599" i="106" s="1"/>
  <c r="D2599" i="106" s="1"/>
  <c r="B1387" i="106"/>
  <c r="D1387" i="106" s="1"/>
  <c r="B3569" i="106"/>
  <c r="D3569" i="106" s="1"/>
  <c r="B1282" i="106"/>
  <c r="D1282" i="106" s="1"/>
  <c r="D15" i="4"/>
  <c r="F57" i="34"/>
  <c r="K151" i="29"/>
  <c r="F7" i="4"/>
  <c r="B5719" i="106"/>
  <c r="D5719" i="106" s="1"/>
  <c r="B6022" i="106"/>
  <c r="D6022" i="106" s="1"/>
  <c r="K7" i="4"/>
  <c r="B3718" i="106" s="1"/>
  <c r="D3718" i="106" s="1"/>
  <c r="H7" i="4"/>
  <c r="B2657" i="106" s="1"/>
  <c r="D2657" i="106" s="1"/>
  <c r="B5914" i="106"/>
  <c r="D5914" i="106" s="1"/>
  <c r="H275" i="5"/>
  <c r="K13" i="4"/>
  <c r="B3672" i="106"/>
  <c r="D3672" i="106" s="1"/>
  <c r="K367" i="29"/>
  <c r="F13" i="34"/>
  <c r="B7224" i="106"/>
  <c r="D7224" i="106" s="1"/>
  <c r="F53" i="34"/>
  <c r="B1145" i="106"/>
  <c r="D1145" i="106" s="1"/>
  <c r="C15" i="4"/>
  <c r="B2559" i="106" s="1"/>
  <c r="D2559" i="106" s="1"/>
  <c r="B5653" i="106"/>
  <c r="D5653" i="106" s="1"/>
  <c r="F6" i="4"/>
  <c r="F275" i="5"/>
  <c r="B1287" i="106"/>
  <c r="D1287" i="106" s="1"/>
  <c r="D16" i="4"/>
  <c r="B2572" i="106" s="1"/>
  <c r="D2572" i="106" s="1"/>
  <c r="F59" i="34"/>
  <c r="B7051" i="106"/>
  <c r="D7051" i="106" s="1"/>
  <c r="B7243" i="106"/>
  <c r="D7243" i="106" s="1"/>
  <c r="K16" i="4"/>
  <c r="B3574" i="106" s="1"/>
  <c r="D3574" i="106" s="1"/>
  <c r="D6" i="4"/>
  <c r="B5421" i="106"/>
  <c r="D5421" i="106" s="1"/>
  <c r="B7042" i="106"/>
  <c r="D7042" i="106" s="1"/>
  <c r="J17" i="4"/>
  <c r="B2659" i="106"/>
  <c r="D2659" i="106" s="1"/>
  <c r="H17" i="4"/>
  <c r="B5011" i="106"/>
  <c r="D5011" i="106" s="1"/>
  <c r="I8" i="4"/>
  <c r="F54" i="34"/>
  <c r="B989" i="106"/>
  <c r="D989" i="106" s="1"/>
  <c r="B2655" i="106"/>
  <c r="D2655" i="106" s="1"/>
  <c r="A7263" i="106"/>
  <c r="D7262" i="106"/>
  <c r="G13" i="4" l="1"/>
  <c r="B2608" i="106" s="1"/>
  <c r="D2608" i="106" s="1"/>
  <c r="B1510" i="106"/>
  <c r="D1510" i="106" s="1"/>
  <c r="F15" i="4"/>
  <c r="F17" i="4" s="1"/>
  <c r="K210" i="29"/>
  <c r="B1382" i="106"/>
  <c r="D1382" i="106" s="1"/>
  <c r="C13" i="4"/>
  <c r="G41" i="108"/>
  <c r="G44" i="108" s="1"/>
  <c r="G45" i="108" s="1"/>
  <c r="D7" i="4"/>
  <c r="B2567" i="106" s="1"/>
  <c r="D2567" i="106" s="1"/>
  <c r="D275" i="5"/>
  <c r="B5508" i="106" s="1"/>
  <c r="D5508" i="106" s="1"/>
  <c r="H8" i="4"/>
  <c r="H10" i="4" s="1"/>
  <c r="B4127" i="106" s="1"/>
  <c r="D4127" i="106" s="1"/>
  <c r="C7" i="4"/>
  <c r="B2554" i="106" s="1"/>
  <c r="D2554" i="106" s="1"/>
  <c r="B5326" i="106"/>
  <c r="D5326" i="106" s="1"/>
  <c r="B5869" i="106"/>
  <c r="D5869" i="106" s="1"/>
  <c r="G7" i="4"/>
  <c r="B2605" i="106" s="1"/>
  <c r="D2605" i="106" s="1"/>
  <c r="B5778" i="106"/>
  <c r="D5778" i="106" s="1"/>
  <c r="G6" i="4"/>
  <c r="G275" i="5"/>
  <c r="B5870" i="106" s="1"/>
  <c r="D5870" i="106" s="1"/>
  <c r="C16" i="4"/>
  <c r="B2560" i="106" s="1"/>
  <c r="D2560" i="106" s="1"/>
  <c r="B7019" i="106"/>
  <c r="D7019" i="106" s="1"/>
  <c r="F58" i="34"/>
  <c r="B1259" i="106"/>
  <c r="D1259" i="106" s="1"/>
  <c r="B7020" i="106"/>
  <c r="D7020" i="106" s="1"/>
  <c r="F55" i="34"/>
  <c r="E16" i="4"/>
  <c r="B1331" i="106"/>
  <c r="D1331" i="106" s="1"/>
  <c r="K174" i="29"/>
  <c r="B4434" i="106"/>
  <c r="D4434" i="106" s="1"/>
  <c r="E7" i="4"/>
  <c r="E275" i="5"/>
  <c r="C275" i="5"/>
  <c r="B5327" i="106" s="1"/>
  <c r="D5327" i="106" s="1"/>
  <c r="B2553" i="106"/>
  <c r="D2553" i="106" s="1"/>
  <c r="K8" i="4"/>
  <c r="K10" i="4" s="1"/>
  <c r="B4130" i="106" s="1"/>
  <c r="D4130" i="106" s="1"/>
  <c r="H19" i="4"/>
  <c r="B4141" i="106" s="1"/>
  <c r="D4141" i="106" s="1"/>
  <c r="B2661" i="106"/>
  <c r="D2661" i="106" s="1"/>
  <c r="B2557" i="106"/>
  <c r="D2557" i="106" s="1"/>
  <c r="G17" i="4"/>
  <c r="B2593" i="106"/>
  <c r="D2593" i="106" s="1"/>
  <c r="F8" i="4"/>
  <c r="B1388" i="106"/>
  <c r="D1388" i="106" s="1"/>
  <c r="F11" i="34"/>
  <c r="B6222" i="106"/>
  <c r="D6222" i="106" s="1"/>
  <c r="J8" i="4"/>
  <c r="B2566" i="106"/>
  <c r="D2566" i="106" s="1"/>
  <c r="I17" i="11"/>
  <c r="B7624" i="106"/>
  <c r="K17" i="4"/>
  <c r="B3572" i="106"/>
  <c r="D3572" i="106" s="1"/>
  <c r="B2571" i="106"/>
  <c r="D2571" i="106" s="1"/>
  <c r="D17" i="4"/>
  <c r="K343" i="29"/>
  <c r="B7225" i="106" s="1"/>
  <c r="D7225" i="106" s="1"/>
  <c r="B7055" i="106"/>
  <c r="D7055" i="106" s="1"/>
  <c r="H20" i="4"/>
  <c r="B2658" i="106"/>
  <c r="D2658" i="106" s="1"/>
  <c r="I20" i="4"/>
  <c r="B3226" i="106"/>
  <c r="D3226" i="106" s="1"/>
  <c r="I10" i="4"/>
  <c r="B4128" i="106" s="1"/>
  <c r="D4128" i="106" s="1"/>
  <c r="E8" i="146"/>
  <c r="E10" i="146" s="1"/>
  <c r="J19" i="4"/>
  <c r="B6229" i="106" s="1"/>
  <c r="D6229" i="106" s="1"/>
  <c r="B6227" i="106"/>
  <c r="D6227" i="106" s="1"/>
  <c r="F12" i="34"/>
  <c r="B1517" i="106"/>
  <c r="D1517" i="106" s="1"/>
  <c r="K313" i="29"/>
  <c r="B1561" i="106" s="1"/>
  <c r="D1561" i="106" s="1"/>
  <c r="B5915" i="106"/>
  <c r="D5915" i="106" s="1"/>
  <c r="B2594" i="106"/>
  <c r="D2594" i="106" s="1"/>
  <c r="B1152" i="106"/>
  <c r="D1152" i="106" s="1"/>
  <c r="F8" i="34"/>
  <c r="K211" i="29"/>
  <c r="B1389" i="106" s="1"/>
  <c r="D1389" i="106" s="1"/>
  <c r="B5720" i="106"/>
  <c r="D5720" i="106" s="1"/>
  <c r="B2598" i="106"/>
  <c r="D2598" i="106" s="1"/>
  <c r="K368" i="29"/>
  <c r="B3681" i="106" s="1"/>
  <c r="D3681" i="106" s="1"/>
  <c r="B3678" i="106"/>
  <c r="D3678" i="106" s="1"/>
  <c r="B1288" i="106"/>
  <c r="D1288" i="106" s="1"/>
  <c r="F9" i="34"/>
  <c r="A7264" i="106"/>
  <c r="D7263" i="106"/>
  <c r="F76" i="34" l="1"/>
  <c r="D8" i="4"/>
  <c r="B2568" i="106" s="1"/>
  <c r="D2568" i="106" s="1"/>
  <c r="K152" i="29"/>
  <c r="B1289" i="106" s="1"/>
  <c r="D1289" i="106" s="1"/>
  <c r="C8" i="4"/>
  <c r="B8" i="146" s="1"/>
  <c r="D10" i="171"/>
  <c r="D19" i="171" s="1"/>
  <c r="D32" i="171" s="1"/>
  <c r="D49" i="171" s="1"/>
  <c r="K296" i="29"/>
  <c r="B1518" i="106" s="1"/>
  <c r="D1518" i="106" s="1"/>
  <c r="K115" i="29"/>
  <c r="B1153" i="106" s="1"/>
  <c r="D1153" i="106" s="1"/>
  <c r="F10" i="34"/>
  <c r="F14" i="34" s="1"/>
  <c r="B1332" i="106"/>
  <c r="D1332" i="106" s="1"/>
  <c r="K175" i="29"/>
  <c r="B1333" i="106" s="1"/>
  <c r="D1333" i="106" s="1"/>
  <c r="B5552" i="106"/>
  <c r="D5552" i="106" s="1"/>
  <c r="B4443" i="106"/>
  <c r="D4443" i="106" s="1"/>
  <c r="E8" i="4"/>
  <c r="B2634" i="106"/>
  <c r="D2634" i="106" s="1"/>
  <c r="E17" i="4"/>
  <c r="B2604" i="106"/>
  <c r="D2604" i="106" s="1"/>
  <c r="G8" i="4"/>
  <c r="G20" i="4" s="1"/>
  <c r="C17" i="4"/>
  <c r="H17" i="118" s="1"/>
  <c r="B3571" i="106"/>
  <c r="D3571" i="106" s="1"/>
  <c r="H78" i="4"/>
  <c r="B2662" i="106"/>
  <c r="D2662" i="106" s="1"/>
  <c r="I18" i="11"/>
  <c r="B7625" i="106"/>
  <c r="D8" i="146"/>
  <c r="F20" i="4"/>
  <c r="F10" i="4"/>
  <c r="B4125" i="106" s="1"/>
  <c r="D4125" i="106" s="1"/>
  <c r="B2595" i="106"/>
  <c r="D2595" i="106" s="1"/>
  <c r="I78" i="4"/>
  <c r="B3227" i="106"/>
  <c r="D3227" i="106" s="1"/>
  <c r="C8" i="146"/>
  <c r="D10" i="4"/>
  <c r="B4123" i="106" s="1"/>
  <c r="D4123" i="106" s="1"/>
  <c r="K20" i="4"/>
  <c r="K19" i="4"/>
  <c r="B4144" i="106" s="1"/>
  <c r="D4144" i="106" s="1"/>
  <c r="B3575" i="106"/>
  <c r="D3575" i="106" s="1"/>
  <c r="G19" i="4"/>
  <c r="B4140" i="106" s="1"/>
  <c r="D4140" i="106" s="1"/>
  <c r="B2612" i="106"/>
  <c r="D2612" i="106" s="1"/>
  <c r="D9" i="146"/>
  <c r="B2600" i="106"/>
  <c r="D2600" i="106" s="1"/>
  <c r="F19" i="4"/>
  <c r="B4139" i="106" s="1"/>
  <c r="D4139" i="106" s="1"/>
  <c r="B2573" i="106"/>
  <c r="D2573" i="106" s="1"/>
  <c r="D19" i="4"/>
  <c r="B4137" i="106" s="1"/>
  <c r="D4137" i="106" s="1"/>
  <c r="C9" i="146"/>
  <c r="B6223" i="106"/>
  <c r="D6223" i="106" s="1"/>
  <c r="J10" i="4"/>
  <c r="B6225" i="106" s="1"/>
  <c r="D6225" i="106" s="1"/>
  <c r="J20" i="4"/>
  <c r="A7265" i="106"/>
  <c r="D7264" i="106"/>
  <c r="B2555" i="106" l="1"/>
  <c r="D2555" i="106" s="1"/>
  <c r="F77" i="34"/>
  <c r="F79" i="34" s="1"/>
  <c r="F16" i="37"/>
  <c r="C20" i="4"/>
  <c r="C78" i="4" s="1"/>
  <c r="B2561" i="106"/>
  <c r="D2561" i="106" s="1"/>
  <c r="C19" i="4"/>
  <c r="B4136" i="106" s="1"/>
  <c r="D4136" i="106" s="1"/>
  <c r="B9" i="146"/>
  <c r="F9" i="146" s="1"/>
  <c r="D20" i="4"/>
  <c r="B2574" i="106" s="1"/>
  <c r="D2574" i="106" s="1"/>
  <c r="H13" i="118"/>
  <c r="D16" i="37"/>
  <c r="C10" i="4"/>
  <c r="B4122" i="106" s="1"/>
  <c r="D4122" i="106" s="1"/>
  <c r="H18" i="118"/>
  <c r="K17" i="118" s="1"/>
  <c r="E19" i="4"/>
  <c r="B4138" i="106" s="1"/>
  <c r="D4138" i="106" s="1"/>
  <c r="B2635" i="106"/>
  <c r="D2635" i="106" s="1"/>
  <c r="G10" i="4"/>
  <c r="B4126" i="106" s="1"/>
  <c r="D4126" i="106" s="1"/>
  <c r="B2606" i="106"/>
  <c r="D2606" i="106" s="1"/>
  <c r="B2632" i="106"/>
  <c r="D2632" i="106" s="1"/>
  <c r="E10" i="4"/>
  <c r="B4124" i="106" s="1"/>
  <c r="D4124" i="106" s="1"/>
  <c r="E20" i="4"/>
  <c r="B6230" i="106"/>
  <c r="D6230" i="106" s="1"/>
  <c r="J78" i="4"/>
  <c r="C10" i="146"/>
  <c r="F8" i="146"/>
  <c r="B7631" i="106"/>
  <c r="F180" i="34"/>
  <c r="H25" i="118"/>
  <c r="K24" i="118" s="1"/>
  <c r="O23" i="118" s="1"/>
  <c r="O25" i="118" s="1"/>
  <c r="B2601" i="106"/>
  <c r="D2601" i="106" s="1"/>
  <c r="F78" i="4"/>
  <c r="B2613" i="106"/>
  <c r="D2613" i="106" s="1"/>
  <c r="G78" i="4"/>
  <c r="K78" i="4"/>
  <c r="B3576" i="106"/>
  <c r="D3576" i="106" s="1"/>
  <c r="B10" i="146"/>
  <c r="B3320" i="106"/>
  <c r="D3320" i="106" s="1"/>
  <c r="I81" i="4"/>
  <c r="D10" i="146"/>
  <c r="B3300" i="106"/>
  <c r="D3300" i="106" s="1"/>
  <c r="H81" i="4"/>
  <c r="A7266" i="106"/>
  <c r="D7265" i="106"/>
  <c r="B2562" i="106" l="1"/>
  <c r="D2562" i="106" s="1"/>
  <c r="F179" i="34"/>
  <c r="F181" i="34" s="1"/>
  <c r="F183" i="34" s="1"/>
  <c r="D78" i="4"/>
  <c r="B3239" i="106" s="1"/>
  <c r="D3239" i="106" s="1"/>
  <c r="H16" i="37"/>
  <c r="B2636" i="106"/>
  <c r="D2636" i="106" s="1"/>
  <c r="E78" i="4"/>
  <c r="J20" i="118"/>
  <c r="K20" i="118"/>
  <c r="O16" i="118"/>
  <c r="F10" i="146"/>
  <c r="J81" i="4"/>
  <c r="B6263" i="106"/>
  <c r="D6263" i="106" s="1"/>
  <c r="B1700" i="106"/>
  <c r="D1700" i="106" s="1"/>
  <c r="H82" i="4"/>
  <c r="B3256" i="106"/>
  <c r="D3256" i="106" s="1"/>
  <c r="F81" i="4"/>
  <c r="B3588" i="106"/>
  <c r="D3588" i="106" s="1"/>
  <c r="K81" i="4"/>
  <c r="G81" i="4"/>
  <c r="B3262" i="106"/>
  <c r="D3262" i="106" s="1"/>
  <c r="C81" i="4"/>
  <c r="B3233" i="106"/>
  <c r="D3233" i="106" s="1"/>
  <c r="B3323" i="106"/>
  <c r="D3323" i="106" s="1"/>
  <c r="E11" i="146"/>
  <c r="I82" i="4"/>
  <c r="B140" i="106"/>
  <c r="D140" i="106" s="1"/>
  <c r="E41" i="3"/>
  <c r="A7267" i="106"/>
  <c r="D7266" i="106"/>
  <c r="D81" i="4" l="1"/>
  <c r="H12" i="118" s="1"/>
  <c r="K12" i="118" s="1"/>
  <c r="O11" i="118" s="1"/>
  <c r="O13" i="118" s="1"/>
  <c r="B3278" i="106"/>
  <c r="D3278" i="106" s="1"/>
  <c r="E81" i="4"/>
  <c r="O17" i="118"/>
  <c r="O20" i="118" s="1"/>
  <c r="D63" i="36"/>
  <c r="I41" i="3"/>
  <c r="B2912" i="106"/>
  <c r="D2912" i="106" s="1"/>
  <c r="I83" i="4"/>
  <c r="B6282" i="106" s="1"/>
  <c r="D6282" i="106" s="1"/>
  <c r="B6273" i="106"/>
  <c r="D6273" i="106" s="1"/>
  <c r="D62" i="36"/>
  <c r="B212" i="106"/>
  <c r="D212" i="106" s="1"/>
  <c r="H41" i="3"/>
  <c r="C82" i="4"/>
  <c r="B1630" i="106"/>
  <c r="D1630" i="106" s="1"/>
  <c r="B11" i="146"/>
  <c r="G82" i="4"/>
  <c r="B1686" i="106"/>
  <c r="D1686" i="106" s="1"/>
  <c r="B1672" i="106"/>
  <c r="D1672" i="106" s="1"/>
  <c r="F82" i="4"/>
  <c r="D11" i="146"/>
  <c r="C11" i="146"/>
  <c r="K82" i="4"/>
  <c r="B3591" i="106"/>
  <c r="D3591" i="106" s="1"/>
  <c r="B6272" i="106"/>
  <c r="D6272" i="106" s="1"/>
  <c r="H83" i="4"/>
  <c r="B6281" i="106" s="1"/>
  <c r="D6281" i="106" s="1"/>
  <c r="J82" i="4"/>
  <c r="B6266" i="106"/>
  <c r="D6266" i="106" s="1"/>
  <c r="B282" i="106"/>
  <c r="D282" i="106" s="1"/>
  <c r="N23" i="3"/>
  <c r="D46" i="36"/>
  <c r="B141" i="106"/>
  <c r="D141" i="106" s="1"/>
  <c r="A7268" i="106"/>
  <c r="D7267" i="106"/>
  <c r="D82" i="4" l="1"/>
  <c r="D83" i="4" s="1"/>
  <c r="B6277" i="106" s="1"/>
  <c r="D6277" i="106" s="1"/>
  <c r="J16" i="37"/>
  <c r="B4269" i="106" s="1"/>
  <c r="D4269" i="106" s="1"/>
  <c r="B1644" i="106"/>
  <c r="D1644" i="106" s="1"/>
  <c r="B1658" i="106"/>
  <c r="D1658" i="106" s="1"/>
  <c r="D59" i="36"/>
  <c r="E82" i="4"/>
  <c r="O35" i="118"/>
  <c r="O37" i="118" s="1"/>
  <c r="D58" i="36"/>
  <c r="D41" i="3"/>
  <c r="B123" i="106"/>
  <c r="D123" i="106" s="1"/>
  <c r="F41" i="3"/>
  <c r="B170" i="106"/>
  <c r="D170" i="106" s="1"/>
  <c r="D60" i="36"/>
  <c r="B6267" i="106"/>
  <c r="D6267" i="106" s="1"/>
  <c r="C83" i="4"/>
  <c r="B6276" i="106" s="1"/>
  <c r="D6276" i="106" s="1"/>
  <c r="D49" i="36"/>
  <c r="B213" i="106"/>
  <c r="D213" i="106" s="1"/>
  <c r="J41" i="3"/>
  <c r="D64" i="36"/>
  <c r="B6215" i="106"/>
  <c r="D6215" i="106" s="1"/>
  <c r="B6268" i="106"/>
  <c r="D6268" i="106" s="1"/>
  <c r="F83" i="4"/>
  <c r="B6279" i="106" s="1"/>
  <c r="D6279" i="106" s="1"/>
  <c r="B6270" i="106"/>
  <c r="D6270" i="106" s="1"/>
  <c r="D61" i="36"/>
  <c r="G41" i="3"/>
  <c r="B189" i="106"/>
  <c r="D189" i="106" s="1"/>
  <c r="B6274" i="106"/>
  <c r="D6274" i="106" s="1"/>
  <c r="J83" i="4"/>
  <c r="B6283" i="106" s="1"/>
  <c r="D6283" i="106" s="1"/>
  <c r="K41" i="3"/>
  <c r="D65" i="36"/>
  <c r="B3567" i="106"/>
  <c r="D3567" i="106" s="1"/>
  <c r="G83" i="4"/>
  <c r="B6280" i="106" s="1"/>
  <c r="D6280" i="106" s="1"/>
  <c r="B6271" i="106"/>
  <c r="D6271" i="106" s="1"/>
  <c r="B6275" i="106"/>
  <c r="D6275" i="106" s="1"/>
  <c r="K83" i="4"/>
  <c r="B6284" i="106" s="1"/>
  <c r="D6284" i="106" s="1"/>
  <c r="F11" i="146"/>
  <c r="B92" i="106"/>
  <c r="D92" i="106" s="1"/>
  <c r="C41" i="3"/>
  <c r="D57" i="36"/>
  <c r="D76" i="36"/>
  <c r="D50" i="36"/>
  <c r="B2913" i="106"/>
  <c r="D2913" i="106" s="1"/>
  <c r="B284" i="106"/>
  <c r="D284" i="106" s="1"/>
  <c r="D55" i="36"/>
  <c r="A7269" i="106"/>
  <c r="D7268" i="106"/>
  <c r="E83" i="4" l="1"/>
  <c r="B6278" i="106" s="1"/>
  <c r="D6278" i="106" s="1"/>
  <c r="B6269" i="106"/>
  <c r="D6269" i="106" s="1"/>
  <c r="B93" i="106"/>
  <c r="D93" i="106" s="1"/>
  <c r="D44" i="36"/>
  <c r="B171" i="106"/>
  <c r="D171" i="106" s="1"/>
  <c r="D47" i="36"/>
  <c r="B3568" i="106"/>
  <c r="D3568" i="106" s="1"/>
  <c r="D52" i="36"/>
  <c r="B190" i="106"/>
  <c r="D190" i="106" s="1"/>
  <c r="D48" i="36"/>
  <c r="D51" i="36"/>
  <c r="B6216" i="106"/>
  <c r="D6216" i="106" s="1"/>
  <c r="C12" i="146"/>
  <c r="D29" i="36"/>
  <c r="J24" i="24" s="1"/>
  <c r="B124" i="106"/>
  <c r="D124" i="106" s="1"/>
  <c r="D45" i="36"/>
  <c r="A7270" i="106"/>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<sst xmlns="http://schemas.openxmlformats.org/spreadsheetml/2006/main" count="5056" uniqueCount="2115">
  <si>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</si>
  <si>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</si>
  <si>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</si>
  <si>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</si>
  <si>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</si>
  <si>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</si>
  <si>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</si>
  <si>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</si>
  <si>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</si>
  <si>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</si>
  <si>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</si>
  <si>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</si>
  <si>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</si>
  <si>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</si>
  <si>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</si>
  <si>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</si>
  <si>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</si>
  <si>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</si>
  <si>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</si>
  <si>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</si>
  <si>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</si>
  <si>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</si>
  <si>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</si>
  <si>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</si>
  <si>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</si>
  <si>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</si>
  <si>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</si>
  <si>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</si>
  <si>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</si>
  <si>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</si>
  <si>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</si>
  <si>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</si>
  <si>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</si>
  <si>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</si>
  <si>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</si>
  <si>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</si>
  <si>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</si>
  <si>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</si>
  <si>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</si>
  <si>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</si>
  <si>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</si>
  <si>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</si>
  <si>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</si>
  <si>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</si>
  <si>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</si>
  <si>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</si>
  <si>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</si>
  <si>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</si>
  <si>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</si>
  <si>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</si>
  <si>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</si>
  <si>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</si>
  <si>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</si>
  <si>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</si>
  <si>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</si>
  <si>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</si>
  <si>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</si>
  <si>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</si>
  <si>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</si>
  <si>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</si>
  <si>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</si>
  <si>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</si>
  <si>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</si>
  <si>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</si>
  <si>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</si>
  <si>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</si>
  <si>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</si>
  <si>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</si>
  <si>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</si>
  <si>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</si>
  <si>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</si>
  <si>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</si>
  <si>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</si>
  <si>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</si>
  <si>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</si>
  <si>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</si>
  <si>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</si>
  <si>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</si>
  <si>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</si>
  <si>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</si>
  <si>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</si>
  <si>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</si>
  <si>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</si>
  <si>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</si>
  <si>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</si>
  <si>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</si>
  <si>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</si>
  <si>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</si>
  <si>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</si>
  <si>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</si>
  <si>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</si>
  <si>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</si>
  <si>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</si>
  <si>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</si>
  <si>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</si>
  <si>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</si>
  <si>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</si>
  <si>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</si>
  <si>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</si>
  <si>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</si>
  <si>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</si>
  <si>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</si>
  <si>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</si>
  <si>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</si>
  <si>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</si>
  <si>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</si>
  <si>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</si>
  <si>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</si>
  <si>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</si>
  <si>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</si>
  <si>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</si>
  <si>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</si>
  <si>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</si>
  <si>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</si>
  <si>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</si>
  <si>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</si>
  <si>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</si>
  <si>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</si>
  <si>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</si>
  <si>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</si>
  <si>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</si>
  <si>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</si>
  <si>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</si>
  <si>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</si>
  <si>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</si>
  <si>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</si>
  <si>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</si>
  <si>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</si>
  <si>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</si>
  <si>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</si>
  <si>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</si>
  <si>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</si>
  <si>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</si>
  <si>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</si>
  <si>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</si>
  <si>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</si>
  <si>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</si>
  <si>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</si>
  <si>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</si>
  <si>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</si>
  <si>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</si>
  <si>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</si>
  <si>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</si>
  <si>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</si>
  <si>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</si>
  <si>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</si>
  <si>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</si>
  <si>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</si>
  <si>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</si>
  <si>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</si>
  <si>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</si>
  <si>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</si>
  <si>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</si>
  <si>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</si>
  <si>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</si>
  <si>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</si>
  <si>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</si>
  <si>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</si>
  <si>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</si>
  <si>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</si>
  <si>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</si>
  <si>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</si>
  <si>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</si>
  <si>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</si>
  <si>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</si>
  <si>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</si>
  <si>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</si>
  <si>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</si>
  <si>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</si>
  <si>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</si>
  <si>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</si>
  <si>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</si>
  <si>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</si>
  <si>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</si>
  <si>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</si>
  <si>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</si>
  <si>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</si>
  <si>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</si>
  <si>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</si>
  <si>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</si>
  <si>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</si>
  <si>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</si>
  <si>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</si>
  <si>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</si>
  <si>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</si>
  <si>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</si>
  <si>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</si>
  <si>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</si>
  <si>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</si>
  <si>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</si>
  <si>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</si>
  <si>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</si>
  <si>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</si>
  <si>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</si>
  <si>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</si>
  <si>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</si>
  <si>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</si>
  <si>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</si>
  <si>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</si>
  <si>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</si>
  <si>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</si>
  <si>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</si>
  <si>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</si>
  <si>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</si>
  <si>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</si>
  <si>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</si>
  <si>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</si>
  <si>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</si>
  <si>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</si>
  <si>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</si>
  <si>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</si>
  <si>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</si>
  <si>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</si>
  <si>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</si>
  <si>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</si>
  <si>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</si>
  <si>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</si>
  <si>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</si>
  <si>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</si>
  <si>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</si>
  <si>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</si>
  <si>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</si>
  <si>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</si>
  <si>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</si>
  <si>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</si>
  <si>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</si>
  <si>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</si>
  <si>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</si>
  <si>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</si>
  <si>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</si>
  <si>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</si>
  <si>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</si>
  <si>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</si>
  <si>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</si>
  <si>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</si>
  <si>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</si>
  <si>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</si>
  <si>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</si>
  <si>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</si>
  <si>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</si>
  <si>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</si>
  <si>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</si>
  <si>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</si>
  <si>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</si>
  <si>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</si>
  <si>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</si>
  <si>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</si>
  <si>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</si>
  <si>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</si>
  <si>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</si>
  <si>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</si>
  <si>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</si>
  <si>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</si>
  <si>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</si>
  <si>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</si>
  <si>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</si>
  <si>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</si>
  <si>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</si>
  <si>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</si>
  <si>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</si>
  <si>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</si>
  <si>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</si>
  <si>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</si>
  <si>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</si>
  <si>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</si>
  <si>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</si>
  <si>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</si>
  <si>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</si>
  <si>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</si>
  <si>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</si>
  <si>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</si>
  <si>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</si>
  <si>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</si>
  <si>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</si>
  <si>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</si>
  <si>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</si>
  <si>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</si>
  <si>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</si>
  <si>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</si>
  <si>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</si>
  <si>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</si>
  <si>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</si>
  <si>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</si>
  <si>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</si>
  <si>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</si>
  <si>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</si>
  <si>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</si>
  <si>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</si>
  <si>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</si>
  <si>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</si>
  <si>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</si>
  <si>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</si>
  <si>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</si>
  <si>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</si>
  <si>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</si>
  <si>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</si>
  <si>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</si>
  <si>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</si>
  <si>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</si>
  <si>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</si>
  <si>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</si>
  <si>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</si>
  <si>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</si>
  <si>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</si>
  <si>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</si>
  <si>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</si>
  <si>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</si>
  <si>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</si>
  <si>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</si>
  <si>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</si>
  <si>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</si>
  <si>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</si>
  <si>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</si>
  <si>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</si>
  <si>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</si>
  <si>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</si>
  <si>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</si>
  <si>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</si>
  <si>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</si>
  <si>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</si>
  <si>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</si>
  <si>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</si>
  <si>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</si>
  <si>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</si>
  <si>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</si>
  <si>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</si>
  <si>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</si>
  <si>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</si>
  <si>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</si>
  <si>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</si>
  <si>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</si>
  <si>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</si>
  <si>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</si>
  <si>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</si>
  <si>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</si>
  <si>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</si>
  <si>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</si>
  <si>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</si>
  <si>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</si>
  <si>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</si>
  <si>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</si>
  <si>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</si>
  <si>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</si>
  <si>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</si>
  <si>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</si>
  <si>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</si>
  <si>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</si>
  <si>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</si>
  <si>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</si>
  <si>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</si>
  <si>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</si>
  <si>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</si>
  <si>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</si>
  <si>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</si>
  <si>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</si>
  <si>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</si>
  <si>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</si>
  <si>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</si>
  <si>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</si>
  <si>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</si>
  <si>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</si>
  <si>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</si>
  <si>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</si>
  <si>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</si>
  <si>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</si>
  <si>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</si>
  <si>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</si>
  <si>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</si>
  <si>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</si>
  <si>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</si>
  <si>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</si>
  <si>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</si>
  <si>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</si>
  <si>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</si>
  <si>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</si>
  <si>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</si>
  <si>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</si>
  <si>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</si>
  <si>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</si>
  <si>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</si>
  <si>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</si>
  <si>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</si>
  <si>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</si>
  <si>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</si>
  <si>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</si>
  <si>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</si>
  <si>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</si>
  <si>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</si>
  <si>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</si>
  <si>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</si>
  <si>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</si>
  <si>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</si>
  <si>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</si>
  <si>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</si>
  <si>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</si>
  <si>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</si>
  <si>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</si>
  <si>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</si>
  <si>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</si>
  <si>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</si>
  <si>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</si>
  <si>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</si>
  <si>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</si>
  <si>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</si>
  <si>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</si>
  <si>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</si>
  <si>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</si>
  <si>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</si>
  <si>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</si>
  <si>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</si>
  <si>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</si>
  <si>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</si>
  <si>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</si>
  <si>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</si>
  <si>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</si>
  <si>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</si>
  <si>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</si>
  <si>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</si>
  <si>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</si>
  <si>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</si>
  <si>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</si>
  <si>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</si>
  <si>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</si>
  <si>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</si>
  <si>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</si>
  <si>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</si>
  <si>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</si>
  <si>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</si>
  <si>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</si>
  <si>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</si>
  <si>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</si>
  <si>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</si>
  <si>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</si>
  <si>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</si>
  <si>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</si>
  <si>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</si>
  <si>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</si>
  <si>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</si>
  <si>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</si>
  <si>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</si>
  <si>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</si>
  <si>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</si>
  <si>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</si>
  <si>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</si>
  <si>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</si>
  <si>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</si>
  <si>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</si>
  <si>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</si>
  <si>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</si>
  <si>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</si>
  <si>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</si>
  <si>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</si>
  <si>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</si>
  <si>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</si>
  <si>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</si>
  <si>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</si>
  <si>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</si>
  <si>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</si>
  <si>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</si>
  <si>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</si>
  <si>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</si>
  <si>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</si>
  <si>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</si>
  <si>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</si>
  <si>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</si>
  <si>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</si>
  <si>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</si>
  <si>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</si>
  <si>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</si>
  <si>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</si>
  <si>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</si>
  <si>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</si>
  <si>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</si>
  <si>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</si>
  <si>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</si>
  <si>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</si>
  <si>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</si>
  <si>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</si>
  <si>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</si>
  <si>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</si>
  <si>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</si>
  <si>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</si>
  <si>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</si>
  <si>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</si>
  <si>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</si>
  <si>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</si>
  <si>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</si>
  <si>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</si>
  <si>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</si>
  <si>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</si>
  <si>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</si>
  <si>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</si>
  <si>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</si>
  <si>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</si>
  <si>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</si>
  <si>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</si>
  <si>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</si>
  <si>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</si>
  <si>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</si>
  <si>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</si>
  <si>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</si>
  <si>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</si>
  <si>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</si>
  <si>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</si>
  <si>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</si>
  <si>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</si>
  <si>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</si>
  <si>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</si>
  <si>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</si>
  <si>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</si>
  <si>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</si>
  <si>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</si>
  <si>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</si>
  <si>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</si>
  <si>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</si>
  <si>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</si>
  <si>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</si>
  <si>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</si>
  <si>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</si>
  <si>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</si>
  <si>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</si>
  <si>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</si>
  <si>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</si>
  <si>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</si>
  <si>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</si>
  <si>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</si>
  <si>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</si>
  <si>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</si>
  <si>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</si>
  <si>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</si>
  <si>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</si>
  <si>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</si>
  <si>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</si>
  <si>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</si>
  <si>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</si>
  <si>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</si>
  <si>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</si>
  <si>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</si>
  <si>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</si>
  <si>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</si>
  <si>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</si>
  <si>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</si>
  <si>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</si>
  <si>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</si>
  <si>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</si>
  <si>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</si>
  <si>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</si>
  <si>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</si>
  <si>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</si>
  <si>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</si>
  <si>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</si>
  <si>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</si>
  <si>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</si>
  <si>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</si>
  <si>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</si>
  <si>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</si>
  <si>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</si>
  <si>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</si>
  <si>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</si>
  <si>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</si>
  <si>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</si>
  <si>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</si>
  <si>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</si>
  <si>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</si>
  <si>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</si>
  <si>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</si>
  <si>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</si>
  <si>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</si>
  <si>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</si>
  <si>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</si>
  <si>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</si>
  <si>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</si>
  <si>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</si>
  <si>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</si>
  <si>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</si>
  <si>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</si>
  <si>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</si>
  <si>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</si>
  <si>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</si>
  <si>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</si>
  <si>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</si>
  <si>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</si>
  <si>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</si>
  <si>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</si>
  <si>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</si>
  <si>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</si>
  <si>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</si>
  <si>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</si>
  <si>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</si>
  <si>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</si>
  <si>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</si>
  <si>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</si>
  <si>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</si>
  <si>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</si>
  <si>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</si>
  <si>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</si>
  <si>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</si>
  <si>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</si>
  <si>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</si>
  <si>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</si>
  <si>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</si>
  <si>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</si>
  <si>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</si>
  <si>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</si>
  <si>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</si>
  <si>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</si>
  <si>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</si>
  <si>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</si>
  <si>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</si>
  <si>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</si>
  <si>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</si>
  <si>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</si>
  <si>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</si>
  <si>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</si>
  <si>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</si>
  <si>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</si>
  <si>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</si>
  <si>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</si>
  <si>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</si>
  <si>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</si>
  <si>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</si>
  <si>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</si>
  <si>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</si>
  <si>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</si>
  <si>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</si>
  <si>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</si>
  <si>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</si>
  <si>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</si>
  <si>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</si>
  <si>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</si>
  <si>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</si>
  <si>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</si>
  <si>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</si>
  <si>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</si>
  <si>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</si>
  <si>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</si>
  <si>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</si>
  <si>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</si>
  <si>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</si>
  <si>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</si>
  <si>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</si>
  <si>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</si>
  <si>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</si>
  <si>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</si>
  <si>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</si>
  <si>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</si>
  <si>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</si>
  <si>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</si>
  <si>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</si>
  <si>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</si>
  <si>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</si>
  <si>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</si>
  <si>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</si>
  <si>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</si>
  <si>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</si>
  <si>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</si>
  <si>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</si>
  <si>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</si>
  <si>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</si>
  <si>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</si>
  <si>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</si>
  <si>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</si>
  <si>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</si>
  <si>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</si>
  <si>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</si>
  <si>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</si>
  <si>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</si>
  <si>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</si>
  <si>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</si>
  <si>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</si>
  <si>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</si>
  <si>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</si>
  <si>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</si>
  <si>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</si>
  <si>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</si>
  <si>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</si>
  <si>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</si>
  <si>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</si>
  <si>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</si>
  <si>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</si>
  <si>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</si>
  <si>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</si>
  <si>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</si>
  <si>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</si>
  <si>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</si>
  <si>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</si>
  <si>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</si>
  <si>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</si>
  <si>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</si>
  <si>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</si>
  <si>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</si>
  <si>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</si>
  <si>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</si>
  <si>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</si>
  <si>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</si>
  <si>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</si>
  <si>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</si>
  <si>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</si>
  <si>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</si>
  <si>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</si>
  <si>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</si>
  <si>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</si>
  <si>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</si>
  <si>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</si>
  <si>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</si>
  <si>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</si>
  <si>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</si>
  <si>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</si>
  <si>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</si>
  <si>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</si>
  <si>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</si>
  <si>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</si>
  <si>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</si>
  <si>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</si>
  <si>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</si>
  <si>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</si>
  <si>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</si>
  <si>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</si>
  <si>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</si>
  <si>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</si>
  <si>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</si>
  <si>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</si>
  <si>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</si>
  <si>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</si>
  <si>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</si>
  <si>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</si>
  <si>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</si>
  <si>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</si>
  <si>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</si>
  <si>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</si>
  <si>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</si>
  <si>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</si>
  <si>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</si>
  <si>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</si>
  <si>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</si>
  <si>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</si>
  <si>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</si>
  <si>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</si>
  <si>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</si>
  <si>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</si>
  <si>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</si>
  <si>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</si>
  <si>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</si>
  <si>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</si>
  <si>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</si>
  <si>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</si>
  <si>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</si>
  <si>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</si>
  <si>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</si>
  <si>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</si>
  <si>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</si>
  <si>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</si>
  <si>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</si>
  <si>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</si>
  <si>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</si>
  <si>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</si>
  <si>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</si>
  <si>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</si>
  <si>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</si>
  <si>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</si>
  <si>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</si>
  <si>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</si>
  <si>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</si>
  <si>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</si>
  <si>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</si>
  <si>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</si>
  <si>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</si>
  <si>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</si>
  <si>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</si>
  <si>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</si>
  <si>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</si>
  <si>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</si>
  <si>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</si>
  <si>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</si>
  <si>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</si>
  <si>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</si>
  <si>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</si>
  <si>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</si>
  <si>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</si>
  <si>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</si>
  <si>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</si>
  <si>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</si>
  <si>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</si>
  <si>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</si>
  <si>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</si>
  <si>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</si>
  <si>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</si>
  <si>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</si>
  <si>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</si>
  <si>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</si>
  <si>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</si>
  <si>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</si>
  <si>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</si>
  <si>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</si>
  <si>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</si>
  <si>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</si>
  <si>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</si>
  <si>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</si>
  <si>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</si>
  <si>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</si>
  <si>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</si>
  <si>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</si>
  <si>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</si>
  <si>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</si>
  <si>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</si>
  <si>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</si>
  <si>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</si>
  <si>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</si>
  <si>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</si>
  <si>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</si>
  <si>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</si>
  <si>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</si>
  <si>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</si>
  <si>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</si>
  <si>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</si>
  <si>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</si>
  <si>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</si>
  <si>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</si>
  <si>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</si>
  <si>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</si>
  <si>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</si>
  <si>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</si>
  <si>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</si>
  <si>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</si>
  <si>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</si>
  <si>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</si>
  <si>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</si>
  <si>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</si>
  <si>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</si>
  <si>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</si>
  <si>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</si>
  <si>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</si>
  <si>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</si>
  <si>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</si>
  <si>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</si>
  <si>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</si>
  <si>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</si>
  <si>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</si>
  <si>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</si>
  <si>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</si>
  <si>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</si>
  <si>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</si>
  <si>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</si>
  <si>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</si>
  <si>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</si>
  <si>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</si>
  <si>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</si>
  <si>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</si>
  <si>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</si>
  <si>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</si>
  <si>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</si>
  <si>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</si>
  <si>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</si>
  <si>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</si>
  <si>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</si>
  <si>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</si>
  <si>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</si>
  <si>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</si>
  <si>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</si>
  <si>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</si>
  <si>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</si>
  <si>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</si>
  <si>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</si>
  <si>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</si>
  <si>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</si>
  <si>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</si>
  <si>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</si>
  <si>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</si>
  <si>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</si>
  <si>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</si>
  <si>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</si>
  <si>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</si>
  <si>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</si>
  <si>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</si>
  <si>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</si>
  <si>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</si>
  <si>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</si>
  <si>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</si>
  <si>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</si>
  <si>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</si>
  <si>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</si>
  <si>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</si>
  <si>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</si>
  <si>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</si>
  <si>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</si>
  <si>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</si>
  <si>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</si>
  <si>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</si>
  <si>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</si>
  <si>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</si>
  <si>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</si>
  <si>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</si>
  <si>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</si>
  <si>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</si>
  <si>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</si>
  <si>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</si>
  <si>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</si>
  <si>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</si>
  <si>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</si>
  <si>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</si>
  <si>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</si>
  <si>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</si>
  <si>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</si>
  <si>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</si>
  <si>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</si>
  <si>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</si>
  <si>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</si>
  <si>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</si>
  <si>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</si>
  <si>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</si>
  <si>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</si>
  <si>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</si>
  <si>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</si>
  <si>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</si>
  <si>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</si>
  <si>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</si>
  <si>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</si>
  <si>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</si>
  <si>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</si>
  <si>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</si>
  <si>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</si>
  <si>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</si>
  <si>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</si>
  <si>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</si>
  <si>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</si>
  <si>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</si>
  <si>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</si>
  <si>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</si>
  <si>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</si>
  <si>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</si>
  <si>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</si>
  <si>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</si>
  <si>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</si>
  <si>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</si>
  <si>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</si>
  <si>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</si>
  <si>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</si>
  <si>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</si>
  <si>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</si>
  <si>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</si>
  <si>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</si>
  <si>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</si>
  <si>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</si>
  <si>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</si>
  <si>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</si>
  <si>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</si>
  <si>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</si>
  <si>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</si>
  <si>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</si>
  <si>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</si>
  <si>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</si>
  <si>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</si>
  <si>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</si>
  <si>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</si>
  <si>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</si>
  <si>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</si>
  <si>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</si>
  <si>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</si>
  <si>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</si>
  <si>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</si>
  <si>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</si>
  <si>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</si>
  <si>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</si>
  <si>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</si>
  <si>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</si>
  <si>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</si>
  <si>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</si>
  <si>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</si>
  <si>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</si>
  <si>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</si>
  <si>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</si>
  <si>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</si>
  <si>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</si>
  <si>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</si>
  <si>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</si>
  <si>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</si>
  <si>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</si>
  <si>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</si>
  <si>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</si>
  <si>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</si>
  <si>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</si>
  <si>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</si>
  <si>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</si>
  <si>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</si>
  <si>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</si>
  <si>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</si>
  <si>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</si>
  <si>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</si>
  <si>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</si>
  <si>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</si>
  <si>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</si>
  <si>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</si>
  <si>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</si>
  <si>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</si>
  <si>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</si>
  <si>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</si>
  <si>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</si>
  <si>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</si>
  <si>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</si>
  <si>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</si>
  <si>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</si>
  <si>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</si>
  <si>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</si>
  <si>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</si>
  <si>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</si>
  <si>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</si>
  <si>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</si>
  <si>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</si>
  <si>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</si>
  <si>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</si>
  <si>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</si>
  <si>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</si>
  <si>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</si>
  <si>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</si>
  <si>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</si>
  <si>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</si>
  <si>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</si>
  <si>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</si>
  <si>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</si>
  <si>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</si>
  <si>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</si>
  <si>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</si>
  <si>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</si>
  <si>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</si>
  <si>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</si>
  <si>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</si>
  <si>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</si>
  <si>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</si>
  <si>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</si>
  <si>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</si>
  <si>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</si>
  <si>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</si>
  <si>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</si>
  <si>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</si>
  <si>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</si>
  <si>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</si>
  <si>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</si>
  <si>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</si>
  <si>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</si>
  <si>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</si>
  <si>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</si>
  <si>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</si>
  <si>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</si>
  <si>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</si>
  <si>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</si>
  <si>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</si>
  <si>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</si>
  <si>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</si>
  <si>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</si>
  <si>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</si>
  <si>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</si>
  <si>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</si>
  <si>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</si>
  <si>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</si>
  <si>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</si>
  <si>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</si>
  <si>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</si>
  <si>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</si>
  <si>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</si>
  <si>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</si>
  <si>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</si>
  <si>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</si>
  <si>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</si>
  <si>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</si>
  <si>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</si>
  <si>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</si>
  <si>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</si>
  <si>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</si>
  <si>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</si>
  <si>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</si>
  <si>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</si>
  <si>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</si>
  <si>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</si>
  <si>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</si>
  <si>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</si>
  <si>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</si>
  <si>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</si>
  <si>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</si>
  <si>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</si>
  <si>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</si>
  <si>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</si>
  <si>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</si>
  <si>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</si>
  <si>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</si>
  <si>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</si>
  <si>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</si>
  <si>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</si>
  <si>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</si>
  <si>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</si>
  <si>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</si>
  <si>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</si>
  <si>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</si>
  <si>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</si>
  <si>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</si>
  <si>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</si>
  <si>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</si>
  <si>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</si>
  <si>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</si>
  <si>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</si>
  <si>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</si>
  <si>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</si>
  <si>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</si>
  <si>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</si>
  <si>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</si>
  <si>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</si>
  <si>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</si>
  <si>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</si>
  <si>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</si>
  <si>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</si>
  <si>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</si>
  <si>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</si>
  <si>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</si>
  <si>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</si>
  <si>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</si>
  <si>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</si>
  <si>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</si>
  <si>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</si>
  <si>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</si>
  <si>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</si>
  <si>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</si>
  <si>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</si>
  <si>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</si>
  <si>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</si>
  <si>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</si>
  <si>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</si>
  <si>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</si>
  <si>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</si>
  <si>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</si>
  <si>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</si>
  <si>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</si>
  <si>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</si>
  <si>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</si>
  <si>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</si>
  <si>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</si>
  <si>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</si>
  <si>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</si>
  <si>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</si>
  <si>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</si>
  <si>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</si>
  <si>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</si>
  <si>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</si>
  <si>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</si>
  <si>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</si>
  <si>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</si>
  <si>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</si>
  <si>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</si>
  <si>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</si>
  <si>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</si>
  <si>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</si>
  <si>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</si>
  <si>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</si>
  <si>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</si>
  <si>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</si>
  <si>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</si>
  <si>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</si>
  <si>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</si>
  <si>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</si>
  <si>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</si>
  <si>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</si>
  <si>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</si>
  <si>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</si>
  <si>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</si>
  <si>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</si>
  <si>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</si>
  <si>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</si>
  <si>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</si>
  <si>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</si>
  <si>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</si>
  <si>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</si>
  <si>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</si>
  <si>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</si>
  <si>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</si>
  <si>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</si>
  <si>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</si>
  <si>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</si>
  <si>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</si>
  <si>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</si>
  <si>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</si>
  <si>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</si>
  <si>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</si>
  <si>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</si>
  <si>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</si>
  <si>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</si>
  <si>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</si>
  <si>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</si>
  <si>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</si>
  <si>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</si>
  <si>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</si>
  <si>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</si>
  <si>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</si>
  <si>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</si>
  <si>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</si>
  <si>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</si>
  <si>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</si>
  <si>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</si>
  <si>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</si>
  <si>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</si>
  <si>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</si>
  <si>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</si>
  <si>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</si>
  <si>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</si>
  <si>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</si>
  <si>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</si>
  <si>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</si>
  <si>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</si>
  <si>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</si>
  <si>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</si>
  <si>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</si>
  <si>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</si>
  <si>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</si>
  <si>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</si>
  <si>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</si>
  <si>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</si>
  <si>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</si>
  <si>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</si>
  <si>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</si>
  <si>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</si>
  <si>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</si>
  <si>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</si>
  <si>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</si>
  <si>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</si>
  <si>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</si>
  <si>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</si>
  <si>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</si>
  <si>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</si>
  <si>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</si>
  <si>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</si>
  <si>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</si>
  <si>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</si>
  <si>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</si>
  <si>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</si>
  <si>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</si>
  <si>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</si>
  <si>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</si>
  <si>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</si>
  <si>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</si>
  <si>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</si>
  <si>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</si>
  <si>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</si>
  <si>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</si>
  <si>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</si>
  <si>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</si>
  <si>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</si>
  <si>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</si>
  <si>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</si>
  <si>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</si>
  <si>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</si>
  <si>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</si>
  <si>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</si>
  <si>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</si>
  <si>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</si>
  <si>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</si>
  <si>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</si>
  <si>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</si>
  <si>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</si>
  <si>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</si>
  <si>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</si>
  <si>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</si>
  <si>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</si>
  <si>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</si>
  <si>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</si>
  <si>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</si>
  <si>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</si>
  <si>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</si>
  <si>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</si>
  <si>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</si>
  <si>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</si>
  <si>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</si>
  <si>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</si>
  <si>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</si>
  <si>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</si>
  <si>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</si>
  <si>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</si>
  <si>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</si>
  <si>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</si>
  <si>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</si>
  <si>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</si>
  <si>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</si>
  <si>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</si>
  <si>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</si>
  <si>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</si>
  <si>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</si>
  <si>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</si>
  <si>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</si>
  <si>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</si>
  <si>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</si>
  <si>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</si>
  <si>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</si>
  <si>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</si>
  <si>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</si>
  <si>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</si>
  <si>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</si>
  <si>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</si>
  <si>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</si>
  <si>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</si>
  <si>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</si>
  <si>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</si>
  <si>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</si>
  <si>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</si>
  <si>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</si>
  <si>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</si>
  <si>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</si>
  <si>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</si>
  <si>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</si>
  <si>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</si>
  <si>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</si>
  <si>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</si>
  <si>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</si>
  <si>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</si>
  <si>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</si>
  <si>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</si>
  <si>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</si>
  <si>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</si>
  <si>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</si>
  <si>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</si>
  <si>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</si>
  <si>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</si>
  <si>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</si>
  <si>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</si>
  <si>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</si>
  <si>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</si>
  <si>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</si>
  <si>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</si>
  <si>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</si>
  <si>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</si>
  <si>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</si>
  <si>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</si>
  <si>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</si>
  <si>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</si>
  <si>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</si>
  <si>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</si>
  <si>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</si>
  <si>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</si>
  <si>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</si>
  <si>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</si>
  <si>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</si>
  <si>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</si>
  <si>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</si>
  <si>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</si>
  <si>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</si>
  <si>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</si>
  <si>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</si>
  <si>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</si>
  <si>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</si>
  <si>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</si>
  <si>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</si>
  <si>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</si>
  <si>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</si>
  <si>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</si>
  <si>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</si>
  <si>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</si>
  <si>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</si>
  <si>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</si>
  <si>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</si>
  <si>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</si>
  <si>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</si>
  <si>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</si>
  <si>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</si>
  <si>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</si>
  <si>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</si>
  <si>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</si>
  <si>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</si>
  <si>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</si>
  <si>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</si>
  <si>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</si>
  <si>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</si>
  <si>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</si>
  <si>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</si>
  <si>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</si>
  <si>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</si>
  <si>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</si>
  <si>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</si>
  <si>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</si>
  <si>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</si>
  <si>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</si>
  <si>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</si>
  <si>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</si>
  <si>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</si>
  <si>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</si>
  <si>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</si>
  <si>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</si>
  <si>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</si>
  <si>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</si>
  <si>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</si>
  <si>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</si>
  <si>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</si>
  <si>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</si>
  <si>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</si>
  <si>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</si>
  <si>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</si>
  <si>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</si>
  <si>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</si>
  <si>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</si>
  <si>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</si>
  <si>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</si>
  <si>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</si>
  <si>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</si>
  <si>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</si>
  <si>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</si>
  <si>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</si>
  <si>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</si>
  <si>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</si>
  <si>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</si>
  <si>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</si>
  <si>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</si>
  <si>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</si>
  <si>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</si>
  <si>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</si>
  <si>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</si>
  <si>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</si>
  <si>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</si>
  <si>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</si>
  <si>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</si>
  <si>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</si>
  <si>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</si>
  <si>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</si>
  <si>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</si>
  <si>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</si>
  <si>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</si>
  <si>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</si>
  <si>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</si>
  <si>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</si>
  <si>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</si>
  <si>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</si>
  <si>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</si>
  <si>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</si>
  <si>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</si>
  <si>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</si>
  <si>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</si>
  <si>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</si>
  <si>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</si>
  <si>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</si>
  <si>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</si>
  <si>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</si>
  <si>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</si>
  <si>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</si>
  <si>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</si>
  <si>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</si>
  <si>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</si>
  <si>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</si>
  <si>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</si>
  <si>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</si>
  <si>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</si>
  <si>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</si>
  <si>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</si>
  <si>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</si>
  <si>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</si>
  <si>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</si>
  <si>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</si>
  <si>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</si>
  <si>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</si>
  <si>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</si>
  <si>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</si>
  <si>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</si>
  <si>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</si>
  <si>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</si>
  <si>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</si>
  <si>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</si>
  <si>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</si>
  <si>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</si>
  <si>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</si>
  <si>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</si>
  <si>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</si>
  <si>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</si>
  <si>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</si>
  <si>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</si>
  <si>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</si>
  <si>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</si>
  <si>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</si>
  <si>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</si>
  <si>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</si>
  <si>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</si>
  <si>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</si>
  <si>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</si>
  <si>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</si>
  <si>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</si>
  <si>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</si>
  <si>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</si>
  <si>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</si>
  <si>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</si>
  <si>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</si>
  <si>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</si>
  <si>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</si>
  <si>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</si>
  <si>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</si>
  <si>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</si>
  <si>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</si>
  <si>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</si>
  <si>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</si>
  <si>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</si>
  <si>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</si>
  <si>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</si>
  <si>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</si>
  <si>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</si>
  <si>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</si>
  <si>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</si>
  <si>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</si>
  <si>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</si>
  <si>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</si>
  <si>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</si>
  <si>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</si>
  <si>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</si>
  <si>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</si>
  <si>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</si>
  <si>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</si>
  <si>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</si>
  <si>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</si>
  <si>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</si>
  <si>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</si>
  <si>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</si>
  <si>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</si>
  <si>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</si>
  <si>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</si>
  <si>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</si>
  <si>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</si>
  <si>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</si>
  <si>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</si>
  <si>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</si>
  <si>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</si>
  <si>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</si>
  <si>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</si>
  <si>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</si>
  <si>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</si>
  <si>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</si>
  <si>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</si>
  <si>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</si>
  <si>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</si>
  <si>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</si>
  <si>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</si>
  <si>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</si>
  <si>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</si>
  <si>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</si>
  <si>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</si>
  <si>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</si>
  <si>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</si>
  <si>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</si>
  <si>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</si>
  <si>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</si>
  <si>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</si>
  <si>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</si>
  <si>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</si>
  <si>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</si>
  <si>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</si>
  <si>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</si>
  <si>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</si>
  <si>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</si>
  <si>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</si>
  <si>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</si>
  <si>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</si>
  <si>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</si>
  <si>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</si>
  <si>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</si>
  <si>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</si>
  <si>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</si>
  <si>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</si>
  <si>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</si>
  <si>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</si>
  <si>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</si>
  <si>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</si>
  <si>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</si>
  <si>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</si>
  <si>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</si>
  <si>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</si>
  <si>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</si>
  <si>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</si>
  <si>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</si>
  <si>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</si>
  <si>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</si>
  <si>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</si>
  <si>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</si>
  <si>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</si>
  <si>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</si>
  <si>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</si>
  <si>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</si>
  <si>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</si>
  <si>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</si>
  <si>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</si>
  <si>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</si>
  <si>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</si>
  <si>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</si>
  <si>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</si>
  <si>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</si>
  <si>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</si>
  <si>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</si>
  <si>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</si>
  <si>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</si>
  <si>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</si>
  <si>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</si>
  <si>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</si>
  <si>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</si>
  <si>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</si>
  <si>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</si>
  <si>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</si>
  <si>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</si>
  <si>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</si>
  <si>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</si>
  <si>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</si>
  <si>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</si>
  <si>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</si>
  <si>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</si>
  <si>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</si>
  <si>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</si>
  <si>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</si>
  <si>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</si>
  <si>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</si>
  <si>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</si>
  <si>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</si>
  <si>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</si>
  <si>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</si>
  <si>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</si>
  <si>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</si>
  <si>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</si>
  <si>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</si>
  <si>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</si>
  <si>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</si>
  <si>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</si>
  <si>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</si>
  <si>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</si>
  <si>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</si>
  <si>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</si>
  <si>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</si>
  <si>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</si>
  <si>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</si>
  <si>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</si>
  <si>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</si>
  <si>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</si>
  <si>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</si>
  <si>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</si>
  <si>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</si>
  <si>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</si>
  <si>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</si>
  <si>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</si>
  <si>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</si>
  <si>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</si>
  <si>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</si>
  <si>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</si>
  <si>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</si>
  <si>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</si>
  <si>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</si>
  <si>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</si>
  <si>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</si>
  <si>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</si>
  <si>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</si>
  <si>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</si>
  <si>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</si>
  <si>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</si>
  <si>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</si>
  <si>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</si>
  <si>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</si>
  <si>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</si>
  <si>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</si>
  <si>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</si>
  <si>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</si>
  <si>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</si>
  <si>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</si>
  <si>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</si>
  <si>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</si>
  <si>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</si>
  <si>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</si>
  <si>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</si>
  <si>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</si>
  <si>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</si>
  <si>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</si>
  <si>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</si>
  <si>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</si>
  <si>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</si>
  <si>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</si>
  <si>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</si>
  <si>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</si>
  <si>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</si>
  <si>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</si>
  <si>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</si>
  <si>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</si>
  <si>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</si>
  <si>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</si>
  <si>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</si>
  <si>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</si>
  <si>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</si>
  <si>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</si>
  <si>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</si>
  <si>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</si>
  <si>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</si>
  <si>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</si>
  <si>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</si>
  <si>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</si>
  <si>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</si>
  <si>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</si>
  <si>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</si>
  <si>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</si>
  <si>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</si>
  <si>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</si>
  <si>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</si>
  <si>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</si>
  <si>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</si>
  <si>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</si>
  <si>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</si>
  <si>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</si>
  <si>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</si>
  <si>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</si>
  <si>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</si>
  <si>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</si>
  <si>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</si>
  <si>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</si>
  <si>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</si>
  <si>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</si>
  <si>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</si>
  <si>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</si>
  <si>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</si>
  <si>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</si>
  <si>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</si>
  <si>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</si>
  <si>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</si>
  <si>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</si>
  <si>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</si>
  <si>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</si>
  <si>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</si>
  <si>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</si>
  <si>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</si>
  <si>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</si>
  <si>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</si>
  <si>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</si>
  <si>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</si>
  <si>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</si>
  <si>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</si>
  <si>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</si>
  <si>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</si>
  <si>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</si>
  <si>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</si>
  <si>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</si>
  <si>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</si>
  <si>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</si>
  <si>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</si>
  <si>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</si>
  <si>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</si>
  <si>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</si>
  <si>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</si>
  <si>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</si>
  <si>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</si>
  <si>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</si>
  <si>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</si>
  <si>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</si>
  <si>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</si>
  <si>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</si>
  <si>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</si>
  <si>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</si>
  <si>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</si>
  <si>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</si>
  <si>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</si>
  <si>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</si>
  <si>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</si>
  <si>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</si>
  <si>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</si>
  <si>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</si>
  <si>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</si>
  <si>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</si>
  <si>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</si>
  <si>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</si>
  <si>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</si>
  <si>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</si>
  <si>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</si>
  <si>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</si>
  <si>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</si>
  <si>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</si>
  <si>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</si>
  <si>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</si>
  <si>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</si>
  <si>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</si>
  <si>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</si>
  <si>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</si>
  <si>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</si>
  <si>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</si>
  <si>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</si>
  <si>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</si>
  <si>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</si>
  <si>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</si>
  <si>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</si>
  <si>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</si>
  <si>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</si>
  <si>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</si>
  <si>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</si>
  <si>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</si>
  <si>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</si>
  <si>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</si>
  <si>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</si>
  <si>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</si>
  <si>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</si>
  <si>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</si>
  <si>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</si>
  <si>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</si>
  <si>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</si>
  <si>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</si>
  <si>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</si>
  <si>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</si>
  <si>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</si>
  <si>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</si>
  <si>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</si>
  <si>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</si>
  <si>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</si>
  <si>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</si>
  <si>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</si>
  <si>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</si>
  <si>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</si>
  <si>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</si>
  <si>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</si>
  <si>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</si>
  <si>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</si>
  <si>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</si>
  <si>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</si>
  <si>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</si>
  <si>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</si>
  <si>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</si>
  <si>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</si>
  <si>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</si>
  <si>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</si>
  <si>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</si>
  <si>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</si>
  <si>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</si>
  <si>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</si>
  <si>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</si>
  <si>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</si>
  <si>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</si>
  <si>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</si>
  <si>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</si>
  <si>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</si>
  <si>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</si>
  <si>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</si>
  <si>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</si>
  <si>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</si>
  <si>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</si>
  <si>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</si>
  <si>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</si>
  <si>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</si>
  <si>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</si>
  <si>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</si>
  <si>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</si>
  <si>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</si>
  <si>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</si>
  <si>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</si>
  <si>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</si>
  <si>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</si>
  <si>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</si>
  <si>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</si>
  <si>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</si>
  <si>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</si>
  <si>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</si>
  <si>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</si>
  <si>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</si>
  <si>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</si>
  <si>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</si>
  <si>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</si>
  <si>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</si>
  <si>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</si>
  <si>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</si>
  <si>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</si>
  <si>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</si>
  <si>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</si>
  <si>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</si>
  <si>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</si>
  <si>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</si>
  <si>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</si>
  <si>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</si>
  <si>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</si>
  <si>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</si>
  <si>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</si>
  <si>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</si>
  <si>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</si>
  <si>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</si>
  <si>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</si>
  <si>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</si>
  <si>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</si>
  <si>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</si>
  <si>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</si>
  <si>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</si>
  <si>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</si>
  <si>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</si>
  <si>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</si>
  <si>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</si>
  <si>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</si>
  <si>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</si>
  <si>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</si>
  <si>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</si>
  <si>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</si>
  <si>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</si>
  <si>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</si>
  <si>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</si>
  <si>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</si>
  <si>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</si>
  <si>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</si>
  <si>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</si>
  <si>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</si>
  <si>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</si>
  <si>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</si>
  <si>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</si>
  <si>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</si>
  <si>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</si>
  <si>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</si>
  <si>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</si>
  <si>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</si>
  <si>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</si>
  <si>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</si>
  <si>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</si>
  <si>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</si>
  <si>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</si>
  <si>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</si>
  <si>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</si>
  <si>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</si>
  <si>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</si>
  <si>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</si>
  <si>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</si>
  <si>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</si>
  <si>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</si>
  <si>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</si>
  <si>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</si>
  <si>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</si>
  <si>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</si>
  <si>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</si>
  <si>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</si>
  <si>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</si>
  <si>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</si>
  <si>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</si>
  <si>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</si>
  <si>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</si>
  <si>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</si>
  <si>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</si>
  <si>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</si>
  <si>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</si>
  <si>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</si>
  <si>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</si>
  <si>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</si>
  <si>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</si>
  <si>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</si>
  <si>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</si>
  <si>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</si>
  <si>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</si>
  <si>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</si>
  <si>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</si>
  <si>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</si>
  <si>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</si>
  <si>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</si>
  <si>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</si>
  <si>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</si>
  <si>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</si>
  <si>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</si>
  <si>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</si>
  <si>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</si>
  <si>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</si>
  <si>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</si>
  <si>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</si>
  <si>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</si>
  <si>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</si>
  <si>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</si>
  <si>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</si>
  <si>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</si>
  <si>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</si>
  <si>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</si>
  <si>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</si>
  <si>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</si>
  <si>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</si>
  <si>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</si>
  <si>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</si>
  <si>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</si>
  <si>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</si>
  <si>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</si>
  <si>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</si>
  <si>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</si>
  <si>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</si>
  <si>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</si>
  <si>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</si>
  <si>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</si>
  <si>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</si>
  <si>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</si>
  <si>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</si>
  <si>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</si>
  <si>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</si>
  <si>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</si>
  <si>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</si>
  <si>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</si>
  <si>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</si>
  <si>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</si>
  <si>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</si>
  <si>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</si>
  <si>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</si>
  <si>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</si>
  <si>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</si>
  <si>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</si>
  <si>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</si>
  <si>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</si>
  <si>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</si>
  <si>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</si>
  <si>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</si>
  <si>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</si>
  <si>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</si>
  <si>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</si>
  <si>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</si>
  <si>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</si>
  <si>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</si>
  <si>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</si>
  <si>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</si>
  <si>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</si>
  <si>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</si>
  <si>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</si>
  <si>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</si>
  <si>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</si>
  <si>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</si>
  <si>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</si>
  <si>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</si>
  <si>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</si>
  <si>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</si>
  <si>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</si>
  <si>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</si>
  <si>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</si>
  <si>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</si>
  <si>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</si>
  <si>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</si>
  <si>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</si>
  <si>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</si>
  <si>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</si>
  <si>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</si>
  <si>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</si>
  <si>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</si>
  <si>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</si>
  <si>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</si>
  <si>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</si>
  <si>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</si>
  <si>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</si>
  <si>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</si>
  <si>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</si>
  <si>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</si>
  <si>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</si>
  <si>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</si>
  <si>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</si>
  <si>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</si>
  <si>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</si>
  <si>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</si>
  <si>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</si>
  <si>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</si>
  <si>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</si>
  <si>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</si>
  <si>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</si>
  <si>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</si>
  <si>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</si>
  <si>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</si>
  <si>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</si>
  <si>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</si>
  <si>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</si>
  <si>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</si>
  <si>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</si>
  <si>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</si>
  <si>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</si>
  <si>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</si>
  <si>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</si>
  <si>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</si>
  <si>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</si>
  <si>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</si>
  <si>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</si>
  <si>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</si>
  <si>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</si>
  <si>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</si>
  <si>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</si>
  <si>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</si>
  <si>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</si>
  <si>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</si>
  <si>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</si>
  <si>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</si>
  <si>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</si>
  <si>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</si>
  <si>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</si>
  <si>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</si>
  <si>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</si>
  <si>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</si>
  <si>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</si>
  <si>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</si>
  <si>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</si>
  <si>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</si>
  <si>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</si>
  <si>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</si>
  <si>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</si>
  <si>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</si>
  <si>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MCHENRY</t>
  </si>
  <si>
    <t>4213 ROUTE 12</t>
  </si>
  <si>
    <t>RICHMOND</t>
  </si>
  <si>
    <t>DLEVENDOSKI@RBCHS.COM</t>
  </si>
  <si>
    <t>X</t>
  </si>
  <si>
    <t>5400 WEST ELM STREET</t>
  </si>
  <si>
    <t>815-344-1300</t>
  </si>
  <si>
    <t>CPAS@EDERCASELLA.COM</t>
  </si>
  <si>
    <t>IL</t>
  </si>
  <si>
    <t>815-344-1320</t>
  </si>
  <si>
    <t>EDER, CASELLA &amp; CO.</t>
  </si>
  <si>
    <t>2010 G.O. Refunding School Bonds</t>
  </si>
  <si>
    <t>2012A G.O. Refunding School Bonds</t>
  </si>
  <si>
    <t>2012B G.O. Refunding School Bonds</t>
  </si>
  <si>
    <t>2014 G.O. Refunding School Bonds</t>
  </si>
  <si>
    <t>Nippersink School District #2</t>
  </si>
  <si>
    <t>NIHIP</t>
  </si>
  <si>
    <t>CLIC, SELF</t>
  </si>
  <si>
    <t>ISDLAF</t>
  </si>
  <si>
    <t>Special Education District of McHenry County</t>
  </si>
  <si>
    <t>Fields</t>
  </si>
  <si>
    <t>*See Below</t>
  </si>
  <si>
    <t>McHenry County Cooperative for Employment Education, Lake County Area Vocational System</t>
  </si>
  <si>
    <t xml:space="preserve">Page 10, Line 81 - Other District/School Activity Revenue </t>
  </si>
  <si>
    <t>Student clubs and sports fees</t>
  </si>
  <si>
    <t>State Library Grant</t>
  </si>
  <si>
    <t>Dissemination Fees</t>
  </si>
  <si>
    <t>Chromebooks, TRS overpayments, Booster Club-Revtrak</t>
  </si>
  <si>
    <t>Page 18, Line 171 - Debt Service Other</t>
  </si>
  <si>
    <t>066-005142</t>
  </si>
  <si>
    <t>Audit Check, There are no contracts to enter that apply.</t>
  </si>
  <si>
    <t>Page 11, Line 120 - Other Unrestricted Grants-in-Aid from State Sources</t>
  </si>
  <si>
    <t>Page 10, Line 107 - Other Local Revenue</t>
  </si>
  <si>
    <t>20. Material Journal Entries made during the audit &amp; Lack of Credit Card documentation</t>
  </si>
  <si>
    <t>KEVIN SMITH</t>
  </si>
  <si>
    <t>Richmond-Burton CHSD 157</t>
  </si>
  <si>
    <t>NONE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</si>
</sst>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0_);\(#,##0\);&quot;– &quot;"/>
    <numFmt numFmtId="182" formatCode="#,##0_);\(#,##0\);&quot;–             &quot;"/>
    <numFmt numFmtId="183" formatCode="#,##0_);\(#,##0\);&quot;–  &quot;"/>
    <numFmt numFmtId="184" formatCode="#,##0_);\(#,##0\);&quot;–   &quot;"/>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 ;\(#,##0\);\-\ \ \ \ \ "/>
    <numFmt numFmtId="192" formatCode="#,##0.00_);\(#,##0.00\);&quot;–       &quot;"/>
    <numFmt numFmtId="193" formatCode="#,###,_);\(#,###,\);&quot;–   &quot;"/>
    <numFmt numFmtId="194" formatCode="#,##0_);\(#,##0\);&quot;—      &quot;"/>
    <numFmt numFmtId="195" formatCode="#,###,_);\(#,###,\);&quot;–  &quot;\ \ \ \ \ "/>
  </numFmts>
  <fonts count="18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
      <sz val="10"/>
      <color theme="1"/>
      <name val="Arial"/>
      <family val="2"/>
    </font>
    <font>
      <sz val="12"/>
      <name val="Arial"/>
      <family val="2"/>
    </font>
    <font>
      <b/>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u/>
      <sz val="8"/>
      <color indexed="12"/>
      <name val="Arial"/>
      <family val="2"/>
    </font>
    <font>
      <sz val="10"/>
      <color indexed="8"/>
      <name val="Arial"/>
      <family val="2"/>
    </font>
    <font>
      <sz val="12"/>
      <name val="Times"/>
      <family val="1"/>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s>
  <fills count="6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80">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s>
  <cellStyleXfs count="2860">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9" fillId="0" borderId="0" applyAlignment="0"/>
    <xf numFmtId="181" fontId="160" fillId="0" borderId="0" applyFont="0" applyFill="0" applyBorder="0" applyAlignment="0" applyProtection="0"/>
    <xf numFmtId="182" fontId="160" fillId="0" borderId="0" applyFont="0" applyFill="0" applyBorder="0" applyAlignment="0" applyProtection="0"/>
    <xf numFmtId="43" fontId="9" fillId="0" borderId="0" applyAlignment="0"/>
    <xf numFmtId="0" fontId="2" fillId="0" borderId="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183" fontId="160" fillId="0" borderId="0" applyFont="0" applyFill="0" applyBorder="0" applyAlignment="0" applyProtection="0"/>
    <xf numFmtId="184" fontId="160" fillId="0" borderId="0" applyFont="0" applyFill="0" applyBorder="0" applyAlignment="0" applyProtection="0"/>
    <xf numFmtId="43" fontId="137" fillId="0" borderId="0" applyAlignment="0"/>
    <xf numFmtId="185" fontId="160" fillId="0" borderId="0" applyFont="0" applyFill="0" applyBorder="0" applyAlignment="0" applyProtection="0">
      <alignment horizontal="right"/>
    </xf>
    <xf numFmtId="186" fontId="160" fillId="0" borderId="0" applyFont="0" applyFill="0" applyBorder="0" applyAlignment="0" applyProtection="0"/>
    <xf numFmtId="187" fontId="160" fillId="0" borderId="0" applyFont="0" applyFill="0" applyBorder="0" applyAlignment="0" applyProtection="0">
      <alignment horizontal="right"/>
    </xf>
    <xf numFmtId="188" fontId="160" fillId="0" borderId="0" applyFont="0" applyFill="0" applyBorder="0" applyAlignment="0" applyProtection="0">
      <alignment horizontal="right"/>
    </xf>
    <xf numFmtId="189" fontId="160" fillId="0" borderId="0" applyFont="0" applyFill="0" applyBorder="0" applyAlignment="0" applyProtection="0">
      <alignment horizontal="right"/>
    </xf>
    <xf numFmtId="190" fontId="160" fillId="0" borderId="0" applyFont="0" applyFill="0" applyBorder="0" applyAlignment="0" applyProtection="0"/>
    <xf numFmtId="0" fontId="141" fillId="28" borderId="0" applyNumberFormat="0" applyBorder="0" applyAlignment="0" applyProtection="0"/>
    <xf numFmtId="0" fontId="141" fillId="28" borderId="0" applyNumberFormat="0" applyBorder="0" applyAlignment="0" applyProtection="0"/>
    <xf numFmtId="0" fontId="153" fillId="29"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41" fillId="31" borderId="0" applyNumberFormat="0" applyBorder="0" applyAlignment="0" applyProtection="0"/>
    <xf numFmtId="0" fontId="141" fillId="32" borderId="0" applyNumberFormat="0" applyBorder="0" applyAlignment="0" applyProtection="0"/>
    <xf numFmtId="0" fontId="153" fillId="33"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41" fillId="31" borderId="0" applyNumberFormat="0" applyBorder="0" applyAlignment="0" applyProtection="0"/>
    <xf numFmtId="0" fontId="141" fillId="35" borderId="0" applyNumberFormat="0" applyBorder="0" applyAlignment="0" applyProtection="0"/>
    <xf numFmtId="0" fontId="153" fillId="32"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41" fillId="28" borderId="0" applyNumberFormat="0" applyBorder="0" applyAlignment="0" applyProtection="0"/>
    <xf numFmtId="0" fontId="141" fillId="32" borderId="0" applyNumberFormat="0" applyBorder="0" applyAlignment="0" applyProtection="0"/>
    <xf numFmtId="0" fontId="153" fillId="32"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41" fillId="36" borderId="0" applyNumberFormat="0" applyBorder="0" applyAlignment="0" applyProtection="0"/>
    <xf numFmtId="0" fontId="141" fillId="28" borderId="0" applyNumberFormat="0" applyBorder="0" applyAlignment="0" applyProtection="0"/>
    <xf numFmtId="0" fontId="153" fillId="29"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41" fillId="31" borderId="0" applyNumberFormat="0" applyBorder="0" applyAlignment="0" applyProtection="0"/>
    <xf numFmtId="0" fontId="141" fillId="38" borderId="0" applyNumberFormat="0" applyBorder="0" applyAlignment="0" applyProtection="0"/>
    <xf numFmtId="0" fontId="153" fillId="38" borderId="0" applyNumberFormat="0" applyBorder="0" applyAlignment="0" applyProtection="0"/>
    <xf numFmtId="0" fontId="153" fillId="39" borderId="0" applyNumberFormat="0" applyBorder="0" applyAlignment="0" applyProtection="0"/>
    <xf numFmtId="0" fontId="153" fillId="39" borderId="0" applyNumberFormat="0" applyBorder="0" applyAlignment="0" applyProtection="0"/>
    <xf numFmtId="0" fontId="153" fillId="39" borderId="0" applyNumberFormat="0" applyBorder="0" applyAlignment="0" applyProtection="0"/>
    <xf numFmtId="0" fontId="153" fillId="39" borderId="0" applyNumberFormat="0" applyBorder="0" applyAlignment="0" applyProtection="0"/>
    <xf numFmtId="0" fontId="153" fillId="39" borderId="0" applyNumberFormat="0" applyBorder="0" applyAlignment="0" applyProtection="0"/>
    <xf numFmtId="0" fontId="153" fillId="39" borderId="0" applyNumberFormat="0" applyBorder="0" applyAlignment="0" applyProtection="0"/>
    <xf numFmtId="0" fontId="155" fillId="40" borderId="0" applyNumberFormat="0" applyBorder="0" applyAlignment="0" applyProtection="0"/>
    <xf numFmtId="0" fontId="155" fillId="40" borderId="0" applyNumberFormat="0" applyBorder="0" applyAlignment="0" applyProtection="0"/>
    <xf numFmtId="0" fontId="155" fillId="40" borderId="0" applyNumberFormat="0" applyBorder="0" applyAlignment="0" applyProtection="0"/>
    <xf numFmtId="0" fontId="155" fillId="40" borderId="0" applyNumberFormat="0" applyBorder="0" applyAlignment="0" applyProtection="0"/>
    <xf numFmtId="0" fontId="155" fillId="40" borderId="0" applyNumberFormat="0" applyBorder="0" applyAlignment="0" applyProtection="0"/>
    <xf numFmtId="0" fontId="155" fillId="40" borderId="0" applyNumberFormat="0" applyBorder="0" applyAlignment="0" applyProtection="0"/>
    <xf numFmtId="0" fontId="160" fillId="0" borderId="166" applyNumberFormat="0" applyFill="0" applyAlignment="0" applyProtection="0"/>
    <xf numFmtId="191" fontId="161" fillId="0" borderId="166" applyNumberFormat="0" applyFill="0" applyAlignment="0" applyProtection="0">
      <alignment horizontal="center"/>
    </xf>
    <xf numFmtId="191" fontId="161" fillId="0" borderId="78" applyFill="0" applyAlignment="0" applyProtection="0">
      <alignment horizontal="center"/>
    </xf>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0" fillId="33" borderId="167" applyNumberFormat="0" applyAlignment="0" applyProtection="0"/>
    <xf numFmtId="0" fontId="150" fillId="33" borderId="167" applyNumberFormat="0" applyAlignment="0" applyProtection="0"/>
    <xf numFmtId="0" fontId="150" fillId="33" borderId="167" applyNumberFormat="0" applyAlignment="0" applyProtection="0"/>
    <xf numFmtId="0" fontId="150" fillId="33" borderId="167" applyNumberFormat="0" applyAlignment="0" applyProtection="0"/>
    <xf numFmtId="0" fontId="150" fillId="33" borderId="167" applyNumberFormat="0" applyAlignment="0" applyProtection="0"/>
    <xf numFmtId="0" fontId="150" fillId="33" borderId="167" applyNumberFormat="0" applyAlignment="0" applyProtection="0"/>
    <xf numFmtId="0" fontId="162" fillId="0" borderId="0" applyProtection="0"/>
    <xf numFmtId="191" fontId="161" fillId="0" borderId="0" applyFill="0" applyBorder="0" applyProtection="0">
      <alignment horizont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37"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137" fillId="0" borderId="0" applyFont="0" applyFill="0" applyBorder="0" applyAlignment="0" applyProtection="0"/>
    <xf numFmtId="43" fontId="9" fillId="0" borderId="0" applyFont="0" applyFill="0" applyBorder="0" applyAlignment="0" applyProtection="0"/>
    <xf numFmtId="43" fontId="141" fillId="0" borderId="0" applyFont="0" applyFill="0" applyBorder="0" applyAlignment="0" applyProtection="0"/>
    <xf numFmtId="3" fontId="137"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37" fillId="0" borderId="0" applyFont="0" applyFill="0" applyBorder="0" applyAlignment="0" applyProtection="0"/>
    <xf numFmtId="44" fontId="9" fillId="0" borderId="0" applyFont="0" applyFill="0" applyBorder="0" applyAlignment="0" applyProtection="0"/>
    <xf numFmtId="5" fontId="137" fillId="0" borderId="0" applyFont="0" applyFill="0" applyBorder="0" applyAlignment="0" applyProtection="0"/>
    <xf numFmtId="0" fontId="139" fillId="0" borderId="0" applyProtection="0"/>
    <xf numFmtId="192" fontId="160" fillId="0" borderId="0" applyFont="0" applyFill="0" applyBorder="0" applyAlignment="0" applyProtection="0"/>
    <xf numFmtId="191" fontId="161" fillId="0" borderId="168" applyNumberFormat="0" applyFill="0" applyAlignment="0" applyProtection="0"/>
    <xf numFmtId="0" fontId="160" fillId="0" borderId="168" applyNumberFormat="0" applyFill="0" applyAlignment="0" applyProtection="0"/>
    <xf numFmtId="0" fontId="152" fillId="42" borderId="0" applyNumberFormat="0" applyBorder="0" applyAlignment="0" applyProtection="0"/>
    <xf numFmtId="0" fontId="152" fillId="43" borderId="0" applyNumberFormat="0" applyBorder="0" applyAlignment="0" applyProtection="0"/>
    <xf numFmtId="0" fontId="152" fillId="44" borderId="0" applyNumberFormat="0" applyBorder="0" applyAlignment="0" applyProtection="0"/>
    <xf numFmtId="0" fontId="163" fillId="0" borderId="0" applyProtection="0"/>
    <xf numFmtId="0" fontId="10" fillId="0" borderId="0" applyProtection="0"/>
    <xf numFmtId="0" fontId="164" fillId="0" borderId="0" applyProtection="0"/>
    <xf numFmtId="0" fontId="165" fillId="0" borderId="0" applyProtection="0"/>
    <xf numFmtId="0" fontId="166" fillId="0" borderId="0" applyProtection="0"/>
    <xf numFmtId="0" fontId="167" fillId="0" borderId="0" applyProtection="0"/>
    <xf numFmtId="0" fontId="168" fillId="0" borderId="0" applyProtection="0"/>
    <xf numFmtId="2" fontId="139" fillId="0" borderId="0" applyProtection="0"/>
    <xf numFmtId="0" fontId="146" fillId="35" borderId="0" applyNumberFormat="0" applyBorder="0" applyAlignment="0" applyProtection="0"/>
    <xf numFmtId="0" fontId="146" fillId="35" borderId="0" applyNumberFormat="0" applyBorder="0" applyAlignment="0" applyProtection="0"/>
    <xf numFmtId="0" fontId="146" fillId="35" borderId="0" applyNumberFormat="0" applyBorder="0" applyAlignment="0" applyProtection="0"/>
    <xf numFmtId="0" fontId="146" fillId="35" borderId="0" applyNumberFormat="0" applyBorder="0" applyAlignment="0" applyProtection="0"/>
    <xf numFmtId="0" fontId="146" fillId="35" borderId="0" applyNumberFormat="0" applyBorder="0" applyAlignment="0" applyProtection="0"/>
    <xf numFmtId="0" fontId="146" fillId="35" borderId="0" applyNumberFormat="0" applyBorder="0" applyAlignment="0" applyProtection="0"/>
    <xf numFmtId="0" fontId="143" fillId="0" borderId="169" applyNumberFormat="0" applyFill="0" applyAlignment="0" applyProtection="0"/>
    <xf numFmtId="0" fontId="143" fillId="0" borderId="169" applyNumberFormat="0" applyFill="0" applyAlignment="0" applyProtection="0"/>
    <xf numFmtId="0" fontId="143" fillId="0" borderId="169" applyNumberFormat="0" applyFill="0" applyAlignment="0" applyProtection="0"/>
    <xf numFmtId="0" fontId="143" fillId="0" borderId="169" applyNumberFormat="0" applyFill="0" applyAlignment="0" applyProtection="0"/>
    <xf numFmtId="0" fontId="143" fillId="0" borderId="169" applyNumberFormat="0" applyFill="0" applyAlignment="0" applyProtection="0"/>
    <xf numFmtId="0" fontId="143" fillId="0" borderId="169" applyNumberFormat="0" applyFill="0" applyAlignment="0" applyProtection="0"/>
    <xf numFmtId="0" fontId="144" fillId="0" borderId="170" applyNumberFormat="0" applyFill="0" applyAlignment="0" applyProtection="0"/>
    <xf numFmtId="0" fontId="144" fillId="0" borderId="170" applyNumberFormat="0" applyFill="0" applyAlignment="0" applyProtection="0"/>
    <xf numFmtId="0" fontId="144" fillId="0" borderId="170" applyNumberFormat="0" applyFill="0" applyAlignment="0" applyProtection="0"/>
    <xf numFmtId="0" fontId="144" fillId="0" borderId="170" applyNumberFormat="0" applyFill="0" applyAlignment="0" applyProtection="0"/>
    <xf numFmtId="0" fontId="144" fillId="0" borderId="170" applyNumberFormat="0" applyFill="0" applyAlignment="0" applyProtection="0"/>
    <xf numFmtId="0" fontId="144" fillId="0" borderId="170" applyNumberFormat="0" applyFill="0" applyAlignment="0" applyProtection="0"/>
    <xf numFmtId="0" fontId="145" fillId="0" borderId="171" applyNumberFormat="0" applyFill="0" applyAlignment="0" applyProtection="0"/>
    <xf numFmtId="0" fontId="145" fillId="0" borderId="171" applyNumberFormat="0" applyFill="0" applyAlignment="0" applyProtection="0"/>
    <xf numFmtId="0" fontId="145" fillId="0" borderId="171" applyNumberFormat="0" applyFill="0" applyAlignment="0" applyProtection="0"/>
    <xf numFmtId="0" fontId="145" fillId="0" borderId="171" applyNumberFormat="0" applyFill="0" applyAlignment="0" applyProtection="0"/>
    <xf numFmtId="0" fontId="145" fillId="0" borderId="171" applyNumberFormat="0" applyFill="0" applyAlignment="0" applyProtection="0"/>
    <xf numFmtId="0" fontId="145" fillId="0" borderId="171" applyNumberFormat="0" applyFill="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69" fillId="0" borderId="0" applyProtection="0"/>
    <xf numFmtId="0" fontId="140" fillId="0" borderId="0" applyProtection="0"/>
    <xf numFmtId="0" fontId="32"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193" fontId="160" fillId="0" borderId="0" applyFont="0" applyFill="0" applyBorder="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57" fillId="0" borderId="172" applyNumberFormat="0" applyFill="0" applyAlignment="0" applyProtection="0"/>
    <xf numFmtId="0" fontId="157" fillId="0" borderId="172" applyNumberFormat="0" applyFill="0" applyAlignment="0" applyProtection="0"/>
    <xf numFmtId="0" fontId="157" fillId="0" borderId="172" applyNumberFormat="0" applyFill="0" applyAlignment="0" applyProtection="0"/>
    <xf numFmtId="0" fontId="157" fillId="0" borderId="172" applyNumberFormat="0" applyFill="0" applyAlignment="0" applyProtection="0"/>
    <xf numFmtId="0" fontId="157" fillId="0" borderId="172" applyNumberFormat="0" applyFill="0" applyAlignment="0" applyProtection="0"/>
    <xf numFmtId="0" fontId="157" fillId="0" borderId="172" applyNumberFormat="0" applyFill="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61" fillId="0" borderId="0" applyNumberFormat="0" applyFill="0" applyAlignment="0" applyProtection="0"/>
    <xf numFmtId="0" fontId="137" fillId="0" borderId="0"/>
    <xf numFmtId="0" fontId="9" fillId="0" borderId="0"/>
    <xf numFmtId="0" fontId="9" fillId="0" borderId="0"/>
    <xf numFmtId="0" fontId="137" fillId="0" borderId="0"/>
    <xf numFmtId="0" fontId="2" fillId="0" borderId="0"/>
    <xf numFmtId="0" fontId="138" fillId="0" borderId="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194" fontId="161" fillId="0" borderId="0" applyFill="0" applyBorder="0" applyProtection="0">
      <alignment horizontal="right"/>
    </xf>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195" fontId="161" fillId="0" borderId="0" applyProtection="0"/>
    <xf numFmtId="0" fontId="142" fillId="0" borderId="0" applyNumberFormat="0" applyFill="0" applyBorder="0" applyAlignment="0" applyProtection="0"/>
    <xf numFmtId="0" fontId="161" fillId="0" borderId="78" applyNumberFormat="0" applyFill="0" applyAlignment="0" applyProtection="0"/>
    <xf numFmtId="8" fontId="170" fillId="0" borderId="0" applyNumberFormat="0" applyFill="0" applyBorder="0" applyAlignment="0" applyProtection="0"/>
    <xf numFmtId="0" fontId="159" fillId="0" borderId="0" applyNumberFormat="0" applyBorder="0" applyAlignment="0"/>
    <xf numFmtId="0" fontId="171" fillId="0" borderId="0" applyNumberFormat="0" applyBorder="0" applyAlignment="0"/>
    <xf numFmtId="0" fontId="160" fillId="0" borderId="174" applyNumberFormat="0" applyFont="0" applyFill="0" applyAlignment="0" applyProtection="0"/>
    <xf numFmtId="0" fontId="160" fillId="0" borderId="175" applyNumberFormat="0" applyFont="0" applyFill="0" applyAlignment="0" applyProtection="0"/>
    <xf numFmtId="0" fontId="160" fillId="0" borderId="142" applyNumberFormat="0" applyFon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137" fillId="0" borderId="0" applyAlignment="0"/>
    <xf numFmtId="43" fontId="9" fillId="0" borderId="0" applyAlignment="0"/>
    <xf numFmtId="43" fontId="137" fillId="0" borderId="0" applyAlignment="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3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3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3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34"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34"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34"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33"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33"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33"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30"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30"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30"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37"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37"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37"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39"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39"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39"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55" fillId="40"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55" fillId="40"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55" fillId="40"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6" fillId="41"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6" fillId="41"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6" fillId="41"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33"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33"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33"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35"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35"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35"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43" fillId="0" borderId="169"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43" fillId="0" borderId="169"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43" fillId="0" borderId="169"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44"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44"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44"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45" fillId="0" borderId="171"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45" fillId="0" borderId="171"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45" fillId="0" borderId="171"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45"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45"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45"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58"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38"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38"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38"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57"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57"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57"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45"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45"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45"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9" fillId="0" borderId="0"/>
    <xf numFmtId="0" fontId="9" fillId="0" borderId="0"/>
    <xf numFmtId="0" fontId="9" fillId="0" borderId="0"/>
    <xf numFmtId="0" fontId="137"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138" fillId="0" borderId="0"/>
    <xf numFmtId="0" fontId="9" fillId="0" borderId="0"/>
    <xf numFmtId="0" fontId="9" fillId="0" borderId="0"/>
    <xf numFmtId="0" fontId="9" fillId="0" borderId="0"/>
    <xf numFmtId="0" fontId="9" fillId="0" borderId="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31"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31"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31"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2" fillId="0" borderId="0"/>
    <xf numFmtId="0" fontId="9" fillId="0" borderId="0"/>
    <xf numFmtId="43" fontId="2" fillId="0" borderId="0" applyFont="0" applyFill="0" applyBorder="0" applyAlignment="0" applyProtection="0"/>
    <xf numFmtId="5" fontId="9" fillId="0" borderId="0" applyFont="0" applyFill="0" applyBorder="0" applyAlignment="0" applyProtection="0"/>
    <xf numFmtId="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2" fillId="0" borderId="0"/>
    <xf numFmtId="0" fontId="2" fillId="0" borderId="0"/>
    <xf numFmtId="0" fontId="50" fillId="0" borderId="0"/>
    <xf numFmtId="0" fontId="2" fillId="0" borderId="0"/>
    <xf numFmtId="43" fontId="2" fillId="0" borderId="0" applyFont="0" applyFill="0" applyBorder="0" applyAlignment="0" applyProtection="0"/>
    <xf numFmtId="0" fontId="2" fillId="0" borderId="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6" fillId="41"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6" fillId="41"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6" fillId="41"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38"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38"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38"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31"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31"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31"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60" fillId="0" borderId="142" applyNumberFormat="0" applyFont="0" applyFill="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154" fillId="0" borderId="0" applyNumberFormat="0" applyFill="0" applyBorder="0" applyAlignment="0" applyProtection="0">
      <alignment vertical="top"/>
      <protection locked="0"/>
    </xf>
    <xf numFmtId="0" fontId="2" fillId="0" borderId="0"/>
    <xf numFmtId="0" fontId="9" fillId="0" borderId="0"/>
  </cellStyleXfs>
  <cellXfs count="2504">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38" fontId="54" fillId="0" borderId="125"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38" fontId="54" fillId="0" borderId="128"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8"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6" xfId="3" applyNumberFormat="1" applyFont="1" applyBorder="1" applyAlignment="1" applyProtection="1">
      <alignment horizontal="center"/>
    </xf>
    <xf numFmtId="0" fontId="63" fillId="0" borderId="145" xfId="3" applyFont="1" applyBorder="1" applyAlignment="1" applyProtection="1">
      <alignment horizontal="centerContinuous"/>
    </xf>
    <xf numFmtId="0" fontId="63" fillId="0" borderId="146"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6"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8" xfId="17" applyNumberFormat="1" applyFill="1" applyBorder="1" applyAlignment="1">
      <alignment horizontal="right" vertical="top"/>
    </xf>
    <xf numFmtId="38" fontId="6" fillId="23"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7" xfId="17" applyFont="1" applyFill="1" applyBorder="1" applyAlignment="1">
      <alignment horizontal="center" vertical="center" wrapText="1"/>
    </xf>
    <xf numFmtId="38" fontId="124" fillId="24" borderId="157" xfId="17" applyNumberFormat="1" applyFont="1" applyFill="1" applyBorder="1" applyAlignment="1">
      <alignment horizontal="center" vertical="center" wrapText="1"/>
    </xf>
    <xf numFmtId="3" fontId="54" fillId="24" borderId="132" xfId="0" applyNumberFormat="1" applyFont="1" applyFill="1" applyBorder="1" applyAlignment="1">
      <alignment horizontal="center"/>
    </xf>
    <xf numFmtId="3" fontId="54" fillId="24" borderId="132" xfId="0" applyNumberFormat="1" applyFont="1" applyFill="1" applyBorder="1" applyAlignment="1">
      <alignment horizontal="right"/>
    </xf>
    <xf numFmtId="3" fontId="54" fillId="24" borderId="133"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6"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5" fillId="0" borderId="158" xfId="17" applyFont="1" applyBorder="1" applyAlignment="1" applyProtection="1">
      <alignment horizontal="left" vertical="top" wrapText="1"/>
      <protection locked="0"/>
    </xf>
    <xf numFmtId="0" fontId="5" fillId="0" borderId="158"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8" xfId="17" applyNumberFormat="1" applyBorder="1" applyAlignment="1" applyProtection="1">
      <alignment horizontal="center" vertical="center"/>
      <protection locked="0"/>
    </xf>
    <xf numFmtId="49" fontId="4" fillId="0" borderId="158"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8"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2"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49" fontId="5" fillId="0" borderId="158" xfId="17" applyNumberFormat="1" applyFont="1" applyBorder="1" applyAlignment="1" applyProtection="1">
      <alignment horizontal="center" vertical="top"/>
      <protection locked="0"/>
    </xf>
    <xf numFmtId="49" fontId="4" fillId="0" borderId="158"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9" xfId="18" applyFont="1" applyFill="1" applyBorder="1" applyAlignment="1">
      <alignment horizontal="center" vertical="center" wrapText="1"/>
    </xf>
    <xf numFmtId="0" fontId="103" fillId="24"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49" fontId="61" fillId="0" borderId="0" xfId="0" applyNumberFormat="1" applyFont="1" applyAlignment="1" applyProtection="1">
      <alignment horizontal="left" vertical="center"/>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2"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0" fontId="64" fillId="13" borderId="13" xfId="9" applyFont="1" applyFill="1" applyBorder="1" applyAlignment="1">
      <alignment horizontal="center" vertical="center"/>
    </xf>
    <xf numFmtId="0" fontId="56" fillId="13"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3"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4" fillId="24"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143"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xf numFmtId="0" fontId="1" fillId="0" borderId="158" xfId="17" applyFont="1" applyBorder="1" applyAlignment="1" applyProtection="1">
      <alignment horizontal="left" vertical="top" wrapText="1"/>
      <protection locked="0"/>
    </xf>
  </cellXfs>
  <cellStyles count="2860">
    <cellStyle name="1" xfId="27"/>
    <cellStyle name="10" xfId="28"/>
    <cellStyle name="12" xfId="26"/>
    <cellStyle name="12 10" xfId="250"/>
    <cellStyle name="12 11" xfId="251"/>
    <cellStyle name="12 12" xfId="252"/>
    <cellStyle name="12 13" xfId="253"/>
    <cellStyle name="12 14" xfId="254"/>
    <cellStyle name="12 15" xfId="255"/>
    <cellStyle name="12 16" xfId="256"/>
    <cellStyle name="12 17" xfId="257"/>
    <cellStyle name="12 18" xfId="258"/>
    <cellStyle name="12 19" xfId="259"/>
    <cellStyle name="12 2" xfId="29"/>
    <cellStyle name="12 20" xfId="260"/>
    <cellStyle name="12 21" xfId="261"/>
    <cellStyle name="12 22" xfId="262"/>
    <cellStyle name="12 23" xfId="263"/>
    <cellStyle name="12 24" xfId="264"/>
    <cellStyle name="12 25" xfId="265"/>
    <cellStyle name="12 26" xfId="266"/>
    <cellStyle name="12 27" xfId="267"/>
    <cellStyle name="12 28" xfId="268"/>
    <cellStyle name="12 29" xfId="269"/>
    <cellStyle name="12 3" xfId="31"/>
    <cellStyle name="12 30" xfId="270"/>
    <cellStyle name="12 31" xfId="271"/>
    <cellStyle name="12 32" xfId="272"/>
    <cellStyle name="12 33" xfId="273"/>
    <cellStyle name="12 34" xfId="274"/>
    <cellStyle name="12 35" xfId="275"/>
    <cellStyle name="12 36" xfId="276"/>
    <cellStyle name="12 37" xfId="277"/>
    <cellStyle name="12 38" xfId="278"/>
    <cellStyle name="12 4" xfId="32"/>
    <cellStyle name="12 5" xfId="33"/>
    <cellStyle name="12 6" xfId="34"/>
    <cellStyle name="12 7" xfId="35"/>
    <cellStyle name="12 8" xfId="36"/>
    <cellStyle name="12 9" xfId="39"/>
    <cellStyle name="12 9 2" xfId="280"/>
    <cellStyle name="12 9 3" xfId="279"/>
    <cellStyle name="2" xfId="37"/>
    <cellStyle name="20% - Accent1 10 2" xfId="281"/>
    <cellStyle name="20% - Accent1 10 3" xfId="282"/>
    <cellStyle name="20% - Accent1 10 4" xfId="283"/>
    <cellStyle name="20% - Accent1 10 5" xfId="284"/>
    <cellStyle name="20% - Accent1 10 6" xfId="285"/>
    <cellStyle name="20% - Accent1 11 2" xfId="286"/>
    <cellStyle name="20% - Accent1 11 3" xfId="287"/>
    <cellStyle name="20% - Accent1 11 4" xfId="288"/>
    <cellStyle name="20% - Accent1 11 5" xfId="289"/>
    <cellStyle name="20% - Accent1 11 6" xfId="290"/>
    <cellStyle name="20% - Accent1 2" xfId="291"/>
    <cellStyle name="20% - Accent1 2 2" xfId="292"/>
    <cellStyle name="20% - Accent1 2 3" xfId="293"/>
    <cellStyle name="20% - Accent1 2 4" xfId="294"/>
    <cellStyle name="20% - Accent1 2 5" xfId="295"/>
    <cellStyle name="20% - Accent1 2 6" xfId="296"/>
    <cellStyle name="20% - Accent1 3" xfId="297"/>
    <cellStyle name="20% - Accent1 3 2" xfId="298"/>
    <cellStyle name="20% - Accent1 3 3" xfId="299"/>
    <cellStyle name="20% - Accent1 3 4" xfId="300"/>
    <cellStyle name="20% - Accent1 3 5" xfId="301"/>
    <cellStyle name="20% - Accent1 3 6" xfId="302"/>
    <cellStyle name="20% - Accent1 4 2" xfId="303"/>
    <cellStyle name="20% - Accent1 4 3" xfId="304"/>
    <cellStyle name="20% - Accent1 4 4" xfId="305"/>
    <cellStyle name="20% - Accent1 4 5" xfId="306"/>
    <cellStyle name="20% - Accent1 4 6" xfId="307"/>
    <cellStyle name="20% - Accent1 5 2" xfId="308"/>
    <cellStyle name="20% - Accent1 5 3" xfId="309"/>
    <cellStyle name="20% - Accent1 5 4" xfId="310"/>
    <cellStyle name="20% - Accent1 5 5" xfId="311"/>
    <cellStyle name="20% - Accent1 5 6" xfId="312"/>
    <cellStyle name="20% - Accent1 6 2" xfId="313"/>
    <cellStyle name="20% - Accent1 6 3" xfId="314"/>
    <cellStyle name="20% - Accent1 6 4" xfId="315"/>
    <cellStyle name="20% - Accent1 6 5" xfId="316"/>
    <cellStyle name="20% - Accent1 6 6" xfId="317"/>
    <cellStyle name="20% - Accent1 7 2" xfId="318"/>
    <cellStyle name="20% - Accent1 7 3" xfId="319"/>
    <cellStyle name="20% - Accent1 7 4" xfId="320"/>
    <cellStyle name="20% - Accent1 7 5" xfId="321"/>
    <cellStyle name="20% - Accent1 7 6" xfId="322"/>
    <cellStyle name="20% - Accent1 8 2" xfId="323"/>
    <cellStyle name="20% - Accent1 8 3" xfId="324"/>
    <cellStyle name="20% - Accent1 8 4" xfId="325"/>
    <cellStyle name="20% - Accent1 8 5" xfId="326"/>
    <cellStyle name="20% - Accent1 8 6" xfId="327"/>
    <cellStyle name="20% - Accent1 9 2" xfId="328"/>
    <cellStyle name="20% - Accent1 9 3" xfId="329"/>
    <cellStyle name="20% - Accent1 9 4" xfId="330"/>
    <cellStyle name="20% - Accent1 9 5" xfId="331"/>
    <cellStyle name="20% - Accent1 9 6" xfId="332"/>
    <cellStyle name="20% - Accent2 10 2" xfId="333"/>
    <cellStyle name="20% - Accent2 10 3" xfId="334"/>
    <cellStyle name="20% - Accent2 10 4" xfId="335"/>
    <cellStyle name="20% - Accent2 10 5" xfId="336"/>
    <cellStyle name="20% - Accent2 10 6" xfId="337"/>
    <cellStyle name="20% - Accent2 11 2" xfId="338"/>
    <cellStyle name="20% - Accent2 11 3" xfId="339"/>
    <cellStyle name="20% - Accent2 11 4" xfId="340"/>
    <cellStyle name="20% - Accent2 11 5" xfId="341"/>
    <cellStyle name="20% - Accent2 11 6" xfId="342"/>
    <cellStyle name="20% - Accent2 2" xfId="343"/>
    <cellStyle name="20% - Accent2 2 2" xfId="344"/>
    <cellStyle name="20% - Accent2 2 3" xfId="345"/>
    <cellStyle name="20% - Accent2 2 4" xfId="346"/>
    <cellStyle name="20% - Accent2 2 5" xfId="347"/>
    <cellStyle name="20% - Accent2 2 6" xfId="348"/>
    <cellStyle name="20% - Accent2 3" xfId="349"/>
    <cellStyle name="20% - Accent2 3 2" xfId="350"/>
    <cellStyle name="20% - Accent2 3 3" xfId="351"/>
    <cellStyle name="20% - Accent2 3 4" xfId="352"/>
    <cellStyle name="20% - Accent2 3 5" xfId="353"/>
    <cellStyle name="20% - Accent2 3 6" xfId="354"/>
    <cellStyle name="20% - Accent2 4 2" xfId="355"/>
    <cellStyle name="20% - Accent2 4 3" xfId="356"/>
    <cellStyle name="20% - Accent2 4 4" xfId="357"/>
    <cellStyle name="20% - Accent2 4 5" xfId="358"/>
    <cellStyle name="20% - Accent2 4 6" xfId="359"/>
    <cellStyle name="20% - Accent2 5 2" xfId="360"/>
    <cellStyle name="20% - Accent2 5 3" xfId="361"/>
    <cellStyle name="20% - Accent2 5 4" xfId="362"/>
    <cellStyle name="20% - Accent2 5 5" xfId="363"/>
    <cellStyle name="20% - Accent2 5 6" xfId="364"/>
    <cellStyle name="20% - Accent2 6 2" xfId="365"/>
    <cellStyle name="20% - Accent2 6 3" xfId="366"/>
    <cellStyle name="20% - Accent2 6 4" xfId="367"/>
    <cellStyle name="20% - Accent2 6 5" xfId="368"/>
    <cellStyle name="20% - Accent2 6 6" xfId="369"/>
    <cellStyle name="20% - Accent2 7 2" xfId="370"/>
    <cellStyle name="20% - Accent2 7 3" xfId="371"/>
    <cellStyle name="20% - Accent2 7 4" xfId="372"/>
    <cellStyle name="20% - Accent2 7 5" xfId="373"/>
    <cellStyle name="20% - Accent2 7 6" xfId="374"/>
    <cellStyle name="20% - Accent2 8 2" xfId="375"/>
    <cellStyle name="20% - Accent2 8 3" xfId="376"/>
    <cellStyle name="20% - Accent2 8 4" xfId="377"/>
    <cellStyle name="20% - Accent2 8 5" xfId="378"/>
    <cellStyle name="20% - Accent2 8 6" xfId="379"/>
    <cellStyle name="20% - Accent2 9 2" xfId="380"/>
    <cellStyle name="20% - Accent2 9 3" xfId="381"/>
    <cellStyle name="20% - Accent2 9 4" xfId="382"/>
    <cellStyle name="20% - Accent2 9 5" xfId="383"/>
    <cellStyle name="20% - Accent2 9 6" xfId="384"/>
    <cellStyle name="20% - Accent3 10 2" xfId="385"/>
    <cellStyle name="20% - Accent3 10 3" xfId="386"/>
    <cellStyle name="20% - Accent3 10 4" xfId="387"/>
    <cellStyle name="20% - Accent3 10 5" xfId="388"/>
    <cellStyle name="20% - Accent3 10 6" xfId="389"/>
    <cellStyle name="20% - Accent3 11 2" xfId="390"/>
    <cellStyle name="20% - Accent3 11 3" xfId="391"/>
    <cellStyle name="20% - Accent3 11 4" xfId="392"/>
    <cellStyle name="20% - Accent3 11 5" xfId="393"/>
    <cellStyle name="20% - Accent3 11 6" xfId="394"/>
    <cellStyle name="20% - Accent3 2" xfId="395"/>
    <cellStyle name="20% - Accent3 2 2" xfId="396"/>
    <cellStyle name="20% - Accent3 2 3" xfId="397"/>
    <cellStyle name="20% - Accent3 2 4" xfId="398"/>
    <cellStyle name="20% - Accent3 2 5" xfId="399"/>
    <cellStyle name="20% - Accent3 2 6" xfId="400"/>
    <cellStyle name="20% - Accent3 3" xfId="401"/>
    <cellStyle name="20% - Accent3 3 2" xfId="402"/>
    <cellStyle name="20% - Accent3 3 3" xfId="403"/>
    <cellStyle name="20% - Accent3 3 4" xfId="404"/>
    <cellStyle name="20% - Accent3 3 5" xfId="405"/>
    <cellStyle name="20% - Accent3 3 6" xfId="406"/>
    <cellStyle name="20% - Accent3 4 2" xfId="407"/>
    <cellStyle name="20% - Accent3 4 3" xfId="408"/>
    <cellStyle name="20% - Accent3 4 4" xfId="409"/>
    <cellStyle name="20% - Accent3 4 5" xfId="410"/>
    <cellStyle name="20% - Accent3 4 6" xfId="411"/>
    <cellStyle name="20% - Accent3 5 2" xfId="412"/>
    <cellStyle name="20% - Accent3 5 3" xfId="413"/>
    <cellStyle name="20% - Accent3 5 4" xfId="414"/>
    <cellStyle name="20% - Accent3 5 5" xfId="415"/>
    <cellStyle name="20% - Accent3 5 6" xfId="416"/>
    <cellStyle name="20% - Accent3 6 2" xfId="417"/>
    <cellStyle name="20% - Accent3 6 3" xfId="418"/>
    <cellStyle name="20% - Accent3 6 4" xfId="419"/>
    <cellStyle name="20% - Accent3 6 5" xfId="420"/>
    <cellStyle name="20% - Accent3 6 6" xfId="421"/>
    <cellStyle name="20% - Accent3 7 2" xfId="422"/>
    <cellStyle name="20% - Accent3 7 3" xfId="423"/>
    <cellStyle name="20% - Accent3 7 4" xfId="424"/>
    <cellStyle name="20% - Accent3 7 5" xfId="425"/>
    <cellStyle name="20% - Accent3 7 6" xfId="426"/>
    <cellStyle name="20% - Accent3 8 2" xfId="427"/>
    <cellStyle name="20% - Accent3 8 3" xfId="428"/>
    <cellStyle name="20% - Accent3 8 4" xfId="429"/>
    <cellStyle name="20% - Accent3 8 5" xfId="430"/>
    <cellStyle name="20% - Accent3 8 6" xfId="431"/>
    <cellStyle name="20% - Accent3 9 2" xfId="432"/>
    <cellStyle name="20% - Accent3 9 3" xfId="433"/>
    <cellStyle name="20% - Accent3 9 4" xfId="434"/>
    <cellStyle name="20% - Accent3 9 5" xfId="435"/>
    <cellStyle name="20% - Accent3 9 6" xfId="436"/>
    <cellStyle name="20% - Accent4 10 2" xfId="437"/>
    <cellStyle name="20% - Accent4 10 3" xfId="438"/>
    <cellStyle name="20% - Accent4 10 4" xfId="439"/>
    <cellStyle name="20% - Accent4 10 5" xfId="440"/>
    <cellStyle name="20% - Accent4 10 6" xfId="441"/>
    <cellStyle name="20% - Accent4 11 2" xfId="442"/>
    <cellStyle name="20% - Accent4 11 3" xfId="443"/>
    <cellStyle name="20% - Accent4 11 4" xfId="444"/>
    <cellStyle name="20% - Accent4 11 5" xfId="445"/>
    <cellStyle name="20% - Accent4 11 6" xfId="446"/>
    <cellStyle name="20% - Accent4 2" xfId="447"/>
    <cellStyle name="20% - Accent4 2 2" xfId="448"/>
    <cellStyle name="20% - Accent4 2 3" xfId="449"/>
    <cellStyle name="20% - Accent4 2 4" xfId="450"/>
    <cellStyle name="20% - Accent4 2 5" xfId="451"/>
    <cellStyle name="20% - Accent4 2 6" xfId="452"/>
    <cellStyle name="20% - Accent4 3" xfId="453"/>
    <cellStyle name="20% - Accent4 3 2" xfId="454"/>
    <cellStyle name="20% - Accent4 3 3" xfId="455"/>
    <cellStyle name="20% - Accent4 3 4" xfId="456"/>
    <cellStyle name="20% - Accent4 3 5" xfId="457"/>
    <cellStyle name="20% - Accent4 3 6" xfId="458"/>
    <cellStyle name="20% - Accent4 4 2" xfId="459"/>
    <cellStyle name="20% - Accent4 4 3" xfId="460"/>
    <cellStyle name="20% - Accent4 4 4" xfId="461"/>
    <cellStyle name="20% - Accent4 4 5" xfId="462"/>
    <cellStyle name="20% - Accent4 4 6" xfId="463"/>
    <cellStyle name="20% - Accent4 5 2" xfId="464"/>
    <cellStyle name="20% - Accent4 5 3" xfId="465"/>
    <cellStyle name="20% - Accent4 5 4" xfId="466"/>
    <cellStyle name="20% - Accent4 5 5" xfId="467"/>
    <cellStyle name="20% - Accent4 5 6" xfId="468"/>
    <cellStyle name="20% - Accent4 6 2" xfId="469"/>
    <cellStyle name="20% - Accent4 6 3" xfId="470"/>
    <cellStyle name="20% - Accent4 6 4" xfId="471"/>
    <cellStyle name="20% - Accent4 6 5" xfId="472"/>
    <cellStyle name="20% - Accent4 6 6" xfId="473"/>
    <cellStyle name="20% - Accent4 7 2" xfId="474"/>
    <cellStyle name="20% - Accent4 7 3" xfId="475"/>
    <cellStyle name="20% - Accent4 7 4" xfId="476"/>
    <cellStyle name="20% - Accent4 7 5" xfId="477"/>
    <cellStyle name="20% - Accent4 7 6" xfId="478"/>
    <cellStyle name="20% - Accent4 8 2" xfId="479"/>
    <cellStyle name="20% - Accent4 8 3" xfId="480"/>
    <cellStyle name="20% - Accent4 8 4" xfId="481"/>
    <cellStyle name="20% - Accent4 8 5" xfId="482"/>
    <cellStyle name="20% - Accent4 8 6" xfId="483"/>
    <cellStyle name="20% - Accent4 9 2" xfId="484"/>
    <cellStyle name="20% - Accent4 9 3" xfId="485"/>
    <cellStyle name="20% - Accent4 9 4" xfId="486"/>
    <cellStyle name="20% - Accent4 9 5" xfId="487"/>
    <cellStyle name="20% - Accent4 9 6" xfId="488"/>
    <cellStyle name="20% - Accent5 10 2" xfId="489"/>
    <cellStyle name="20% - Accent5 10 3" xfId="490"/>
    <cellStyle name="20% - Accent5 10 4" xfId="491"/>
    <cellStyle name="20% - Accent5 10 5" xfId="492"/>
    <cellStyle name="20% - Accent5 10 6" xfId="493"/>
    <cellStyle name="20% - Accent5 11 2" xfId="494"/>
    <cellStyle name="20% - Accent5 11 3" xfId="495"/>
    <cellStyle name="20% - Accent5 11 4" xfId="496"/>
    <cellStyle name="20% - Accent5 11 5" xfId="497"/>
    <cellStyle name="20% - Accent5 11 6" xfId="498"/>
    <cellStyle name="20% - Accent5 2" xfId="499"/>
    <cellStyle name="20% - Accent5 2 2" xfId="500"/>
    <cellStyle name="20% - Accent5 2 3" xfId="501"/>
    <cellStyle name="20% - Accent5 2 4" xfId="502"/>
    <cellStyle name="20% - Accent5 2 5" xfId="503"/>
    <cellStyle name="20% - Accent5 2 6" xfId="504"/>
    <cellStyle name="20% - Accent5 3" xfId="505"/>
    <cellStyle name="20% - Accent5 3 2" xfId="506"/>
    <cellStyle name="20% - Accent5 3 3" xfId="507"/>
    <cellStyle name="20% - Accent5 3 4" xfId="508"/>
    <cellStyle name="20% - Accent5 3 5" xfId="509"/>
    <cellStyle name="20% - Accent5 3 6" xfId="510"/>
    <cellStyle name="20% - Accent5 4 2" xfId="511"/>
    <cellStyle name="20% - Accent5 4 3" xfId="512"/>
    <cellStyle name="20% - Accent5 4 4" xfId="513"/>
    <cellStyle name="20% - Accent5 4 5" xfId="514"/>
    <cellStyle name="20% - Accent5 4 6" xfId="515"/>
    <cellStyle name="20% - Accent5 5 2" xfId="516"/>
    <cellStyle name="20% - Accent5 5 3" xfId="517"/>
    <cellStyle name="20% - Accent5 5 4" xfId="518"/>
    <cellStyle name="20% - Accent5 5 5" xfId="519"/>
    <cellStyle name="20% - Accent5 5 6" xfId="520"/>
    <cellStyle name="20% - Accent5 6 2" xfId="521"/>
    <cellStyle name="20% - Accent5 6 3" xfId="522"/>
    <cellStyle name="20% - Accent5 6 4" xfId="523"/>
    <cellStyle name="20% - Accent5 6 5" xfId="524"/>
    <cellStyle name="20% - Accent5 6 6" xfId="525"/>
    <cellStyle name="20% - Accent5 7 2" xfId="526"/>
    <cellStyle name="20% - Accent5 7 3" xfId="527"/>
    <cellStyle name="20% - Accent5 7 4" xfId="528"/>
    <cellStyle name="20% - Accent5 7 5" xfId="529"/>
    <cellStyle name="20% - Accent5 7 6" xfId="530"/>
    <cellStyle name="20% - Accent5 8 2" xfId="531"/>
    <cellStyle name="20% - Accent5 8 3" xfId="532"/>
    <cellStyle name="20% - Accent5 8 4" xfId="533"/>
    <cellStyle name="20% - Accent5 8 5" xfId="534"/>
    <cellStyle name="20% - Accent5 8 6" xfId="535"/>
    <cellStyle name="20% - Accent5 9 2" xfId="536"/>
    <cellStyle name="20% - Accent5 9 3" xfId="537"/>
    <cellStyle name="20% - Accent5 9 4" xfId="538"/>
    <cellStyle name="20% - Accent5 9 5" xfId="539"/>
    <cellStyle name="20% - Accent5 9 6" xfId="540"/>
    <cellStyle name="20% - Accent6 10 2" xfId="541"/>
    <cellStyle name="20% - Accent6 10 3" xfId="542"/>
    <cellStyle name="20% - Accent6 10 4" xfId="543"/>
    <cellStyle name="20% - Accent6 10 5" xfId="544"/>
    <cellStyle name="20% - Accent6 10 6" xfId="545"/>
    <cellStyle name="20% - Accent6 11 2" xfId="546"/>
    <cellStyle name="20% - Accent6 11 3" xfId="547"/>
    <cellStyle name="20% - Accent6 11 4" xfId="548"/>
    <cellStyle name="20% - Accent6 11 5" xfId="549"/>
    <cellStyle name="20% - Accent6 11 6" xfId="550"/>
    <cellStyle name="20% - Accent6 2" xfId="551"/>
    <cellStyle name="20% - Accent6 2 2" xfId="552"/>
    <cellStyle name="20% - Accent6 2 3" xfId="553"/>
    <cellStyle name="20% - Accent6 2 4" xfId="554"/>
    <cellStyle name="20% - Accent6 2 5" xfId="555"/>
    <cellStyle name="20% - Accent6 2 6" xfId="556"/>
    <cellStyle name="20% - Accent6 3" xfId="557"/>
    <cellStyle name="20% - Accent6 3 2" xfId="558"/>
    <cellStyle name="20% - Accent6 3 3" xfId="559"/>
    <cellStyle name="20% - Accent6 3 4" xfId="560"/>
    <cellStyle name="20% - Accent6 3 5" xfId="561"/>
    <cellStyle name="20% - Accent6 3 6" xfId="562"/>
    <cellStyle name="20% - Accent6 4 2" xfId="563"/>
    <cellStyle name="20% - Accent6 4 3" xfId="564"/>
    <cellStyle name="20% - Accent6 4 4" xfId="565"/>
    <cellStyle name="20% - Accent6 4 5" xfId="566"/>
    <cellStyle name="20% - Accent6 4 6" xfId="567"/>
    <cellStyle name="20% - Accent6 5 2" xfId="568"/>
    <cellStyle name="20% - Accent6 5 3" xfId="569"/>
    <cellStyle name="20% - Accent6 5 4" xfId="570"/>
    <cellStyle name="20% - Accent6 5 5" xfId="571"/>
    <cellStyle name="20% - Accent6 5 6" xfId="572"/>
    <cellStyle name="20% - Accent6 6 2" xfId="573"/>
    <cellStyle name="20% - Accent6 6 3" xfId="574"/>
    <cellStyle name="20% - Accent6 6 4" xfId="575"/>
    <cellStyle name="20% - Accent6 6 5" xfId="576"/>
    <cellStyle name="20% - Accent6 6 6" xfId="577"/>
    <cellStyle name="20% - Accent6 7 2" xfId="578"/>
    <cellStyle name="20% - Accent6 7 3" xfId="579"/>
    <cellStyle name="20% - Accent6 7 4" xfId="580"/>
    <cellStyle name="20% - Accent6 7 5" xfId="581"/>
    <cellStyle name="20% - Accent6 7 6" xfId="582"/>
    <cellStyle name="20% - Accent6 8 2" xfId="583"/>
    <cellStyle name="20% - Accent6 8 3" xfId="584"/>
    <cellStyle name="20% - Accent6 8 4" xfId="585"/>
    <cellStyle name="20% - Accent6 8 5" xfId="586"/>
    <cellStyle name="20% - Accent6 8 6" xfId="587"/>
    <cellStyle name="20% - Accent6 9 2" xfId="588"/>
    <cellStyle name="20% - Accent6 9 3" xfId="589"/>
    <cellStyle name="20% - Accent6 9 4" xfId="590"/>
    <cellStyle name="20% - Accent6 9 5" xfId="591"/>
    <cellStyle name="20% - Accent6 9 6" xfId="592"/>
    <cellStyle name="3" xfId="38"/>
    <cellStyle name="4" xfId="40"/>
    <cellStyle name="40% - Accent1 10 2" xfId="593"/>
    <cellStyle name="40% - Accent1 10 3" xfId="594"/>
    <cellStyle name="40% - Accent1 10 4" xfId="595"/>
    <cellStyle name="40% - Accent1 10 5" xfId="596"/>
    <cellStyle name="40% - Accent1 10 6" xfId="597"/>
    <cellStyle name="40% - Accent1 11 2" xfId="598"/>
    <cellStyle name="40% - Accent1 11 3" xfId="599"/>
    <cellStyle name="40% - Accent1 11 4" xfId="600"/>
    <cellStyle name="40% - Accent1 11 5" xfId="601"/>
    <cellStyle name="40% - Accent1 11 6" xfId="602"/>
    <cellStyle name="40% - Accent1 2" xfId="603"/>
    <cellStyle name="40% - Accent1 2 2" xfId="604"/>
    <cellStyle name="40% - Accent1 2 3" xfId="605"/>
    <cellStyle name="40% - Accent1 2 4" xfId="606"/>
    <cellStyle name="40% - Accent1 2 5" xfId="607"/>
    <cellStyle name="40% - Accent1 2 6" xfId="608"/>
    <cellStyle name="40% - Accent1 3" xfId="609"/>
    <cellStyle name="40% - Accent1 3 2" xfId="610"/>
    <cellStyle name="40% - Accent1 3 3" xfId="611"/>
    <cellStyle name="40% - Accent1 3 4" xfId="612"/>
    <cellStyle name="40% - Accent1 3 5" xfId="613"/>
    <cellStyle name="40% - Accent1 3 6" xfId="614"/>
    <cellStyle name="40% - Accent1 4 2" xfId="615"/>
    <cellStyle name="40% - Accent1 4 3" xfId="616"/>
    <cellStyle name="40% - Accent1 4 4" xfId="617"/>
    <cellStyle name="40% - Accent1 4 5" xfId="618"/>
    <cellStyle name="40% - Accent1 4 6" xfId="619"/>
    <cellStyle name="40% - Accent1 5 2" xfId="620"/>
    <cellStyle name="40% - Accent1 5 3" xfId="621"/>
    <cellStyle name="40% - Accent1 5 4" xfId="622"/>
    <cellStyle name="40% - Accent1 5 5" xfId="623"/>
    <cellStyle name="40% - Accent1 5 6" xfId="624"/>
    <cellStyle name="40% - Accent1 6 2" xfId="625"/>
    <cellStyle name="40% - Accent1 6 3" xfId="626"/>
    <cellStyle name="40% - Accent1 6 4" xfId="627"/>
    <cellStyle name="40% - Accent1 6 5" xfId="628"/>
    <cellStyle name="40% - Accent1 6 6" xfId="629"/>
    <cellStyle name="40% - Accent1 7 2" xfId="630"/>
    <cellStyle name="40% - Accent1 7 3" xfId="631"/>
    <cellStyle name="40% - Accent1 7 4" xfId="632"/>
    <cellStyle name="40% - Accent1 7 5" xfId="633"/>
    <cellStyle name="40% - Accent1 7 6" xfId="634"/>
    <cellStyle name="40% - Accent1 8 2" xfId="635"/>
    <cellStyle name="40% - Accent1 8 3" xfId="636"/>
    <cellStyle name="40% - Accent1 8 4" xfId="637"/>
    <cellStyle name="40% - Accent1 8 5" xfId="638"/>
    <cellStyle name="40% - Accent1 8 6" xfId="639"/>
    <cellStyle name="40% - Accent1 9 2" xfId="640"/>
    <cellStyle name="40% - Accent1 9 3" xfId="641"/>
    <cellStyle name="40% - Accent1 9 4" xfId="642"/>
    <cellStyle name="40% - Accent1 9 5" xfId="643"/>
    <cellStyle name="40% - Accent1 9 6" xfId="644"/>
    <cellStyle name="40% - Accent2 10 2" xfId="645"/>
    <cellStyle name="40% - Accent2 10 3" xfId="646"/>
    <cellStyle name="40% - Accent2 10 4" xfId="647"/>
    <cellStyle name="40% - Accent2 10 5" xfId="648"/>
    <cellStyle name="40% - Accent2 10 6" xfId="649"/>
    <cellStyle name="40% - Accent2 11 2" xfId="650"/>
    <cellStyle name="40% - Accent2 11 3" xfId="651"/>
    <cellStyle name="40% - Accent2 11 4" xfId="652"/>
    <cellStyle name="40% - Accent2 11 5" xfId="653"/>
    <cellStyle name="40% - Accent2 11 6" xfId="654"/>
    <cellStyle name="40% - Accent2 2" xfId="655"/>
    <cellStyle name="40% - Accent2 2 2" xfId="656"/>
    <cellStyle name="40% - Accent2 2 3" xfId="657"/>
    <cellStyle name="40% - Accent2 2 4" xfId="658"/>
    <cellStyle name="40% - Accent2 2 5" xfId="659"/>
    <cellStyle name="40% - Accent2 2 6" xfId="660"/>
    <cellStyle name="40% - Accent2 3" xfId="661"/>
    <cellStyle name="40% - Accent2 3 2" xfId="662"/>
    <cellStyle name="40% - Accent2 3 3" xfId="663"/>
    <cellStyle name="40% - Accent2 3 4" xfId="664"/>
    <cellStyle name="40% - Accent2 3 5" xfId="665"/>
    <cellStyle name="40% - Accent2 3 6" xfId="666"/>
    <cellStyle name="40% - Accent2 4 2" xfId="667"/>
    <cellStyle name="40% - Accent2 4 3" xfId="668"/>
    <cellStyle name="40% - Accent2 4 4" xfId="669"/>
    <cellStyle name="40% - Accent2 4 5" xfId="670"/>
    <cellStyle name="40% - Accent2 4 6" xfId="671"/>
    <cellStyle name="40% - Accent2 5 2" xfId="672"/>
    <cellStyle name="40% - Accent2 5 3" xfId="673"/>
    <cellStyle name="40% - Accent2 5 4" xfId="674"/>
    <cellStyle name="40% - Accent2 5 5" xfId="675"/>
    <cellStyle name="40% - Accent2 5 6" xfId="676"/>
    <cellStyle name="40% - Accent2 6 2" xfId="677"/>
    <cellStyle name="40% - Accent2 6 3" xfId="678"/>
    <cellStyle name="40% - Accent2 6 4" xfId="679"/>
    <cellStyle name="40% - Accent2 6 5" xfId="680"/>
    <cellStyle name="40% - Accent2 6 6" xfId="681"/>
    <cellStyle name="40% - Accent2 7 2" xfId="682"/>
    <cellStyle name="40% - Accent2 7 3" xfId="683"/>
    <cellStyle name="40% - Accent2 7 4" xfId="684"/>
    <cellStyle name="40% - Accent2 7 5" xfId="685"/>
    <cellStyle name="40% - Accent2 7 6" xfId="686"/>
    <cellStyle name="40% - Accent2 8 2" xfId="687"/>
    <cellStyle name="40% - Accent2 8 3" xfId="688"/>
    <cellStyle name="40% - Accent2 8 4" xfId="689"/>
    <cellStyle name="40% - Accent2 8 5" xfId="690"/>
    <cellStyle name="40% - Accent2 8 6" xfId="691"/>
    <cellStyle name="40% - Accent2 9 2" xfId="692"/>
    <cellStyle name="40% - Accent2 9 3" xfId="693"/>
    <cellStyle name="40% - Accent2 9 4" xfId="694"/>
    <cellStyle name="40% - Accent2 9 5" xfId="695"/>
    <cellStyle name="40% - Accent2 9 6" xfId="696"/>
    <cellStyle name="40% - Accent3 10 2" xfId="697"/>
    <cellStyle name="40% - Accent3 10 3" xfId="698"/>
    <cellStyle name="40% - Accent3 10 4" xfId="699"/>
    <cellStyle name="40% - Accent3 10 5" xfId="700"/>
    <cellStyle name="40% - Accent3 10 6" xfId="701"/>
    <cellStyle name="40% - Accent3 11 2" xfId="702"/>
    <cellStyle name="40% - Accent3 11 3" xfId="703"/>
    <cellStyle name="40% - Accent3 11 4" xfId="704"/>
    <cellStyle name="40% - Accent3 11 5" xfId="705"/>
    <cellStyle name="40% - Accent3 11 6" xfId="706"/>
    <cellStyle name="40% - Accent3 2" xfId="707"/>
    <cellStyle name="40% - Accent3 2 2" xfId="708"/>
    <cellStyle name="40% - Accent3 2 3" xfId="709"/>
    <cellStyle name="40% - Accent3 2 4" xfId="710"/>
    <cellStyle name="40% - Accent3 2 5" xfId="711"/>
    <cellStyle name="40% - Accent3 2 6" xfId="712"/>
    <cellStyle name="40% - Accent3 3" xfId="713"/>
    <cellStyle name="40% - Accent3 3 2" xfId="714"/>
    <cellStyle name="40% - Accent3 3 3" xfId="715"/>
    <cellStyle name="40% - Accent3 3 4" xfId="716"/>
    <cellStyle name="40% - Accent3 3 5" xfId="717"/>
    <cellStyle name="40% - Accent3 3 6" xfId="718"/>
    <cellStyle name="40% - Accent3 4 2" xfId="719"/>
    <cellStyle name="40% - Accent3 4 3" xfId="720"/>
    <cellStyle name="40% - Accent3 4 4" xfId="721"/>
    <cellStyle name="40% - Accent3 4 5" xfId="722"/>
    <cellStyle name="40% - Accent3 4 6" xfId="723"/>
    <cellStyle name="40% - Accent3 5 2" xfId="724"/>
    <cellStyle name="40% - Accent3 5 3" xfId="725"/>
    <cellStyle name="40% - Accent3 5 4" xfId="726"/>
    <cellStyle name="40% - Accent3 5 5" xfId="727"/>
    <cellStyle name="40% - Accent3 5 6" xfId="728"/>
    <cellStyle name="40% - Accent3 6 2" xfId="729"/>
    <cellStyle name="40% - Accent3 6 3" xfId="730"/>
    <cellStyle name="40% - Accent3 6 4" xfId="731"/>
    <cellStyle name="40% - Accent3 6 5" xfId="732"/>
    <cellStyle name="40% - Accent3 6 6" xfId="733"/>
    <cellStyle name="40% - Accent3 7 2" xfId="734"/>
    <cellStyle name="40% - Accent3 7 3" xfId="735"/>
    <cellStyle name="40% - Accent3 7 4" xfId="736"/>
    <cellStyle name="40% - Accent3 7 5" xfId="737"/>
    <cellStyle name="40% - Accent3 7 6" xfId="738"/>
    <cellStyle name="40% - Accent3 8 2" xfId="739"/>
    <cellStyle name="40% - Accent3 8 3" xfId="740"/>
    <cellStyle name="40% - Accent3 8 4" xfId="741"/>
    <cellStyle name="40% - Accent3 8 5" xfId="742"/>
    <cellStyle name="40% - Accent3 8 6" xfId="743"/>
    <cellStyle name="40% - Accent3 9 2" xfId="744"/>
    <cellStyle name="40% - Accent3 9 3" xfId="745"/>
    <cellStyle name="40% - Accent3 9 4" xfId="746"/>
    <cellStyle name="40% - Accent3 9 5" xfId="747"/>
    <cellStyle name="40% - Accent3 9 6" xfId="748"/>
    <cellStyle name="40% - Accent4 10 2" xfId="749"/>
    <cellStyle name="40% - Accent4 10 3" xfId="750"/>
    <cellStyle name="40% - Accent4 10 4" xfId="751"/>
    <cellStyle name="40% - Accent4 10 5" xfId="752"/>
    <cellStyle name="40% - Accent4 10 6" xfId="753"/>
    <cellStyle name="40% - Accent4 11 2" xfId="754"/>
    <cellStyle name="40% - Accent4 11 3" xfId="755"/>
    <cellStyle name="40% - Accent4 11 4" xfId="756"/>
    <cellStyle name="40% - Accent4 11 5" xfId="757"/>
    <cellStyle name="40% - Accent4 11 6" xfId="758"/>
    <cellStyle name="40% - Accent4 2" xfId="759"/>
    <cellStyle name="40% - Accent4 2 2" xfId="760"/>
    <cellStyle name="40% - Accent4 2 3" xfId="761"/>
    <cellStyle name="40% - Accent4 2 4" xfId="762"/>
    <cellStyle name="40% - Accent4 2 5" xfId="763"/>
    <cellStyle name="40% - Accent4 2 6" xfId="764"/>
    <cellStyle name="40% - Accent4 3" xfId="765"/>
    <cellStyle name="40% - Accent4 3 2" xfId="766"/>
    <cellStyle name="40% - Accent4 3 3" xfId="767"/>
    <cellStyle name="40% - Accent4 3 4" xfId="768"/>
    <cellStyle name="40% - Accent4 3 5" xfId="769"/>
    <cellStyle name="40% - Accent4 3 6" xfId="770"/>
    <cellStyle name="40% - Accent4 4 2" xfId="771"/>
    <cellStyle name="40% - Accent4 4 3" xfId="772"/>
    <cellStyle name="40% - Accent4 4 4" xfId="773"/>
    <cellStyle name="40% - Accent4 4 5" xfId="774"/>
    <cellStyle name="40% - Accent4 4 6" xfId="775"/>
    <cellStyle name="40% - Accent4 5 2" xfId="776"/>
    <cellStyle name="40% - Accent4 5 3" xfId="777"/>
    <cellStyle name="40% - Accent4 5 4" xfId="778"/>
    <cellStyle name="40% - Accent4 5 5" xfId="779"/>
    <cellStyle name="40% - Accent4 5 6" xfId="780"/>
    <cellStyle name="40% - Accent4 6 2" xfId="781"/>
    <cellStyle name="40% - Accent4 6 3" xfId="782"/>
    <cellStyle name="40% - Accent4 6 4" xfId="783"/>
    <cellStyle name="40% - Accent4 6 5" xfId="784"/>
    <cellStyle name="40% - Accent4 6 6" xfId="785"/>
    <cellStyle name="40% - Accent4 7 2" xfId="786"/>
    <cellStyle name="40% - Accent4 7 3" xfId="787"/>
    <cellStyle name="40% - Accent4 7 4" xfId="788"/>
    <cellStyle name="40% - Accent4 7 5" xfId="789"/>
    <cellStyle name="40% - Accent4 7 6" xfId="790"/>
    <cellStyle name="40% - Accent4 8 2" xfId="791"/>
    <cellStyle name="40% - Accent4 8 3" xfId="792"/>
    <cellStyle name="40% - Accent4 8 4" xfId="793"/>
    <cellStyle name="40% - Accent4 8 5" xfId="794"/>
    <cellStyle name="40% - Accent4 8 6" xfId="795"/>
    <cellStyle name="40% - Accent4 9 2" xfId="796"/>
    <cellStyle name="40% - Accent4 9 3" xfId="797"/>
    <cellStyle name="40% - Accent4 9 4" xfId="798"/>
    <cellStyle name="40% - Accent4 9 5" xfId="799"/>
    <cellStyle name="40% - Accent4 9 6" xfId="800"/>
    <cellStyle name="40% - Accent5 10 2" xfId="801"/>
    <cellStyle name="40% - Accent5 10 3" xfId="802"/>
    <cellStyle name="40% - Accent5 10 4" xfId="803"/>
    <cellStyle name="40% - Accent5 10 5" xfId="804"/>
    <cellStyle name="40% - Accent5 10 6" xfId="805"/>
    <cellStyle name="40% - Accent5 11 2" xfId="806"/>
    <cellStyle name="40% - Accent5 11 3" xfId="807"/>
    <cellStyle name="40% - Accent5 11 4" xfId="808"/>
    <cellStyle name="40% - Accent5 11 5" xfId="809"/>
    <cellStyle name="40% - Accent5 11 6" xfId="810"/>
    <cellStyle name="40% - Accent5 2" xfId="811"/>
    <cellStyle name="40% - Accent5 2 2" xfId="812"/>
    <cellStyle name="40% - Accent5 2 3" xfId="813"/>
    <cellStyle name="40% - Accent5 2 4" xfId="814"/>
    <cellStyle name="40% - Accent5 2 5" xfId="815"/>
    <cellStyle name="40% - Accent5 2 6" xfId="816"/>
    <cellStyle name="40% - Accent5 3" xfId="817"/>
    <cellStyle name="40% - Accent5 3 2" xfId="818"/>
    <cellStyle name="40% - Accent5 3 3" xfId="819"/>
    <cellStyle name="40% - Accent5 3 4" xfId="820"/>
    <cellStyle name="40% - Accent5 3 5" xfId="821"/>
    <cellStyle name="40% - Accent5 3 6" xfId="822"/>
    <cellStyle name="40% - Accent5 4 2" xfId="823"/>
    <cellStyle name="40% - Accent5 4 3" xfId="824"/>
    <cellStyle name="40% - Accent5 4 4" xfId="825"/>
    <cellStyle name="40% - Accent5 4 5" xfId="826"/>
    <cellStyle name="40% - Accent5 4 6" xfId="827"/>
    <cellStyle name="40% - Accent5 5 2" xfId="828"/>
    <cellStyle name="40% - Accent5 5 3" xfId="829"/>
    <cellStyle name="40% - Accent5 5 4" xfId="830"/>
    <cellStyle name="40% - Accent5 5 5" xfId="831"/>
    <cellStyle name="40% - Accent5 5 6" xfId="832"/>
    <cellStyle name="40% - Accent5 6 2" xfId="833"/>
    <cellStyle name="40% - Accent5 6 3" xfId="834"/>
    <cellStyle name="40% - Accent5 6 4" xfId="835"/>
    <cellStyle name="40% - Accent5 6 5" xfId="836"/>
    <cellStyle name="40% - Accent5 6 6" xfId="837"/>
    <cellStyle name="40% - Accent5 7 2" xfId="838"/>
    <cellStyle name="40% - Accent5 7 3" xfId="839"/>
    <cellStyle name="40% - Accent5 7 4" xfId="840"/>
    <cellStyle name="40% - Accent5 7 5" xfId="841"/>
    <cellStyle name="40% - Accent5 7 6" xfId="842"/>
    <cellStyle name="40% - Accent5 8 2" xfId="843"/>
    <cellStyle name="40% - Accent5 8 3" xfId="844"/>
    <cellStyle name="40% - Accent5 8 4" xfId="845"/>
    <cellStyle name="40% - Accent5 8 5" xfId="846"/>
    <cellStyle name="40% - Accent5 8 6" xfId="847"/>
    <cellStyle name="40% - Accent5 9 2" xfId="848"/>
    <cellStyle name="40% - Accent5 9 3" xfId="849"/>
    <cellStyle name="40% - Accent5 9 4" xfId="850"/>
    <cellStyle name="40% - Accent5 9 5" xfId="851"/>
    <cellStyle name="40% - Accent5 9 6" xfId="852"/>
    <cellStyle name="40% - Accent6 10 2" xfId="853"/>
    <cellStyle name="40% - Accent6 10 3" xfId="854"/>
    <cellStyle name="40% - Accent6 10 4" xfId="855"/>
    <cellStyle name="40% - Accent6 10 5" xfId="856"/>
    <cellStyle name="40% - Accent6 10 6" xfId="857"/>
    <cellStyle name="40% - Accent6 11 2" xfId="858"/>
    <cellStyle name="40% - Accent6 11 3" xfId="859"/>
    <cellStyle name="40% - Accent6 11 4" xfId="860"/>
    <cellStyle name="40% - Accent6 11 5" xfId="861"/>
    <cellStyle name="40% - Accent6 11 6" xfId="862"/>
    <cellStyle name="40% - Accent6 2" xfId="863"/>
    <cellStyle name="40% - Accent6 2 2" xfId="864"/>
    <cellStyle name="40% - Accent6 2 3" xfId="865"/>
    <cellStyle name="40% - Accent6 2 4" xfId="866"/>
    <cellStyle name="40% - Accent6 2 5" xfId="867"/>
    <cellStyle name="40% - Accent6 2 6" xfId="868"/>
    <cellStyle name="40% - Accent6 3" xfId="869"/>
    <cellStyle name="40% - Accent6 3 2" xfId="870"/>
    <cellStyle name="40% - Accent6 3 3" xfId="871"/>
    <cellStyle name="40% - Accent6 3 4" xfId="872"/>
    <cellStyle name="40% - Accent6 3 5" xfId="873"/>
    <cellStyle name="40% - Accent6 3 6" xfId="874"/>
    <cellStyle name="40% - Accent6 4 2" xfId="875"/>
    <cellStyle name="40% - Accent6 4 3" xfId="876"/>
    <cellStyle name="40% - Accent6 4 4" xfId="877"/>
    <cellStyle name="40% - Accent6 4 5" xfId="878"/>
    <cellStyle name="40% - Accent6 4 6" xfId="879"/>
    <cellStyle name="40% - Accent6 5 2" xfId="880"/>
    <cellStyle name="40% - Accent6 5 3" xfId="881"/>
    <cellStyle name="40% - Accent6 5 4" xfId="882"/>
    <cellStyle name="40% - Accent6 5 5" xfId="883"/>
    <cellStyle name="40% - Accent6 5 6" xfId="884"/>
    <cellStyle name="40% - Accent6 6 2" xfId="885"/>
    <cellStyle name="40% - Accent6 6 3" xfId="886"/>
    <cellStyle name="40% - Accent6 6 4" xfId="887"/>
    <cellStyle name="40% - Accent6 6 5" xfId="888"/>
    <cellStyle name="40% - Accent6 6 6" xfId="889"/>
    <cellStyle name="40% - Accent6 7 2" xfId="890"/>
    <cellStyle name="40% - Accent6 7 3" xfId="891"/>
    <cellStyle name="40% - Accent6 7 4" xfId="892"/>
    <cellStyle name="40% - Accent6 7 5" xfId="893"/>
    <cellStyle name="40% - Accent6 7 6" xfId="894"/>
    <cellStyle name="40% - Accent6 8 2" xfId="895"/>
    <cellStyle name="40% - Accent6 8 3" xfId="896"/>
    <cellStyle name="40% - Accent6 8 4" xfId="897"/>
    <cellStyle name="40% - Accent6 8 5" xfId="898"/>
    <cellStyle name="40% - Accent6 8 6" xfId="899"/>
    <cellStyle name="40% - Accent6 9 2" xfId="900"/>
    <cellStyle name="40% - Accent6 9 3" xfId="901"/>
    <cellStyle name="40% - Accent6 9 4" xfId="902"/>
    <cellStyle name="40% - Accent6 9 5" xfId="903"/>
    <cellStyle name="40% - Accent6 9 6" xfId="904"/>
    <cellStyle name="5" xfId="41"/>
    <cellStyle name="6" xfId="42"/>
    <cellStyle name="60% - Accent1 10 2" xfId="905"/>
    <cellStyle name="60% - Accent1 10 3" xfId="906"/>
    <cellStyle name="60% - Accent1 10 4" xfId="907"/>
    <cellStyle name="60% - Accent1 10 5" xfId="908"/>
    <cellStyle name="60% - Accent1 10 6" xfId="909"/>
    <cellStyle name="60% - Accent1 11 2" xfId="910"/>
    <cellStyle name="60% - Accent1 11 3" xfId="911"/>
    <cellStyle name="60% - Accent1 11 4" xfId="912"/>
    <cellStyle name="60% - Accent1 11 5" xfId="913"/>
    <cellStyle name="60% - Accent1 11 6" xfId="914"/>
    <cellStyle name="60% - Accent1 2" xfId="915"/>
    <cellStyle name="60% - Accent1 2 2" xfId="916"/>
    <cellStyle name="60% - Accent1 2 3" xfId="917"/>
    <cellStyle name="60% - Accent1 2 4" xfId="918"/>
    <cellStyle name="60% - Accent1 2 5" xfId="919"/>
    <cellStyle name="60% - Accent1 2 6" xfId="920"/>
    <cellStyle name="60% - Accent1 3" xfId="921"/>
    <cellStyle name="60% - Accent1 3 2" xfId="922"/>
    <cellStyle name="60% - Accent1 3 3" xfId="923"/>
    <cellStyle name="60% - Accent1 3 4" xfId="924"/>
    <cellStyle name="60% - Accent1 3 5" xfId="925"/>
    <cellStyle name="60% - Accent1 3 6" xfId="926"/>
    <cellStyle name="60% - Accent1 4 2" xfId="927"/>
    <cellStyle name="60% - Accent1 4 3" xfId="928"/>
    <cellStyle name="60% - Accent1 4 4" xfId="929"/>
    <cellStyle name="60% - Accent1 4 5" xfId="930"/>
    <cellStyle name="60% - Accent1 4 6" xfId="931"/>
    <cellStyle name="60% - Accent1 5 2" xfId="932"/>
    <cellStyle name="60% - Accent1 5 3" xfId="933"/>
    <cellStyle name="60% - Accent1 5 4" xfId="934"/>
    <cellStyle name="60% - Accent1 5 5" xfId="935"/>
    <cellStyle name="60% - Accent1 5 6" xfId="936"/>
    <cellStyle name="60% - Accent1 6 2" xfId="937"/>
    <cellStyle name="60% - Accent1 6 3" xfId="938"/>
    <cellStyle name="60% - Accent1 6 4" xfId="939"/>
    <cellStyle name="60% - Accent1 6 5" xfId="940"/>
    <cellStyle name="60% - Accent1 6 6" xfId="941"/>
    <cellStyle name="60% - Accent1 7 2" xfId="942"/>
    <cellStyle name="60% - Accent1 7 3" xfId="943"/>
    <cellStyle name="60% - Accent1 7 4" xfId="944"/>
    <cellStyle name="60% - Accent1 7 5" xfId="945"/>
    <cellStyle name="60% - Accent1 7 6" xfId="946"/>
    <cellStyle name="60% - Accent1 8 2" xfId="947"/>
    <cellStyle name="60% - Accent1 8 3" xfId="948"/>
    <cellStyle name="60% - Accent1 8 4" xfId="949"/>
    <cellStyle name="60% - Accent1 8 5" xfId="950"/>
    <cellStyle name="60% - Accent1 8 6" xfId="951"/>
    <cellStyle name="60% - Accent1 9 2" xfId="952"/>
    <cellStyle name="60% - Accent1 9 3" xfId="953"/>
    <cellStyle name="60% - Accent1 9 4" xfId="954"/>
    <cellStyle name="60% - Accent1 9 5" xfId="955"/>
    <cellStyle name="60% - Accent1 9 6" xfId="956"/>
    <cellStyle name="60% - Accent2 10 2" xfId="957"/>
    <cellStyle name="60% - Accent2 10 3" xfId="958"/>
    <cellStyle name="60% - Accent2 10 4" xfId="959"/>
    <cellStyle name="60% - Accent2 10 5" xfId="960"/>
    <cellStyle name="60% - Accent2 10 6" xfId="961"/>
    <cellStyle name="60% - Accent2 11 2" xfId="962"/>
    <cellStyle name="60% - Accent2 11 3" xfId="963"/>
    <cellStyle name="60% - Accent2 11 4" xfId="964"/>
    <cellStyle name="60% - Accent2 11 5" xfId="965"/>
    <cellStyle name="60% - Accent2 11 6" xfId="966"/>
    <cellStyle name="60% - Accent2 2" xfId="967"/>
    <cellStyle name="60% - Accent2 2 2" xfId="968"/>
    <cellStyle name="60% - Accent2 2 3" xfId="969"/>
    <cellStyle name="60% - Accent2 2 4" xfId="970"/>
    <cellStyle name="60% - Accent2 2 5" xfId="971"/>
    <cellStyle name="60% - Accent2 2 6" xfId="972"/>
    <cellStyle name="60% - Accent2 3" xfId="973"/>
    <cellStyle name="60% - Accent2 3 2" xfId="974"/>
    <cellStyle name="60% - Accent2 3 3" xfId="975"/>
    <cellStyle name="60% - Accent2 3 4" xfId="976"/>
    <cellStyle name="60% - Accent2 3 5" xfId="977"/>
    <cellStyle name="60% - Accent2 3 6" xfId="978"/>
    <cellStyle name="60% - Accent2 4 2" xfId="979"/>
    <cellStyle name="60% - Accent2 4 3" xfId="980"/>
    <cellStyle name="60% - Accent2 4 4" xfId="981"/>
    <cellStyle name="60% - Accent2 4 5" xfId="982"/>
    <cellStyle name="60% - Accent2 4 6" xfId="983"/>
    <cellStyle name="60% - Accent2 5 2" xfId="984"/>
    <cellStyle name="60% - Accent2 5 3" xfId="985"/>
    <cellStyle name="60% - Accent2 5 4" xfId="986"/>
    <cellStyle name="60% - Accent2 5 5" xfId="987"/>
    <cellStyle name="60% - Accent2 5 6" xfId="988"/>
    <cellStyle name="60% - Accent2 6 2" xfId="989"/>
    <cellStyle name="60% - Accent2 6 3" xfId="990"/>
    <cellStyle name="60% - Accent2 6 4" xfId="991"/>
    <cellStyle name="60% - Accent2 6 5" xfId="992"/>
    <cellStyle name="60% - Accent2 6 6" xfId="993"/>
    <cellStyle name="60% - Accent2 7 2" xfId="994"/>
    <cellStyle name="60% - Accent2 7 3" xfId="995"/>
    <cellStyle name="60% - Accent2 7 4" xfId="996"/>
    <cellStyle name="60% - Accent2 7 5" xfId="997"/>
    <cellStyle name="60% - Accent2 7 6" xfId="998"/>
    <cellStyle name="60% - Accent2 8 2" xfId="999"/>
    <cellStyle name="60% - Accent2 8 3" xfId="1000"/>
    <cellStyle name="60% - Accent2 8 4" xfId="1001"/>
    <cellStyle name="60% - Accent2 8 5" xfId="1002"/>
    <cellStyle name="60% - Accent2 8 6" xfId="1003"/>
    <cellStyle name="60% - Accent2 9 2" xfId="1004"/>
    <cellStyle name="60% - Accent2 9 3" xfId="1005"/>
    <cellStyle name="60% - Accent2 9 4" xfId="1006"/>
    <cellStyle name="60% - Accent2 9 5" xfId="1007"/>
    <cellStyle name="60% - Accent2 9 6" xfId="1008"/>
    <cellStyle name="60% - Accent3 10 2" xfId="1009"/>
    <cellStyle name="60% - Accent3 10 3" xfId="1010"/>
    <cellStyle name="60% - Accent3 10 4" xfId="1011"/>
    <cellStyle name="60% - Accent3 10 5" xfId="1012"/>
    <cellStyle name="60% - Accent3 10 6" xfId="1013"/>
    <cellStyle name="60% - Accent3 11 2" xfId="1014"/>
    <cellStyle name="60% - Accent3 11 3" xfId="1015"/>
    <cellStyle name="60% - Accent3 11 4" xfId="1016"/>
    <cellStyle name="60% - Accent3 11 5" xfId="1017"/>
    <cellStyle name="60% - Accent3 11 6" xfId="1018"/>
    <cellStyle name="60% - Accent3 2" xfId="1019"/>
    <cellStyle name="60% - Accent3 2 2" xfId="1020"/>
    <cellStyle name="60% - Accent3 2 3" xfId="1021"/>
    <cellStyle name="60% - Accent3 2 4" xfId="1022"/>
    <cellStyle name="60% - Accent3 2 5" xfId="1023"/>
    <cellStyle name="60% - Accent3 2 6" xfId="1024"/>
    <cellStyle name="60% - Accent3 3" xfId="1025"/>
    <cellStyle name="60% - Accent3 3 2" xfId="1026"/>
    <cellStyle name="60% - Accent3 3 3" xfId="1027"/>
    <cellStyle name="60% - Accent3 3 4" xfId="1028"/>
    <cellStyle name="60% - Accent3 3 5" xfId="1029"/>
    <cellStyle name="60% - Accent3 3 6" xfId="1030"/>
    <cellStyle name="60% - Accent3 4 2" xfId="1031"/>
    <cellStyle name="60% - Accent3 4 3" xfId="1032"/>
    <cellStyle name="60% - Accent3 4 4" xfId="1033"/>
    <cellStyle name="60% - Accent3 4 5" xfId="1034"/>
    <cellStyle name="60% - Accent3 4 6" xfId="1035"/>
    <cellStyle name="60% - Accent3 5 2" xfId="1036"/>
    <cellStyle name="60% - Accent3 5 3" xfId="1037"/>
    <cellStyle name="60% - Accent3 5 4" xfId="1038"/>
    <cellStyle name="60% - Accent3 5 5" xfId="1039"/>
    <cellStyle name="60% - Accent3 5 6" xfId="1040"/>
    <cellStyle name="60% - Accent3 6 2" xfId="1041"/>
    <cellStyle name="60% - Accent3 6 3" xfId="1042"/>
    <cellStyle name="60% - Accent3 6 4" xfId="1043"/>
    <cellStyle name="60% - Accent3 6 5" xfId="1044"/>
    <cellStyle name="60% - Accent3 6 6" xfId="1045"/>
    <cellStyle name="60% - Accent3 7 2" xfId="1046"/>
    <cellStyle name="60% - Accent3 7 3" xfId="1047"/>
    <cellStyle name="60% - Accent3 7 4" xfId="1048"/>
    <cellStyle name="60% - Accent3 7 5" xfId="1049"/>
    <cellStyle name="60% - Accent3 7 6" xfId="1050"/>
    <cellStyle name="60% - Accent3 8 2" xfId="1051"/>
    <cellStyle name="60% - Accent3 8 3" xfId="1052"/>
    <cellStyle name="60% - Accent3 8 4" xfId="1053"/>
    <cellStyle name="60% - Accent3 8 5" xfId="1054"/>
    <cellStyle name="60% - Accent3 8 6" xfId="1055"/>
    <cellStyle name="60% - Accent3 9 2" xfId="1056"/>
    <cellStyle name="60% - Accent3 9 3" xfId="1057"/>
    <cellStyle name="60% - Accent3 9 4" xfId="1058"/>
    <cellStyle name="60% - Accent3 9 5" xfId="1059"/>
    <cellStyle name="60% - Accent3 9 6" xfId="1060"/>
    <cellStyle name="60% - Accent4 10 2" xfId="1061"/>
    <cellStyle name="60% - Accent4 10 3" xfId="1062"/>
    <cellStyle name="60% - Accent4 10 4" xfId="1063"/>
    <cellStyle name="60% - Accent4 10 5" xfId="1064"/>
    <cellStyle name="60% - Accent4 10 6" xfId="1065"/>
    <cellStyle name="60% - Accent4 11 2" xfId="1066"/>
    <cellStyle name="60% - Accent4 11 3" xfId="1067"/>
    <cellStyle name="60% - Accent4 11 4" xfId="1068"/>
    <cellStyle name="60% - Accent4 11 5" xfId="1069"/>
    <cellStyle name="60% - Accent4 11 6" xfId="1070"/>
    <cellStyle name="60% - Accent4 2" xfId="1071"/>
    <cellStyle name="60% - Accent4 2 2" xfId="1072"/>
    <cellStyle name="60% - Accent4 2 3" xfId="1073"/>
    <cellStyle name="60% - Accent4 2 4" xfId="1074"/>
    <cellStyle name="60% - Accent4 2 5" xfId="1075"/>
    <cellStyle name="60% - Accent4 2 6" xfId="1076"/>
    <cellStyle name="60% - Accent4 3" xfId="1077"/>
    <cellStyle name="60% - Accent4 3 2" xfId="1078"/>
    <cellStyle name="60% - Accent4 3 3" xfId="1079"/>
    <cellStyle name="60% - Accent4 3 4" xfId="1080"/>
    <cellStyle name="60% - Accent4 3 5" xfId="1081"/>
    <cellStyle name="60% - Accent4 3 6" xfId="1082"/>
    <cellStyle name="60% - Accent4 4 2" xfId="1083"/>
    <cellStyle name="60% - Accent4 4 3" xfId="1084"/>
    <cellStyle name="60% - Accent4 4 4" xfId="1085"/>
    <cellStyle name="60% - Accent4 4 5" xfId="1086"/>
    <cellStyle name="60% - Accent4 4 6" xfId="1087"/>
    <cellStyle name="60% - Accent4 5 2" xfId="1088"/>
    <cellStyle name="60% - Accent4 5 3" xfId="1089"/>
    <cellStyle name="60% - Accent4 5 4" xfId="1090"/>
    <cellStyle name="60% - Accent4 5 5" xfId="1091"/>
    <cellStyle name="60% - Accent4 5 6" xfId="1092"/>
    <cellStyle name="60% - Accent4 6 2" xfId="1093"/>
    <cellStyle name="60% - Accent4 6 3" xfId="1094"/>
    <cellStyle name="60% - Accent4 6 4" xfId="1095"/>
    <cellStyle name="60% - Accent4 6 5" xfId="1096"/>
    <cellStyle name="60% - Accent4 6 6" xfId="1097"/>
    <cellStyle name="60% - Accent4 7 2" xfId="1098"/>
    <cellStyle name="60% - Accent4 7 3" xfId="1099"/>
    <cellStyle name="60% - Accent4 7 4" xfId="1100"/>
    <cellStyle name="60% - Accent4 7 5" xfId="1101"/>
    <cellStyle name="60% - Accent4 7 6" xfId="1102"/>
    <cellStyle name="60% - Accent4 8 2" xfId="1103"/>
    <cellStyle name="60% - Accent4 8 3" xfId="1104"/>
    <cellStyle name="60% - Accent4 8 4" xfId="1105"/>
    <cellStyle name="60% - Accent4 8 5" xfId="1106"/>
    <cellStyle name="60% - Accent4 8 6" xfId="1107"/>
    <cellStyle name="60% - Accent4 9 2" xfId="1108"/>
    <cellStyle name="60% - Accent4 9 3" xfId="1109"/>
    <cellStyle name="60% - Accent4 9 4" xfId="1110"/>
    <cellStyle name="60% - Accent4 9 5" xfId="1111"/>
    <cellStyle name="60% - Accent4 9 6" xfId="1112"/>
    <cellStyle name="60% - Accent5 10 2" xfId="1113"/>
    <cellStyle name="60% - Accent5 10 3" xfId="1114"/>
    <cellStyle name="60% - Accent5 10 4" xfId="1115"/>
    <cellStyle name="60% - Accent5 10 5" xfId="1116"/>
    <cellStyle name="60% - Accent5 10 6" xfId="1117"/>
    <cellStyle name="60% - Accent5 11 2" xfId="1118"/>
    <cellStyle name="60% - Accent5 11 3" xfId="1119"/>
    <cellStyle name="60% - Accent5 11 4" xfId="1120"/>
    <cellStyle name="60% - Accent5 11 5" xfId="1121"/>
    <cellStyle name="60% - Accent5 11 6" xfId="1122"/>
    <cellStyle name="60% - Accent5 2" xfId="1123"/>
    <cellStyle name="60% - Accent5 2 2" xfId="1124"/>
    <cellStyle name="60% - Accent5 2 3" xfId="1125"/>
    <cellStyle name="60% - Accent5 2 4" xfId="1126"/>
    <cellStyle name="60% - Accent5 2 5" xfId="1127"/>
    <cellStyle name="60% - Accent5 2 6" xfId="1128"/>
    <cellStyle name="60% - Accent5 3" xfId="1129"/>
    <cellStyle name="60% - Accent5 3 2" xfId="1130"/>
    <cellStyle name="60% - Accent5 3 3" xfId="1131"/>
    <cellStyle name="60% - Accent5 3 4" xfId="1132"/>
    <cellStyle name="60% - Accent5 3 5" xfId="1133"/>
    <cellStyle name="60% - Accent5 3 6" xfId="1134"/>
    <cellStyle name="60% - Accent5 4 2" xfId="1135"/>
    <cellStyle name="60% - Accent5 4 3" xfId="1136"/>
    <cellStyle name="60% - Accent5 4 4" xfId="1137"/>
    <cellStyle name="60% - Accent5 4 5" xfId="1138"/>
    <cellStyle name="60% - Accent5 4 6" xfId="1139"/>
    <cellStyle name="60% - Accent5 5 2" xfId="1140"/>
    <cellStyle name="60% - Accent5 5 3" xfId="1141"/>
    <cellStyle name="60% - Accent5 5 4" xfId="1142"/>
    <cellStyle name="60% - Accent5 5 5" xfId="1143"/>
    <cellStyle name="60% - Accent5 5 6" xfId="1144"/>
    <cellStyle name="60% - Accent5 6 2" xfId="1145"/>
    <cellStyle name="60% - Accent5 6 3" xfId="1146"/>
    <cellStyle name="60% - Accent5 6 4" xfId="1147"/>
    <cellStyle name="60% - Accent5 6 5" xfId="1148"/>
    <cellStyle name="60% - Accent5 6 6" xfId="1149"/>
    <cellStyle name="60% - Accent5 7 2" xfId="1150"/>
    <cellStyle name="60% - Accent5 7 3" xfId="1151"/>
    <cellStyle name="60% - Accent5 7 4" xfId="1152"/>
    <cellStyle name="60% - Accent5 7 5" xfId="1153"/>
    <cellStyle name="60% - Accent5 7 6" xfId="1154"/>
    <cellStyle name="60% - Accent5 8 2" xfId="1155"/>
    <cellStyle name="60% - Accent5 8 3" xfId="1156"/>
    <cellStyle name="60% - Accent5 8 4" xfId="1157"/>
    <cellStyle name="60% - Accent5 8 5" xfId="1158"/>
    <cellStyle name="60% - Accent5 8 6" xfId="1159"/>
    <cellStyle name="60% - Accent5 9 2" xfId="1160"/>
    <cellStyle name="60% - Accent5 9 3" xfId="1161"/>
    <cellStyle name="60% - Accent5 9 4" xfId="1162"/>
    <cellStyle name="60% - Accent5 9 5" xfId="1163"/>
    <cellStyle name="60% - Accent5 9 6" xfId="1164"/>
    <cellStyle name="60% - Accent6 10 2" xfId="1165"/>
    <cellStyle name="60% - Accent6 10 3" xfId="1166"/>
    <cellStyle name="60% - Accent6 10 4" xfId="1167"/>
    <cellStyle name="60% - Accent6 10 5" xfId="1168"/>
    <cellStyle name="60% - Accent6 10 6" xfId="1169"/>
    <cellStyle name="60% - Accent6 11 2" xfId="1170"/>
    <cellStyle name="60% - Accent6 11 3" xfId="1171"/>
    <cellStyle name="60% - Accent6 11 4" xfId="1172"/>
    <cellStyle name="60% - Accent6 11 5" xfId="1173"/>
    <cellStyle name="60% - Accent6 11 6" xfId="1174"/>
    <cellStyle name="60% - Accent6 2" xfId="1175"/>
    <cellStyle name="60% - Accent6 2 2" xfId="1176"/>
    <cellStyle name="60% - Accent6 2 3" xfId="1177"/>
    <cellStyle name="60% - Accent6 2 4" xfId="1178"/>
    <cellStyle name="60% - Accent6 2 5" xfId="1179"/>
    <cellStyle name="60% - Accent6 2 6" xfId="1180"/>
    <cellStyle name="60% - Accent6 3" xfId="1181"/>
    <cellStyle name="60% - Accent6 3 2" xfId="1182"/>
    <cellStyle name="60% - Accent6 3 3" xfId="1183"/>
    <cellStyle name="60% - Accent6 3 4" xfId="1184"/>
    <cellStyle name="60% - Accent6 3 5" xfId="1185"/>
    <cellStyle name="60% - Accent6 3 6" xfId="1186"/>
    <cellStyle name="60% - Accent6 4 2" xfId="1187"/>
    <cellStyle name="60% - Accent6 4 3" xfId="1188"/>
    <cellStyle name="60% - Accent6 4 4" xfId="1189"/>
    <cellStyle name="60% - Accent6 4 5" xfId="1190"/>
    <cellStyle name="60% - Accent6 4 6" xfId="1191"/>
    <cellStyle name="60% - Accent6 5 2" xfId="1192"/>
    <cellStyle name="60% - Accent6 5 3" xfId="1193"/>
    <cellStyle name="60% - Accent6 5 4" xfId="1194"/>
    <cellStyle name="60% - Accent6 5 5" xfId="1195"/>
    <cellStyle name="60% - Accent6 5 6" xfId="1196"/>
    <cellStyle name="60% - Accent6 6 2" xfId="1197"/>
    <cellStyle name="60% - Accent6 6 3" xfId="1198"/>
    <cellStyle name="60% - Accent6 6 4" xfId="1199"/>
    <cellStyle name="60% - Accent6 6 5" xfId="1200"/>
    <cellStyle name="60% - Accent6 6 6" xfId="1201"/>
    <cellStyle name="60% - Accent6 7 2" xfId="1202"/>
    <cellStyle name="60% - Accent6 7 3" xfId="1203"/>
    <cellStyle name="60% - Accent6 7 4" xfId="1204"/>
    <cellStyle name="60% - Accent6 7 5" xfId="1205"/>
    <cellStyle name="60% - Accent6 7 6" xfId="1206"/>
    <cellStyle name="60% - Accent6 8 2" xfId="1207"/>
    <cellStyle name="60% - Accent6 8 3" xfId="1208"/>
    <cellStyle name="60% - Accent6 8 4" xfId="1209"/>
    <cellStyle name="60% - Accent6 8 5" xfId="1210"/>
    <cellStyle name="60% - Accent6 8 6" xfId="1211"/>
    <cellStyle name="60% - Accent6 9 2" xfId="1212"/>
    <cellStyle name="60% - Accent6 9 3" xfId="1213"/>
    <cellStyle name="60% - Accent6 9 4" xfId="1214"/>
    <cellStyle name="60% - Accent6 9 5" xfId="1215"/>
    <cellStyle name="60% - Accent6 9 6" xfId="1216"/>
    <cellStyle name="7" xfId="43"/>
    <cellStyle name="8" xfId="44"/>
    <cellStyle name="9" xfId="45"/>
    <cellStyle name="Accent1 - 20%" xfId="46"/>
    <cellStyle name="Accent1 - 40%" xfId="47"/>
    <cellStyle name="Accent1 - 60%" xfId="48"/>
    <cellStyle name="Accent1 10 2" xfId="1217"/>
    <cellStyle name="Accent1 10 3" xfId="1218"/>
    <cellStyle name="Accent1 10 4" xfId="1219"/>
    <cellStyle name="Accent1 10 5" xfId="1220"/>
    <cellStyle name="Accent1 10 6" xfId="1221"/>
    <cellStyle name="Accent1 11 2" xfId="1222"/>
    <cellStyle name="Accent1 11 3" xfId="1223"/>
    <cellStyle name="Accent1 11 4" xfId="1224"/>
    <cellStyle name="Accent1 11 5" xfId="1225"/>
    <cellStyle name="Accent1 11 6" xfId="1226"/>
    <cellStyle name="Accent1 2" xfId="49"/>
    <cellStyle name="Accent1 2 2" xfId="1227"/>
    <cellStyle name="Accent1 2 3" xfId="1228"/>
    <cellStyle name="Accent1 2 4" xfId="1229"/>
    <cellStyle name="Accent1 2 5" xfId="1230"/>
    <cellStyle name="Accent1 2 6" xfId="1231"/>
    <cellStyle name="Accent1 3" xfId="50"/>
    <cellStyle name="Accent1 3 2" xfId="1233"/>
    <cellStyle name="Accent1 3 3" xfId="1234"/>
    <cellStyle name="Accent1 3 4" xfId="1235"/>
    <cellStyle name="Accent1 3 5" xfId="1236"/>
    <cellStyle name="Accent1 3 6" xfId="1237"/>
    <cellStyle name="Accent1 3 7" xfId="1238"/>
    <cellStyle name="Accent1 3 8" xfId="1232"/>
    <cellStyle name="Accent1 4" xfId="51"/>
    <cellStyle name="Accent1 4 2" xfId="1240"/>
    <cellStyle name="Accent1 4 3" xfId="1241"/>
    <cellStyle name="Accent1 4 4" xfId="1242"/>
    <cellStyle name="Accent1 4 5" xfId="1243"/>
    <cellStyle name="Accent1 4 6" xfId="1244"/>
    <cellStyle name="Accent1 4 7" xfId="1245"/>
    <cellStyle name="Accent1 4 8" xfId="1239"/>
    <cellStyle name="Accent1 5" xfId="52"/>
    <cellStyle name="Accent1 5 2" xfId="1246"/>
    <cellStyle name="Accent1 5 3" xfId="1247"/>
    <cellStyle name="Accent1 5 4" xfId="1248"/>
    <cellStyle name="Accent1 5 5" xfId="1249"/>
    <cellStyle name="Accent1 5 6" xfId="1250"/>
    <cellStyle name="Accent1 6" xfId="53"/>
    <cellStyle name="Accent1 6 2" xfId="1251"/>
    <cellStyle name="Accent1 6 3" xfId="1252"/>
    <cellStyle name="Accent1 6 4" xfId="1253"/>
    <cellStyle name="Accent1 6 5" xfId="1254"/>
    <cellStyle name="Accent1 6 6" xfId="1255"/>
    <cellStyle name="Accent1 7" xfId="54"/>
    <cellStyle name="Accent1 7 2" xfId="1256"/>
    <cellStyle name="Accent1 7 3" xfId="1257"/>
    <cellStyle name="Accent1 7 4" xfId="1258"/>
    <cellStyle name="Accent1 7 5" xfId="1259"/>
    <cellStyle name="Accent1 7 6" xfId="1260"/>
    <cellStyle name="Accent1 8 2" xfId="1261"/>
    <cellStyle name="Accent1 8 3" xfId="1262"/>
    <cellStyle name="Accent1 8 4" xfId="1263"/>
    <cellStyle name="Accent1 8 5" xfId="1264"/>
    <cellStyle name="Accent1 8 6" xfId="1265"/>
    <cellStyle name="Accent1 9 2" xfId="1266"/>
    <cellStyle name="Accent1 9 3" xfId="1267"/>
    <cellStyle name="Accent1 9 4" xfId="1268"/>
    <cellStyle name="Accent1 9 5" xfId="1269"/>
    <cellStyle name="Accent1 9 6" xfId="1270"/>
    <cellStyle name="Accent2 - 20%" xfId="55"/>
    <cellStyle name="Accent2 - 40%" xfId="56"/>
    <cellStyle name="Accent2 - 60%" xfId="57"/>
    <cellStyle name="Accent2 10 2" xfId="1271"/>
    <cellStyle name="Accent2 10 3" xfId="1272"/>
    <cellStyle name="Accent2 10 4" xfId="1273"/>
    <cellStyle name="Accent2 10 5" xfId="1274"/>
    <cellStyle name="Accent2 10 6" xfId="1275"/>
    <cellStyle name="Accent2 11 2" xfId="1276"/>
    <cellStyle name="Accent2 11 3" xfId="1277"/>
    <cellStyle name="Accent2 11 4" xfId="1278"/>
    <cellStyle name="Accent2 11 5" xfId="1279"/>
    <cellStyle name="Accent2 11 6" xfId="1280"/>
    <cellStyle name="Accent2 2" xfId="58"/>
    <cellStyle name="Accent2 2 2" xfId="1281"/>
    <cellStyle name="Accent2 2 3" xfId="1282"/>
    <cellStyle name="Accent2 2 4" xfId="1283"/>
    <cellStyle name="Accent2 2 5" xfId="1284"/>
    <cellStyle name="Accent2 2 6" xfId="1285"/>
    <cellStyle name="Accent2 3" xfId="59"/>
    <cellStyle name="Accent2 3 2" xfId="1287"/>
    <cellStyle name="Accent2 3 3" xfId="1288"/>
    <cellStyle name="Accent2 3 4" xfId="1289"/>
    <cellStyle name="Accent2 3 5" xfId="1290"/>
    <cellStyle name="Accent2 3 6" xfId="1291"/>
    <cellStyle name="Accent2 3 7" xfId="1292"/>
    <cellStyle name="Accent2 3 8" xfId="1286"/>
    <cellStyle name="Accent2 4" xfId="60"/>
    <cellStyle name="Accent2 4 2" xfId="1294"/>
    <cellStyle name="Accent2 4 3" xfId="1295"/>
    <cellStyle name="Accent2 4 4" xfId="1296"/>
    <cellStyle name="Accent2 4 5" xfId="1297"/>
    <cellStyle name="Accent2 4 6" xfId="1298"/>
    <cellStyle name="Accent2 4 7" xfId="1299"/>
    <cellStyle name="Accent2 4 8" xfId="1293"/>
    <cellStyle name="Accent2 5" xfId="61"/>
    <cellStyle name="Accent2 5 2" xfId="1300"/>
    <cellStyle name="Accent2 5 3" xfId="1301"/>
    <cellStyle name="Accent2 5 4" xfId="1302"/>
    <cellStyle name="Accent2 5 5" xfId="1303"/>
    <cellStyle name="Accent2 5 6" xfId="1304"/>
    <cellStyle name="Accent2 6" xfId="62"/>
    <cellStyle name="Accent2 6 2" xfId="1305"/>
    <cellStyle name="Accent2 6 3" xfId="1306"/>
    <cellStyle name="Accent2 6 4" xfId="1307"/>
    <cellStyle name="Accent2 6 5" xfId="1308"/>
    <cellStyle name="Accent2 6 6" xfId="1309"/>
    <cellStyle name="Accent2 7" xfId="63"/>
    <cellStyle name="Accent2 7 2" xfId="1310"/>
    <cellStyle name="Accent2 7 3" xfId="1311"/>
    <cellStyle name="Accent2 7 4" xfId="1312"/>
    <cellStyle name="Accent2 7 5" xfId="1313"/>
    <cellStyle name="Accent2 7 6" xfId="1314"/>
    <cellStyle name="Accent2 8 2" xfId="1315"/>
    <cellStyle name="Accent2 8 3" xfId="1316"/>
    <cellStyle name="Accent2 8 4" xfId="1317"/>
    <cellStyle name="Accent2 8 5" xfId="1318"/>
    <cellStyle name="Accent2 8 6" xfId="1319"/>
    <cellStyle name="Accent2 9 2" xfId="1320"/>
    <cellStyle name="Accent2 9 3" xfId="1321"/>
    <cellStyle name="Accent2 9 4" xfId="1322"/>
    <cellStyle name="Accent2 9 5" xfId="1323"/>
    <cellStyle name="Accent2 9 6" xfId="1324"/>
    <cellStyle name="Accent3 - 20%" xfId="64"/>
    <cellStyle name="Accent3 - 40%" xfId="65"/>
    <cellStyle name="Accent3 - 60%" xfId="66"/>
    <cellStyle name="Accent3 10 2" xfId="1325"/>
    <cellStyle name="Accent3 10 3" xfId="1326"/>
    <cellStyle name="Accent3 10 4" xfId="1327"/>
    <cellStyle name="Accent3 10 5" xfId="1328"/>
    <cellStyle name="Accent3 10 6" xfId="1329"/>
    <cellStyle name="Accent3 11 2" xfId="1330"/>
    <cellStyle name="Accent3 11 3" xfId="1331"/>
    <cellStyle name="Accent3 11 4" xfId="1332"/>
    <cellStyle name="Accent3 11 5" xfId="1333"/>
    <cellStyle name="Accent3 11 6" xfId="1334"/>
    <cellStyle name="Accent3 2" xfId="67"/>
    <cellStyle name="Accent3 2 2" xfId="1335"/>
    <cellStyle name="Accent3 2 3" xfId="1336"/>
    <cellStyle name="Accent3 2 4" xfId="1337"/>
    <cellStyle name="Accent3 2 5" xfId="1338"/>
    <cellStyle name="Accent3 2 6" xfId="1339"/>
    <cellStyle name="Accent3 3" xfId="68"/>
    <cellStyle name="Accent3 3 2" xfId="1341"/>
    <cellStyle name="Accent3 3 3" xfId="1342"/>
    <cellStyle name="Accent3 3 4" xfId="1343"/>
    <cellStyle name="Accent3 3 5" xfId="1344"/>
    <cellStyle name="Accent3 3 6" xfId="1345"/>
    <cellStyle name="Accent3 3 7" xfId="1346"/>
    <cellStyle name="Accent3 3 8" xfId="1340"/>
    <cellStyle name="Accent3 4" xfId="69"/>
    <cellStyle name="Accent3 4 2" xfId="1348"/>
    <cellStyle name="Accent3 4 3" xfId="1349"/>
    <cellStyle name="Accent3 4 4" xfId="1350"/>
    <cellStyle name="Accent3 4 5" xfId="1351"/>
    <cellStyle name="Accent3 4 6" xfId="1352"/>
    <cellStyle name="Accent3 4 7" xfId="1353"/>
    <cellStyle name="Accent3 4 8" xfId="1347"/>
    <cellStyle name="Accent3 5" xfId="70"/>
    <cellStyle name="Accent3 5 2" xfId="1354"/>
    <cellStyle name="Accent3 5 3" xfId="1355"/>
    <cellStyle name="Accent3 5 4" xfId="1356"/>
    <cellStyle name="Accent3 5 5" xfId="1357"/>
    <cellStyle name="Accent3 5 6" xfId="1358"/>
    <cellStyle name="Accent3 6" xfId="71"/>
    <cellStyle name="Accent3 6 2" xfId="1359"/>
    <cellStyle name="Accent3 6 3" xfId="1360"/>
    <cellStyle name="Accent3 6 4" xfId="1361"/>
    <cellStyle name="Accent3 6 5" xfId="1362"/>
    <cellStyle name="Accent3 6 6" xfId="1363"/>
    <cellStyle name="Accent3 7" xfId="72"/>
    <cellStyle name="Accent3 7 2" xfId="1364"/>
    <cellStyle name="Accent3 7 3" xfId="1365"/>
    <cellStyle name="Accent3 7 4" xfId="1366"/>
    <cellStyle name="Accent3 7 5" xfId="1367"/>
    <cellStyle name="Accent3 7 6" xfId="1368"/>
    <cellStyle name="Accent3 8 2" xfId="1369"/>
    <cellStyle name="Accent3 8 3" xfId="1370"/>
    <cellStyle name="Accent3 8 4" xfId="1371"/>
    <cellStyle name="Accent3 8 5" xfId="1372"/>
    <cellStyle name="Accent3 8 6" xfId="1373"/>
    <cellStyle name="Accent3 9 2" xfId="1374"/>
    <cellStyle name="Accent3 9 3" xfId="1375"/>
    <cellStyle name="Accent3 9 4" xfId="1376"/>
    <cellStyle name="Accent3 9 5" xfId="1377"/>
    <cellStyle name="Accent3 9 6" xfId="1378"/>
    <cellStyle name="Accent4 - 20%" xfId="73"/>
    <cellStyle name="Accent4 - 40%" xfId="74"/>
    <cellStyle name="Accent4 - 60%" xfId="75"/>
    <cellStyle name="Accent4 10 2" xfId="1379"/>
    <cellStyle name="Accent4 10 3" xfId="1380"/>
    <cellStyle name="Accent4 10 4" xfId="1381"/>
    <cellStyle name="Accent4 10 5" xfId="1382"/>
    <cellStyle name="Accent4 10 6" xfId="1383"/>
    <cellStyle name="Accent4 11 2" xfId="1384"/>
    <cellStyle name="Accent4 11 3" xfId="1385"/>
    <cellStyle name="Accent4 11 4" xfId="1386"/>
    <cellStyle name="Accent4 11 5" xfId="1387"/>
    <cellStyle name="Accent4 11 6" xfId="1388"/>
    <cellStyle name="Accent4 2" xfId="76"/>
    <cellStyle name="Accent4 2 2" xfId="1389"/>
    <cellStyle name="Accent4 2 3" xfId="1390"/>
    <cellStyle name="Accent4 2 4" xfId="1391"/>
    <cellStyle name="Accent4 2 5" xfId="1392"/>
    <cellStyle name="Accent4 2 6" xfId="1393"/>
    <cellStyle name="Accent4 3" xfId="77"/>
    <cellStyle name="Accent4 3 2" xfId="1395"/>
    <cellStyle name="Accent4 3 3" xfId="1396"/>
    <cellStyle name="Accent4 3 4" xfId="1397"/>
    <cellStyle name="Accent4 3 5" xfId="1398"/>
    <cellStyle name="Accent4 3 6" xfId="1399"/>
    <cellStyle name="Accent4 3 7" xfId="1400"/>
    <cellStyle name="Accent4 3 8" xfId="1394"/>
    <cellStyle name="Accent4 4" xfId="78"/>
    <cellStyle name="Accent4 4 2" xfId="1402"/>
    <cellStyle name="Accent4 4 3" xfId="1403"/>
    <cellStyle name="Accent4 4 4" xfId="1404"/>
    <cellStyle name="Accent4 4 5" xfId="1405"/>
    <cellStyle name="Accent4 4 6" xfId="1406"/>
    <cellStyle name="Accent4 4 7" xfId="1407"/>
    <cellStyle name="Accent4 4 8" xfId="1401"/>
    <cellStyle name="Accent4 5" xfId="79"/>
    <cellStyle name="Accent4 5 2" xfId="1408"/>
    <cellStyle name="Accent4 5 3" xfId="1409"/>
    <cellStyle name="Accent4 5 4" xfId="1410"/>
    <cellStyle name="Accent4 5 5" xfId="1411"/>
    <cellStyle name="Accent4 5 6" xfId="1412"/>
    <cellStyle name="Accent4 6" xfId="80"/>
    <cellStyle name="Accent4 6 2" xfId="1413"/>
    <cellStyle name="Accent4 6 3" xfId="1414"/>
    <cellStyle name="Accent4 6 4" xfId="1415"/>
    <cellStyle name="Accent4 6 5" xfId="1416"/>
    <cellStyle name="Accent4 6 6" xfId="1417"/>
    <cellStyle name="Accent4 7" xfId="81"/>
    <cellStyle name="Accent4 7 2" xfId="1418"/>
    <cellStyle name="Accent4 7 3" xfId="1419"/>
    <cellStyle name="Accent4 7 4" xfId="1420"/>
    <cellStyle name="Accent4 7 5" xfId="1421"/>
    <cellStyle name="Accent4 7 6" xfId="1422"/>
    <cellStyle name="Accent4 8 2" xfId="1423"/>
    <cellStyle name="Accent4 8 3" xfId="1424"/>
    <cellStyle name="Accent4 8 4" xfId="1425"/>
    <cellStyle name="Accent4 8 5" xfId="1426"/>
    <cellStyle name="Accent4 8 6" xfId="1427"/>
    <cellStyle name="Accent4 9 2" xfId="1428"/>
    <cellStyle name="Accent4 9 3" xfId="1429"/>
    <cellStyle name="Accent4 9 4" xfId="1430"/>
    <cellStyle name="Accent4 9 5" xfId="1431"/>
    <cellStyle name="Accent4 9 6" xfId="1432"/>
    <cellStyle name="Accent5 - 20%" xfId="82"/>
    <cellStyle name="Accent5 - 40%" xfId="83"/>
    <cellStyle name="Accent5 - 60%" xfId="84"/>
    <cellStyle name="Accent5 10 2" xfId="1433"/>
    <cellStyle name="Accent5 10 3" xfId="1434"/>
    <cellStyle name="Accent5 10 4" xfId="1435"/>
    <cellStyle name="Accent5 10 5" xfId="1436"/>
    <cellStyle name="Accent5 10 6" xfId="1437"/>
    <cellStyle name="Accent5 11 2" xfId="1438"/>
    <cellStyle name="Accent5 11 3" xfId="1439"/>
    <cellStyle name="Accent5 11 4" xfId="1440"/>
    <cellStyle name="Accent5 11 5" xfId="1441"/>
    <cellStyle name="Accent5 11 6" xfId="1442"/>
    <cellStyle name="Accent5 2" xfId="85"/>
    <cellStyle name="Accent5 2 2" xfId="1443"/>
    <cellStyle name="Accent5 2 3" xfId="1444"/>
    <cellStyle name="Accent5 2 4" xfId="1445"/>
    <cellStyle name="Accent5 2 5" xfId="1446"/>
    <cellStyle name="Accent5 2 6" xfId="1447"/>
    <cellStyle name="Accent5 3" xfId="86"/>
    <cellStyle name="Accent5 3 2" xfId="1449"/>
    <cellStyle name="Accent5 3 3" xfId="1450"/>
    <cellStyle name="Accent5 3 4" xfId="1451"/>
    <cellStyle name="Accent5 3 5" xfId="1452"/>
    <cellStyle name="Accent5 3 6" xfId="1453"/>
    <cellStyle name="Accent5 3 7" xfId="1454"/>
    <cellStyle name="Accent5 3 8" xfId="1448"/>
    <cellStyle name="Accent5 4" xfId="87"/>
    <cellStyle name="Accent5 4 2" xfId="1456"/>
    <cellStyle name="Accent5 4 3" xfId="1457"/>
    <cellStyle name="Accent5 4 4" xfId="1458"/>
    <cellStyle name="Accent5 4 5" xfId="1459"/>
    <cellStyle name="Accent5 4 6" xfId="1460"/>
    <cellStyle name="Accent5 4 7" xfId="1461"/>
    <cellStyle name="Accent5 4 8" xfId="1455"/>
    <cellStyle name="Accent5 5" xfId="88"/>
    <cellStyle name="Accent5 5 2" xfId="1462"/>
    <cellStyle name="Accent5 5 3" xfId="1463"/>
    <cellStyle name="Accent5 5 4" xfId="1464"/>
    <cellStyle name="Accent5 5 5" xfId="1465"/>
    <cellStyle name="Accent5 5 6" xfId="1466"/>
    <cellStyle name="Accent5 6" xfId="89"/>
    <cellStyle name="Accent5 6 2" xfId="1467"/>
    <cellStyle name="Accent5 6 3" xfId="1468"/>
    <cellStyle name="Accent5 6 4" xfId="1469"/>
    <cellStyle name="Accent5 6 5" xfId="1470"/>
    <cellStyle name="Accent5 6 6" xfId="1471"/>
    <cellStyle name="Accent5 7" xfId="90"/>
    <cellStyle name="Accent5 7 2" xfId="1472"/>
    <cellStyle name="Accent5 7 3" xfId="1473"/>
    <cellStyle name="Accent5 7 4" xfId="1474"/>
    <cellStyle name="Accent5 7 5" xfId="1475"/>
    <cellStyle name="Accent5 7 6" xfId="1476"/>
    <cellStyle name="Accent5 8 2" xfId="1477"/>
    <cellStyle name="Accent5 8 3" xfId="1478"/>
    <cellStyle name="Accent5 8 4" xfId="1479"/>
    <cellStyle name="Accent5 8 5" xfId="1480"/>
    <cellStyle name="Accent5 8 6" xfId="1481"/>
    <cellStyle name="Accent5 9 2" xfId="1482"/>
    <cellStyle name="Accent5 9 3" xfId="1483"/>
    <cellStyle name="Accent5 9 4" xfId="1484"/>
    <cellStyle name="Accent5 9 5" xfId="1485"/>
    <cellStyle name="Accent5 9 6" xfId="1486"/>
    <cellStyle name="Accent6 - 20%" xfId="91"/>
    <cellStyle name="Accent6 - 40%" xfId="92"/>
    <cellStyle name="Accent6 - 60%" xfId="93"/>
    <cellStyle name="Accent6 10 2" xfId="1487"/>
    <cellStyle name="Accent6 10 3" xfId="1488"/>
    <cellStyle name="Accent6 10 4" xfId="1489"/>
    <cellStyle name="Accent6 10 5" xfId="1490"/>
    <cellStyle name="Accent6 10 6" xfId="1491"/>
    <cellStyle name="Accent6 11 2" xfId="1492"/>
    <cellStyle name="Accent6 11 3" xfId="1493"/>
    <cellStyle name="Accent6 11 4" xfId="1494"/>
    <cellStyle name="Accent6 11 5" xfId="1495"/>
    <cellStyle name="Accent6 11 6" xfId="1496"/>
    <cellStyle name="Accent6 2" xfId="94"/>
    <cellStyle name="Accent6 2 2" xfId="1497"/>
    <cellStyle name="Accent6 2 3" xfId="1498"/>
    <cellStyle name="Accent6 2 4" xfId="1499"/>
    <cellStyle name="Accent6 2 5" xfId="1500"/>
    <cellStyle name="Accent6 2 6" xfId="1501"/>
    <cellStyle name="Accent6 3" xfId="95"/>
    <cellStyle name="Accent6 3 2" xfId="1503"/>
    <cellStyle name="Accent6 3 3" xfId="1504"/>
    <cellStyle name="Accent6 3 4" xfId="1505"/>
    <cellStyle name="Accent6 3 5" xfId="1506"/>
    <cellStyle name="Accent6 3 6" xfId="1507"/>
    <cellStyle name="Accent6 3 7" xfId="1508"/>
    <cellStyle name="Accent6 3 8" xfId="1502"/>
    <cellStyle name="Accent6 4" xfId="96"/>
    <cellStyle name="Accent6 4 2" xfId="1510"/>
    <cellStyle name="Accent6 4 3" xfId="1511"/>
    <cellStyle name="Accent6 4 4" xfId="1512"/>
    <cellStyle name="Accent6 4 5" xfId="1513"/>
    <cellStyle name="Accent6 4 6" xfId="1514"/>
    <cellStyle name="Accent6 4 7" xfId="1515"/>
    <cellStyle name="Accent6 4 8" xfId="1509"/>
    <cellStyle name="Accent6 5" xfId="97"/>
    <cellStyle name="Accent6 5 2" xfId="1516"/>
    <cellStyle name="Accent6 5 3" xfId="1517"/>
    <cellStyle name="Accent6 5 4" xfId="1518"/>
    <cellStyle name="Accent6 5 5" xfId="1519"/>
    <cellStyle name="Accent6 5 6" xfId="1520"/>
    <cellStyle name="Accent6 6" xfId="98"/>
    <cellStyle name="Accent6 6 2" xfId="1521"/>
    <cellStyle name="Accent6 6 3" xfId="1522"/>
    <cellStyle name="Accent6 6 4" xfId="1523"/>
    <cellStyle name="Accent6 6 5" xfId="1524"/>
    <cellStyle name="Accent6 6 6" xfId="1525"/>
    <cellStyle name="Accent6 7" xfId="99"/>
    <cellStyle name="Accent6 7 2" xfId="1526"/>
    <cellStyle name="Accent6 7 3" xfId="1527"/>
    <cellStyle name="Accent6 7 4" xfId="1528"/>
    <cellStyle name="Accent6 7 5" xfId="1529"/>
    <cellStyle name="Accent6 7 6" xfId="1530"/>
    <cellStyle name="Accent6 8 2" xfId="1531"/>
    <cellStyle name="Accent6 8 3" xfId="1532"/>
    <cellStyle name="Accent6 8 4" xfId="1533"/>
    <cellStyle name="Accent6 8 5" xfId="1534"/>
    <cellStyle name="Accent6 8 6" xfId="1535"/>
    <cellStyle name="Accent6 9 2" xfId="1536"/>
    <cellStyle name="Accent6 9 3" xfId="1537"/>
    <cellStyle name="Accent6 9 4" xfId="1538"/>
    <cellStyle name="Accent6 9 5" xfId="1539"/>
    <cellStyle name="Accent6 9 6" xfId="1540"/>
    <cellStyle name="Bad 10 2" xfId="1541"/>
    <cellStyle name="Bad 10 3" xfId="1542"/>
    <cellStyle name="Bad 10 4" xfId="1543"/>
    <cellStyle name="Bad 10 5" xfId="1544"/>
    <cellStyle name="Bad 10 6" xfId="1545"/>
    <cellStyle name="Bad 11 2" xfId="1546"/>
    <cellStyle name="Bad 11 3" xfId="1547"/>
    <cellStyle name="Bad 11 4" xfId="1548"/>
    <cellStyle name="Bad 11 5" xfId="1549"/>
    <cellStyle name="Bad 11 6" xfId="1550"/>
    <cellStyle name="Bad 2" xfId="100"/>
    <cellStyle name="Bad 2 2" xfId="1551"/>
    <cellStyle name="Bad 2 3" xfId="1552"/>
    <cellStyle name="Bad 2 4" xfId="1553"/>
    <cellStyle name="Bad 2 5" xfId="1554"/>
    <cellStyle name="Bad 2 6" xfId="1555"/>
    <cellStyle name="Bad 3" xfId="101"/>
    <cellStyle name="Bad 3 2" xfId="1557"/>
    <cellStyle name="Bad 3 3" xfId="1558"/>
    <cellStyle name="Bad 3 4" xfId="1559"/>
    <cellStyle name="Bad 3 5" xfId="1560"/>
    <cellStyle name="Bad 3 6" xfId="1561"/>
    <cellStyle name="Bad 3 7" xfId="1562"/>
    <cellStyle name="Bad 3 8" xfId="1556"/>
    <cellStyle name="Bad 4" xfId="102"/>
    <cellStyle name="Bad 4 2" xfId="1564"/>
    <cellStyle name="Bad 4 3" xfId="1565"/>
    <cellStyle name="Bad 4 4" xfId="1566"/>
    <cellStyle name="Bad 4 5" xfId="1567"/>
    <cellStyle name="Bad 4 6" xfId="1568"/>
    <cellStyle name="Bad 4 7" xfId="1569"/>
    <cellStyle name="Bad 4 8" xfId="1563"/>
    <cellStyle name="Bad 5" xfId="103"/>
    <cellStyle name="Bad 5 2" xfId="1570"/>
    <cellStyle name="Bad 5 3" xfId="1571"/>
    <cellStyle name="Bad 5 4" xfId="1572"/>
    <cellStyle name="Bad 5 5" xfId="1573"/>
    <cellStyle name="Bad 5 6" xfId="1574"/>
    <cellStyle name="Bad 6" xfId="104"/>
    <cellStyle name="Bad 6 2" xfId="1575"/>
    <cellStyle name="Bad 6 3" xfId="1576"/>
    <cellStyle name="Bad 6 4" xfId="1577"/>
    <cellStyle name="Bad 6 5" xfId="1578"/>
    <cellStyle name="Bad 6 6" xfId="1579"/>
    <cellStyle name="Bad 7" xfId="105"/>
    <cellStyle name="Bad 7 2" xfId="1580"/>
    <cellStyle name="Bad 7 3" xfId="1581"/>
    <cellStyle name="Bad 7 4" xfId="1582"/>
    <cellStyle name="Bad 7 5" xfId="1583"/>
    <cellStyle name="Bad 7 6" xfId="1584"/>
    <cellStyle name="Bad 8 2" xfId="1585"/>
    <cellStyle name="Bad 8 3" xfId="1586"/>
    <cellStyle name="Bad 8 4" xfId="1587"/>
    <cellStyle name="Bad 8 5" xfId="1588"/>
    <cellStyle name="Bad 8 6" xfId="1589"/>
    <cellStyle name="Bad 9 2" xfId="1590"/>
    <cellStyle name="Bad 9 3" xfId="1591"/>
    <cellStyle name="Bad 9 4" xfId="1592"/>
    <cellStyle name="Bad 9 5" xfId="1593"/>
    <cellStyle name="Bad 9 6" xfId="1594"/>
    <cellStyle name="Bold Border" xfId="106"/>
    <cellStyle name="Bottom bold border" xfId="107"/>
    <cellStyle name="Bottom single border" xfId="108"/>
    <cellStyle name="Calculation 10 2" xfId="1595"/>
    <cellStyle name="Calculation 10 2 2" xfId="2598"/>
    <cellStyle name="Calculation 10 3" xfId="1596"/>
    <cellStyle name="Calculation 10 3 2" xfId="2599"/>
    <cellStyle name="Calculation 10 4" xfId="1597"/>
    <cellStyle name="Calculation 10 4 2" xfId="2600"/>
    <cellStyle name="Calculation 10 5" xfId="1598"/>
    <cellStyle name="Calculation 10 5 2" xfId="2601"/>
    <cellStyle name="Calculation 10 6" xfId="1599"/>
    <cellStyle name="Calculation 10 6 2" xfId="2602"/>
    <cellStyle name="Calculation 11 2" xfId="1600"/>
    <cellStyle name="Calculation 11 2 2" xfId="2603"/>
    <cellStyle name="Calculation 11 3" xfId="1601"/>
    <cellStyle name="Calculation 11 3 2" xfId="2604"/>
    <cellStyle name="Calculation 11 4" xfId="1602"/>
    <cellStyle name="Calculation 11 4 2" xfId="2605"/>
    <cellStyle name="Calculation 11 5" xfId="1603"/>
    <cellStyle name="Calculation 11 5 2" xfId="2606"/>
    <cellStyle name="Calculation 11 6" xfId="1604"/>
    <cellStyle name="Calculation 11 6 2" xfId="2607"/>
    <cellStyle name="Calculation 2" xfId="109"/>
    <cellStyle name="Calculation 2 2" xfId="1605"/>
    <cellStyle name="Calculation 2 2 2" xfId="2608"/>
    <cellStyle name="Calculation 2 3" xfId="1606"/>
    <cellStyle name="Calculation 2 3 2" xfId="2609"/>
    <cellStyle name="Calculation 2 4" xfId="1607"/>
    <cellStyle name="Calculation 2 4 2" xfId="2610"/>
    <cellStyle name="Calculation 2 5" xfId="1608"/>
    <cellStyle name="Calculation 2 5 2" xfId="2611"/>
    <cellStyle name="Calculation 2 6" xfId="1609"/>
    <cellStyle name="Calculation 2 6 2" xfId="2612"/>
    <cellStyle name="Calculation 2 7" xfId="2549"/>
    <cellStyle name="Calculation 3" xfId="110"/>
    <cellStyle name="Calculation 3 2" xfId="1611"/>
    <cellStyle name="Calculation 3 2 2" xfId="2614"/>
    <cellStyle name="Calculation 3 3" xfId="1612"/>
    <cellStyle name="Calculation 3 3 2" xfId="2615"/>
    <cellStyle name="Calculation 3 4" xfId="1613"/>
    <cellStyle name="Calculation 3 4 2" xfId="2616"/>
    <cellStyle name="Calculation 3 5" xfId="1614"/>
    <cellStyle name="Calculation 3 5 2" xfId="2617"/>
    <cellStyle name="Calculation 3 6" xfId="1615"/>
    <cellStyle name="Calculation 3 6 2" xfId="2618"/>
    <cellStyle name="Calculation 3 7" xfId="1616"/>
    <cellStyle name="Calculation 3 7 2" xfId="2619"/>
    <cellStyle name="Calculation 3 8" xfId="1610"/>
    <cellStyle name="Calculation 3 8 2" xfId="2613"/>
    <cellStyle name="Calculation 3 9" xfId="2550"/>
    <cellStyle name="Calculation 4" xfId="111"/>
    <cellStyle name="Calculation 4 2" xfId="1618"/>
    <cellStyle name="Calculation 4 2 2" xfId="2621"/>
    <cellStyle name="Calculation 4 3" xfId="1619"/>
    <cellStyle name="Calculation 4 3 2" xfId="2622"/>
    <cellStyle name="Calculation 4 4" xfId="1620"/>
    <cellStyle name="Calculation 4 4 2" xfId="2623"/>
    <cellStyle name="Calculation 4 5" xfId="1621"/>
    <cellStyle name="Calculation 4 5 2" xfId="2624"/>
    <cellStyle name="Calculation 4 6" xfId="1622"/>
    <cellStyle name="Calculation 4 6 2" xfId="2625"/>
    <cellStyle name="Calculation 4 7" xfId="1623"/>
    <cellStyle name="Calculation 4 7 2" xfId="2626"/>
    <cellStyle name="Calculation 4 8" xfId="1617"/>
    <cellStyle name="Calculation 4 8 2" xfId="2620"/>
    <cellStyle name="Calculation 4 9" xfId="2551"/>
    <cellStyle name="Calculation 5" xfId="112"/>
    <cellStyle name="Calculation 5 2" xfId="1624"/>
    <cellStyle name="Calculation 5 2 2" xfId="2627"/>
    <cellStyle name="Calculation 5 3" xfId="1625"/>
    <cellStyle name="Calculation 5 3 2" xfId="2628"/>
    <cellStyle name="Calculation 5 4" xfId="1626"/>
    <cellStyle name="Calculation 5 4 2" xfId="2629"/>
    <cellStyle name="Calculation 5 5" xfId="1627"/>
    <cellStyle name="Calculation 5 5 2" xfId="2630"/>
    <cellStyle name="Calculation 5 6" xfId="1628"/>
    <cellStyle name="Calculation 5 6 2" xfId="2631"/>
    <cellStyle name="Calculation 5 7" xfId="2552"/>
    <cellStyle name="Calculation 6" xfId="113"/>
    <cellStyle name="Calculation 6 2" xfId="1629"/>
    <cellStyle name="Calculation 6 2 2" xfId="2632"/>
    <cellStyle name="Calculation 6 3" xfId="1630"/>
    <cellStyle name="Calculation 6 3 2" xfId="2633"/>
    <cellStyle name="Calculation 6 4" xfId="1631"/>
    <cellStyle name="Calculation 6 4 2" xfId="2634"/>
    <cellStyle name="Calculation 6 5" xfId="1632"/>
    <cellStyle name="Calculation 6 5 2" xfId="2635"/>
    <cellStyle name="Calculation 6 6" xfId="1633"/>
    <cellStyle name="Calculation 6 6 2" xfId="2636"/>
    <cellStyle name="Calculation 6 7" xfId="2553"/>
    <cellStyle name="Calculation 7" xfId="114"/>
    <cellStyle name="Calculation 7 2" xfId="1634"/>
    <cellStyle name="Calculation 7 2 2" xfId="2637"/>
    <cellStyle name="Calculation 7 3" xfId="1635"/>
    <cellStyle name="Calculation 7 3 2" xfId="2638"/>
    <cellStyle name="Calculation 7 4" xfId="1636"/>
    <cellStyle name="Calculation 7 4 2" xfId="2639"/>
    <cellStyle name="Calculation 7 5" xfId="1637"/>
    <cellStyle name="Calculation 7 5 2" xfId="2640"/>
    <cellStyle name="Calculation 7 6" xfId="1638"/>
    <cellStyle name="Calculation 7 6 2" xfId="2641"/>
    <cellStyle name="Calculation 7 7" xfId="2554"/>
    <cellStyle name="Calculation 8 2" xfId="1639"/>
    <cellStyle name="Calculation 8 2 2" xfId="2642"/>
    <cellStyle name="Calculation 8 3" xfId="1640"/>
    <cellStyle name="Calculation 8 3 2" xfId="2643"/>
    <cellStyle name="Calculation 8 4" xfId="1641"/>
    <cellStyle name="Calculation 8 4 2" xfId="2644"/>
    <cellStyle name="Calculation 8 5" xfId="1642"/>
    <cellStyle name="Calculation 8 5 2" xfId="2645"/>
    <cellStyle name="Calculation 8 6" xfId="1643"/>
    <cellStyle name="Calculation 8 6 2" xfId="2646"/>
    <cellStyle name="Calculation 9 2" xfId="1644"/>
    <cellStyle name="Calculation 9 2 2" xfId="2647"/>
    <cellStyle name="Calculation 9 3" xfId="1645"/>
    <cellStyle name="Calculation 9 3 2" xfId="2648"/>
    <cellStyle name="Calculation 9 4" xfId="1646"/>
    <cellStyle name="Calculation 9 4 2" xfId="2649"/>
    <cellStyle name="Calculation 9 5" xfId="1647"/>
    <cellStyle name="Calculation 9 5 2" xfId="2650"/>
    <cellStyle name="Calculation 9 6" xfId="1648"/>
    <cellStyle name="Calculation 9 6 2" xfId="2651"/>
    <cellStyle name="Check Cell 10 2" xfId="1649"/>
    <cellStyle name="Check Cell 10 3" xfId="1650"/>
    <cellStyle name="Check Cell 10 4" xfId="1651"/>
    <cellStyle name="Check Cell 10 5" xfId="1652"/>
    <cellStyle name="Check Cell 10 6" xfId="1653"/>
    <cellStyle name="Check Cell 11 2" xfId="1654"/>
    <cellStyle name="Check Cell 11 3" xfId="1655"/>
    <cellStyle name="Check Cell 11 4" xfId="1656"/>
    <cellStyle name="Check Cell 11 5" xfId="1657"/>
    <cellStyle name="Check Cell 11 6" xfId="1658"/>
    <cellStyle name="Check Cell 2" xfId="115"/>
    <cellStyle name="Check Cell 2 2" xfId="1659"/>
    <cellStyle name="Check Cell 2 3" xfId="1660"/>
    <cellStyle name="Check Cell 2 4" xfId="1661"/>
    <cellStyle name="Check Cell 2 5" xfId="1662"/>
    <cellStyle name="Check Cell 2 6" xfId="1663"/>
    <cellStyle name="Check Cell 3" xfId="116"/>
    <cellStyle name="Check Cell 3 2" xfId="1665"/>
    <cellStyle name="Check Cell 3 3" xfId="1666"/>
    <cellStyle name="Check Cell 3 4" xfId="1667"/>
    <cellStyle name="Check Cell 3 5" xfId="1668"/>
    <cellStyle name="Check Cell 3 6" xfId="1669"/>
    <cellStyle name="Check Cell 3 7" xfId="1670"/>
    <cellStyle name="Check Cell 3 8" xfId="1664"/>
    <cellStyle name="Check Cell 4" xfId="117"/>
    <cellStyle name="Check Cell 4 2" xfId="1672"/>
    <cellStyle name="Check Cell 4 3" xfId="1673"/>
    <cellStyle name="Check Cell 4 4" xfId="1674"/>
    <cellStyle name="Check Cell 4 5" xfId="1675"/>
    <cellStyle name="Check Cell 4 6" xfId="1676"/>
    <cellStyle name="Check Cell 4 7" xfId="1677"/>
    <cellStyle name="Check Cell 4 8" xfId="1671"/>
    <cellStyle name="Check Cell 5" xfId="118"/>
    <cellStyle name="Check Cell 5 2" xfId="1678"/>
    <cellStyle name="Check Cell 5 3" xfId="1679"/>
    <cellStyle name="Check Cell 5 4" xfId="1680"/>
    <cellStyle name="Check Cell 5 5" xfId="1681"/>
    <cellStyle name="Check Cell 5 6" xfId="1682"/>
    <cellStyle name="Check Cell 6" xfId="119"/>
    <cellStyle name="Check Cell 6 2" xfId="1683"/>
    <cellStyle name="Check Cell 6 3" xfId="1684"/>
    <cellStyle name="Check Cell 6 4" xfId="1685"/>
    <cellStyle name="Check Cell 6 5" xfId="1686"/>
    <cellStyle name="Check Cell 6 6" xfId="1687"/>
    <cellStyle name="Check Cell 7" xfId="120"/>
    <cellStyle name="Check Cell 7 2" xfId="1688"/>
    <cellStyle name="Check Cell 7 3" xfId="1689"/>
    <cellStyle name="Check Cell 7 4" xfId="1690"/>
    <cellStyle name="Check Cell 7 5" xfId="1691"/>
    <cellStyle name="Check Cell 7 6" xfId="1692"/>
    <cellStyle name="Check Cell 8 2" xfId="1693"/>
    <cellStyle name="Check Cell 8 3" xfId="1694"/>
    <cellStyle name="Check Cell 8 4" xfId="1695"/>
    <cellStyle name="Check Cell 8 5" xfId="1696"/>
    <cellStyle name="Check Cell 8 6" xfId="1697"/>
    <cellStyle name="Check Cell 9 2" xfId="1698"/>
    <cellStyle name="Check Cell 9 3" xfId="1699"/>
    <cellStyle name="Check Cell 9 4" xfId="1700"/>
    <cellStyle name="Check Cell 9 5" xfId="1701"/>
    <cellStyle name="Check Cell 9 6" xfId="1702"/>
    <cellStyle name="Client Name" xfId="121"/>
    <cellStyle name="Column Headings" xfId="122"/>
    <cellStyle name="Comma" xfId="1" builtinId="3"/>
    <cellStyle name="Comma 18" xfId="1703"/>
    <cellStyle name="Comma 19" xfId="1704"/>
    <cellStyle name="Comma 19 2" xfId="1705"/>
    <cellStyle name="Comma 2" xfId="123"/>
    <cellStyle name="Comma 2 2" xfId="124"/>
    <cellStyle name="Comma 2 3" xfId="125"/>
    <cellStyle name="Comma 2 3 2" xfId="1706"/>
    <cellStyle name="Comma 2 4" xfId="126"/>
    <cellStyle name="Comma 2 4 2" xfId="2530"/>
    <cellStyle name="Comma 20" xfId="1707"/>
    <cellStyle name="Comma 20 2" xfId="1708"/>
    <cellStyle name="Comma 21" xfId="1709"/>
    <cellStyle name="Comma 21 2" xfId="1710"/>
    <cellStyle name="Comma 22" xfId="1711"/>
    <cellStyle name="Comma 22 2" xfId="1712"/>
    <cellStyle name="Comma 23" xfId="1713"/>
    <cellStyle name="Comma 23 2" xfId="1714"/>
    <cellStyle name="Comma 24" xfId="1715"/>
    <cellStyle name="Comma 24 2" xfId="1716"/>
    <cellStyle name="Comma 27" xfId="1717"/>
    <cellStyle name="Comma 27 2" xfId="1718"/>
    <cellStyle name="Comma 28" xfId="1719"/>
    <cellStyle name="Comma 28 2" xfId="1720"/>
    <cellStyle name="Comma 3" xfId="127"/>
    <cellStyle name="Comma 3 2" xfId="128"/>
    <cellStyle name="Comma 3 3" xfId="129"/>
    <cellStyle name="Comma 3 3 2" xfId="2529"/>
    <cellStyle name="Comma 3 4" xfId="1721"/>
    <cellStyle name="Comma 3 4 2" xfId="2845"/>
    <cellStyle name="Comma 3 5" xfId="2526"/>
    <cellStyle name="Comma 3 5 2" xfId="2849"/>
    <cellStyle name="Comma 3 6" xfId="2535"/>
    <cellStyle name="Comma 3 6 2" xfId="2853"/>
    <cellStyle name="Comma 3 7" xfId="2843"/>
    <cellStyle name="Comma 30" xfId="1722"/>
    <cellStyle name="Comma 30 2" xfId="1723"/>
    <cellStyle name="Comma 36" xfId="1724"/>
    <cellStyle name="Comma 36 2" xfId="1725"/>
    <cellStyle name="Comma 39 2" xfId="1726"/>
    <cellStyle name="Comma 4" xfId="130"/>
    <cellStyle name="Comma 4 2" xfId="131"/>
    <cellStyle name="Comma 4 3" xfId="1727"/>
    <cellStyle name="Comma 5" xfId="2856"/>
    <cellStyle name="Comma 58 2" xfId="1728"/>
    <cellStyle name="Comma0" xfId="132"/>
    <cellStyle name="Comma0 2" xfId="2528"/>
    <cellStyle name="Currency 18" xfId="1729"/>
    <cellStyle name="Currency 18 2" xfId="1730"/>
    <cellStyle name="Currency 19" xfId="1731"/>
    <cellStyle name="Currency 19 2" xfId="1732"/>
    <cellStyle name="Currency 2" xfId="133"/>
    <cellStyle name="Currency 2 2" xfId="134"/>
    <cellStyle name="Currency 2 3" xfId="135"/>
    <cellStyle name="Currency 2 3 2" xfId="1734"/>
    <cellStyle name="Currency 2 3 3" xfId="1733"/>
    <cellStyle name="Currency 2 4" xfId="1735"/>
    <cellStyle name="Currency 20" xfId="1736"/>
    <cellStyle name="Currency 20 2" xfId="1737"/>
    <cellStyle name="Currency 21" xfId="1738"/>
    <cellStyle name="Currency 21 2" xfId="1739"/>
    <cellStyle name="Currency 22" xfId="1740"/>
    <cellStyle name="Currency 22 2" xfId="1741"/>
    <cellStyle name="Currency 23" xfId="1742"/>
    <cellStyle name="Currency 23 2" xfId="1743"/>
    <cellStyle name="Currency 24" xfId="1744"/>
    <cellStyle name="Currency 24 2" xfId="1745"/>
    <cellStyle name="Currency 27" xfId="1746"/>
    <cellStyle name="Currency 27 2" xfId="1747"/>
    <cellStyle name="Currency 28" xfId="1748"/>
    <cellStyle name="Currency 28 2" xfId="1749"/>
    <cellStyle name="Currency 3" xfId="136"/>
    <cellStyle name="Currency 3 2" xfId="1750"/>
    <cellStyle name="Currency 36" xfId="1751"/>
    <cellStyle name="Currency 36 2" xfId="1752"/>
    <cellStyle name="Currency 39 2" xfId="1753"/>
    <cellStyle name="Currency 43 2" xfId="1754"/>
    <cellStyle name="Currency0" xfId="137"/>
    <cellStyle name="Currency0 2" xfId="2527"/>
    <cellStyle name="Date" xfId="138"/>
    <cellStyle name="Decimal 2 (e.g. 1,000.00)" xfId="139"/>
    <cellStyle name="Double Underline" xfId="140"/>
    <cellStyle name="Double Underscore" xfId="141"/>
    <cellStyle name="Emphasis 1" xfId="142"/>
    <cellStyle name="Emphasis 2" xfId="143"/>
    <cellStyle name="Emphasis 3" xfId="144"/>
    <cellStyle name="Explanatory Text 10 2" xfId="1755"/>
    <cellStyle name="Explanatory Text 10 3" xfId="1756"/>
    <cellStyle name="Explanatory Text 10 4" xfId="1757"/>
    <cellStyle name="Explanatory Text 10 5" xfId="1758"/>
    <cellStyle name="Explanatory Text 10 6" xfId="1759"/>
    <cellStyle name="Explanatory Text 11 2" xfId="1760"/>
    <cellStyle name="Explanatory Text 11 3" xfId="1761"/>
    <cellStyle name="Explanatory Text 11 4" xfId="1762"/>
    <cellStyle name="Explanatory Text 11 5" xfId="1763"/>
    <cellStyle name="Explanatory Text 11 6" xfId="1764"/>
    <cellStyle name="Explanatory Text 2" xfId="1765"/>
    <cellStyle name="Explanatory Text 2 2" xfId="1766"/>
    <cellStyle name="Explanatory Text 2 3" xfId="1767"/>
    <cellStyle name="Explanatory Text 2 4" xfId="1768"/>
    <cellStyle name="Explanatory Text 2 5" xfId="1769"/>
    <cellStyle name="Explanatory Text 2 6" xfId="1770"/>
    <cellStyle name="Explanatory Text 3" xfId="1771"/>
    <cellStyle name="Explanatory Text 3 2" xfId="1772"/>
    <cellStyle name="Explanatory Text 3 3" xfId="1773"/>
    <cellStyle name="Explanatory Text 3 4" xfId="1774"/>
    <cellStyle name="Explanatory Text 3 5" xfId="1775"/>
    <cellStyle name="Explanatory Text 3 6" xfId="1776"/>
    <cellStyle name="Explanatory Text 4 2" xfId="1777"/>
    <cellStyle name="Explanatory Text 4 3" xfId="1778"/>
    <cellStyle name="Explanatory Text 4 4" xfId="1779"/>
    <cellStyle name="Explanatory Text 4 5" xfId="1780"/>
    <cellStyle name="Explanatory Text 4 6" xfId="1781"/>
    <cellStyle name="Explanatory Text 5 2" xfId="1782"/>
    <cellStyle name="Explanatory Text 5 3" xfId="1783"/>
    <cellStyle name="Explanatory Text 5 4" xfId="1784"/>
    <cellStyle name="Explanatory Text 5 5" xfId="1785"/>
    <cellStyle name="Explanatory Text 5 6" xfId="1786"/>
    <cellStyle name="Explanatory Text 6 2" xfId="1787"/>
    <cellStyle name="Explanatory Text 6 3" xfId="1788"/>
    <cellStyle name="Explanatory Text 6 4" xfId="1789"/>
    <cellStyle name="Explanatory Text 6 5" xfId="1790"/>
    <cellStyle name="Explanatory Text 6 6" xfId="1791"/>
    <cellStyle name="Explanatory Text 7 2" xfId="1792"/>
    <cellStyle name="Explanatory Text 7 3" xfId="1793"/>
    <cellStyle name="Explanatory Text 7 4" xfId="1794"/>
    <cellStyle name="Explanatory Text 7 5" xfId="1795"/>
    <cellStyle name="Explanatory Text 7 6" xfId="1796"/>
    <cellStyle name="Explanatory Text 8 2" xfId="1797"/>
    <cellStyle name="Explanatory Text 8 3" xfId="1798"/>
    <cellStyle name="Explanatory Text 8 4" xfId="1799"/>
    <cellStyle name="Explanatory Text 8 5" xfId="1800"/>
    <cellStyle name="Explanatory Text 8 6" xfId="1801"/>
    <cellStyle name="Explanatory Text 9 2" xfId="1802"/>
    <cellStyle name="Explanatory Text 9 3" xfId="1803"/>
    <cellStyle name="Explanatory Text 9 4" xfId="1804"/>
    <cellStyle name="Explanatory Text 9 5" xfId="1805"/>
    <cellStyle name="Explanatory Text 9 6" xfId="1806"/>
    <cellStyle name="F2" xfId="145"/>
    <cellStyle name="F3" xfId="146"/>
    <cellStyle name="F4" xfId="147"/>
    <cellStyle name="F5" xfId="148"/>
    <cellStyle name="F6" xfId="149"/>
    <cellStyle name="F7" xfId="150"/>
    <cellStyle name="F8" xfId="151"/>
    <cellStyle name="Fixed" xfId="152"/>
    <cellStyle name="Good 10 2" xfId="1807"/>
    <cellStyle name="Good 10 3" xfId="1808"/>
    <cellStyle name="Good 10 4" xfId="1809"/>
    <cellStyle name="Good 10 5" xfId="1810"/>
    <cellStyle name="Good 10 6" xfId="1811"/>
    <cellStyle name="Good 11 2" xfId="1812"/>
    <cellStyle name="Good 11 3" xfId="1813"/>
    <cellStyle name="Good 11 4" xfId="1814"/>
    <cellStyle name="Good 11 5" xfId="1815"/>
    <cellStyle name="Good 11 6" xfId="1816"/>
    <cellStyle name="Good 2" xfId="153"/>
    <cellStyle name="Good 2 2" xfId="1817"/>
    <cellStyle name="Good 2 3" xfId="1818"/>
    <cellStyle name="Good 2 4" xfId="1819"/>
    <cellStyle name="Good 2 5" xfId="1820"/>
    <cellStyle name="Good 2 6" xfId="1821"/>
    <cellStyle name="Good 3" xfId="154"/>
    <cellStyle name="Good 3 2" xfId="1823"/>
    <cellStyle name="Good 3 3" xfId="1824"/>
    <cellStyle name="Good 3 4" xfId="1825"/>
    <cellStyle name="Good 3 5" xfId="1826"/>
    <cellStyle name="Good 3 6" xfId="1827"/>
    <cellStyle name="Good 3 7" xfId="1828"/>
    <cellStyle name="Good 3 8" xfId="1822"/>
    <cellStyle name="Good 4" xfId="155"/>
    <cellStyle name="Good 4 2" xfId="1830"/>
    <cellStyle name="Good 4 3" xfId="1831"/>
    <cellStyle name="Good 4 4" xfId="1832"/>
    <cellStyle name="Good 4 5" xfId="1833"/>
    <cellStyle name="Good 4 6" xfId="1834"/>
    <cellStyle name="Good 4 7" xfId="1835"/>
    <cellStyle name="Good 4 8" xfId="1829"/>
    <cellStyle name="Good 5" xfId="156"/>
    <cellStyle name="Good 5 2" xfId="1836"/>
    <cellStyle name="Good 5 3" xfId="1837"/>
    <cellStyle name="Good 5 4" xfId="1838"/>
    <cellStyle name="Good 5 5" xfId="1839"/>
    <cellStyle name="Good 5 6" xfId="1840"/>
    <cellStyle name="Good 6" xfId="157"/>
    <cellStyle name="Good 6 2" xfId="1841"/>
    <cellStyle name="Good 6 3" xfId="1842"/>
    <cellStyle name="Good 6 4" xfId="1843"/>
    <cellStyle name="Good 6 5" xfId="1844"/>
    <cellStyle name="Good 6 6" xfId="1845"/>
    <cellStyle name="Good 7" xfId="158"/>
    <cellStyle name="Good 7 2" xfId="1846"/>
    <cellStyle name="Good 7 3" xfId="1847"/>
    <cellStyle name="Good 7 4" xfId="1848"/>
    <cellStyle name="Good 7 5" xfId="1849"/>
    <cellStyle name="Good 7 6" xfId="1850"/>
    <cellStyle name="Good 8 2" xfId="1851"/>
    <cellStyle name="Good 8 3" xfId="1852"/>
    <cellStyle name="Good 8 4" xfId="1853"/>
    <cellStyle name="Good 8 5" xfId="1854"/>
    <cellStyle name="Good 8 6" xfId="1855"/>
    <cellStyle name="Good 9 2" xfId="1856"/>
    <cellStyle name="Good 9 3" xfId="1857"/>
    <cellStyle name="Good 9 4" xfId="1858"/>
    <cellStyle name="Good 9 5" xfId="1859"/>
    <cellStyle name="Good 9 6" xfId="1860"/>
    <cellStyle name="Heading 1 10 2" xfId="1861"/>
    <cellStyle name="Heading 1 10 3" xfId="1862"/>
    <cellStyle name="Heading 1 10 4" xfId="1863"/>
    <cellStyle name="Heading 1 10 5" xfId="1864"/>
    <cellStyle name="Heading 1 10 6" xfId="1865"/>
    <cellStyle name="Heading 1 11 2" xfId="1866"/>
    <cellStyle name="Heading 1 11 3" xfId="1867"/>
    <cellStyle name="Heading 1 11 4" xfId="1868"/>
    <cellStyle name="Heading 1 11 5" xfId="1869"/>
    <cellStyle name="Heading 1 11 6" xfId="1870"/>
    <cellStyle name="Heading 1 2" xfId="159"/>
    <cellStyle name="Heading 1 2 2" xfId="1871"/>
    <cellStyle name="Heading 1 2 3" xfId="1872"/>
    <cellStyle name="Heading 1 2 4" xfId="1873"/>
    <cellStyle name="Heading 1 2 5" xfId="1874"/>
    <cellStyle name="Heading 1 2 6" xfId="1875"/>
    <cellStyle name="Heading 1 3" xfId="160"/>
    <cellStyle name="Heading 1 3 2" xfId="1877"/>
    <cellStyle name="Heading 1 3 3" xfId="1878"/>
    <cellStyle name="Heading 1 3 4" xfId="1879"/>
    <cellStyle name="Heading 1 3 5" xfId="1880"/>
    <cellStyle name="Heading 1 3 6" xfId="1881"/>
    <cellStyle name="Heading 1 3 7" xfId="1882"/>
    <cellStyle name="Heading 1 3 8" xfId="1876"/>
    <cellStyle name="Heading 1 4" xfId="161"/>
    <cellStyle name="Heading 1 4 2" xfId="1884"/>
    <cellStyle name="Heading 1 4 3" xfId="1885"/>
    <cellStyle name="Heading 1 4 4" xfId="1886"/>
    <cellStyle name="Heading 1 4 5" xfId="1887"/>
    <cellStyle name="Heading 1 4 6" xfId="1888"/>
    <cellStyle name="Heading 1 4 7" xfId="1889"/>
    <cellStyle name="Heading 1 4 8" xfId="1883"/>
    <cellStyle name="Heading 1 5" xfId="162"/>
    <cellStyle name="Heading 1 5 2" xfId="1890"/>
    <cellStyle name="Heading 1 5 3" xfId="1891"/>
    <cellStyle name="Heading 1 5 4" xfId="1892"/>
    <cellStyle name="Heading 1 5 5" xfId="1893"/>
    <cellStyle name="Heading 1 5 6" xfId="1894"/>
    <cellStyle name="Heading 1 6" xfId="163"/>
    <cellStyle name="Heading 1 6 2" xfId="1895"/>
    <cellStyle name="Heading 1 6 3" xfId="1896"/>
    <cellStyle name="Heading 1 6 4" xfId="1897"/>
    <cellStyle name="Heading 1 6 5" xfId="1898"/>
    <cellStyle name="Heading 1 6 6" xfId="1899"/>
    <cellStyle name="Heading 1 7" xfId="164"/>
    <cellStyle name="Heading 1 7 2" xfId="1900"/>
    <cellStyle name="Heading 1 7 3" xfId="1901"/>
    <cellStyle name="Heading 1 7 4" xfId="1902"/>
    <cellStyle name="Heading 1 7 5" xfId="1903"/>
    <cellStyle name="Heading 1 7 6" xfId="1904"/>
    <cellStyle name="Heading 1 8 2" xfId="1905"/>
    <cellStyle name="Heading 1 8 3" xfId="1906"/>
    <cellStyle name="Heading 1 8 4" xfId="1907"/>
    <cellStyle name="Heading 1 8 5" xfId="1908"/>
    <cellStyle name="Heading 1 8 6" xfId="1909"/>
    <cellStyle name="Heading 1 9 2" xfId="1910"/>
    <cellStyle name="Heading 1 9 3" xfId="1911"/>
    <cellStyle name="Heading 1 9 4" xfId="1912"/>
    <cellStyle name="Heading 1 9 5" xfId="1913"/>
    <cellStyle name="Heading 1 9 6" xfId="1914"/>
    <cellStyle name="Heading 2 10 2" xfId="1915"/>
    <cellStyle name="Heading 2 10 3" xfId="1916"/>
    <cellStyle name="Heading 2 10 4" xfId="1917"/>
    <cellStyle name="Heading 2 10 5" xfId="1918"/>
    <cellStyle name="Heading 2 10 6" xfId="1919"/>
    <cellStyle name="Heading 2 11 2" xfId="1920"/>
    <cellStyle name="Heading 2 11 3" xfId="1921"/>
    <cellStyle name="Heading 2 11 4" xfId="1922"/>
    <cellStyle name="Heading 2 11 5" xfId="1923"/>
    <cellStyle name="Heading 2 11 6" xfId="1924"/>
    <cellStyle name="Heading 2 2" xfId="165"/>
    <cellStyle name="Heading 2 2 2" xfId="1925"/>
    <cellStyle name="Heading 2 2 3" xfId="1926"/>
    <cellStyle name="Heading 2 2 4" xfId="1927"/>
    <cellStyle name="Heading 2 2 5" xfId="1928"/>
    <cellStyle name="Heading 2 2 6" xfId="1929"/>
    <cellStyle name="Heading 2 3" xfId="166"/>
    <cellStyle name="Heading 2 3 2" xfId="1931"/>
    <cellStyle name="Heading 2 3 3" xfId="1932"/>
    <cellStyle name="Heading 2 3 4" xfId="1933"/>
    <cellStyle name="Heading 2 3 5" xfId="1934"/>
    <cellStyle name="Heading 2 3 6" xfId="1935"/>
    <cellStyle name="Heading 2 3 7" xfId="1936"/>
    <cellStyle name="Heading 2 3 8" xfId="1930"/>
    <cellStyle name="Heading 2 4" xfId="167"/>
    <cellStyle name="Heading 2 4 2" xfId="1938"/>
    <cellStyle name="Heading 2 4 3" xfId="1939"/>
    <cellStyle name="Heading 2 4 4" xfId="1940"/>
    <cellStyle name="Heading 2 4 5" xfId="1941"/>
    <cellStyle name="Heading 2 4 6" xfId="1942"/>
    <cellStyle name="Heading 2 4 7" xfId="1943"/>
    <cellStyle name="Heading 2 4 8" xfId="1937"/>
    <cellStyle name="Heading 2 5" xfId="168"/>
    <cellStyle name="Heading 2 5 2" xfId="1944"/>
    <cellStyle name="Heading 2 5 3" xfId="1945"/>
    <cellStyle name="Heading 2 5 4" xfId="1946"/>
    <cellStyle name="Heading 2 5 5" xfId="1947"/>
    <cellStyle name="Heading 2 5 6" xfId="1948"/>
    <cellStyle name="Heading 2 6" xfId="169"/>
    <cellStyle name="Heading 2 6 2" xfId="1949"/>
    <cellStyle name="Heading 2 6 3" xfId="1950"/>
    <cellStyle name="Heading 2 6 4" xfId="1951"/>
    <cellStyle name="Heading 2 6 5" xfId="1952"/>
    <cellStyle name="Heading 2 6 6" xfId="1953"/>
    <cellStyle name="Heading 2 7" xfId="170"/>
    <cellStyle name="Heading 2 7 2" xfId="1954"/>
    <cellStyle name="Heading 2 7 3" xfId="1955"/>
    <cellStyle name="Heading 2 7 4" xfId="1956"/>
    <cellStyle name="Heading 2 7 5" xfId="1957"/>
    <cellStyle name="Heading 2 7 6" xfId="1958"/>
    <cellStyle name="Heading 2 8 2" xfId="1959"/>
    <cellStyle name="Heading 2 8 3" xfId="1960"/>
    <cellStyle name="Heading 2 8 4" xfId="1961"/>
    <cellStyle name="Heading 2 8 5" xfId="1962"/>
    <cellStyle name="Heading 2 8 6" xfId="1963"/>
    <cellStyle name="Heading 2 9 2" xfId="1964"/>
    <cellStyle name="Heading 2 9 3" xfId="1965"/>
    <cellStyle name="Heading 2 9 4" xfId="1966"/>
    <cellStyle name="Heading 2 9 5" xfId="1967"/>
    <cellStyle name="Heading 2 9 6" xfId="1968"/>
    <cellStyle name="Heading 3 10 2" xfId="1969"/>
    <cellStyle name="Heading 3 10 3" xfId="1970"/>
    <cellStyle name="Heading 3 10 4" xfId="1971"/>
    <cellStyle name="Heading 3 10 5" xfId="1972"/>
    <cellStyle name="Heading 3 10 6" xfId="1973"/>
    <cellStyle name="Heading 3 11 2" xfId="1974"/>
    <cellStyle name="Heading 3 11 3" xfId="1975"/>
    <cellStyle name="Heading 3 11 4" xfId="1976"/>
    <cellStyle name="Heading 3 11 5" xfId="1977"/>
    <cellStyle name="Heading 3 11 6" xfId="1978"/>
    <cellStyle name="Heading 3 2" xfId="171"/>
    <cellStyle name="Heading 3 2 2" xfId="1979"/>
    <cellStyle name="Heading 3 2 3" xfId="1980"/>
    <cellStyle name="Heading 3 2 4" xfId="1981"/>
    <cellStyle name="Heading 3 2 5" xfId="1982"/>
    <cellStyle name="Heading 3 2 6" xfId="1983"/>
    <cellStyle name="Heading 3 3" xfId="172"/>
    <cellStyle name="Heading 3 3 2" xfId="1985"/>
    <cellStyle name="Heading 3 3 3" xfId="1986"/>
    <cellStyle name="Heading 3 3 4" xfId="1987"/>
    <cellStyle name="Heading 3 3 5" xfId="1988"/>
    <cellStyle name="Heading 3 3 6" xfId="1989"/>
    <cellStyle name="Heading 3 3 7" xfId="1990"/>
    <cellStyle name="Heading 3 3 8" xfId="1984"/>
    <cellStyle name="Heading 3 4" xfId="173"/>
    <cellStyle name="Heading 3 4 2" xfId="1992"/>
    <cellStyle name="Heading 3 4 3" xfId="1993"/>
    <cellStyle name="Heading 3 4 4" xfId="1994"/>
    <cellStyle name="Heading 3 4 5" xfId="1995"/>
    <cellStyle name="Heading 3 4 6" xfId="1996"/>
    <cellStyle name="Heading 3 4 7" xfId="1997"/>
    <cellStyle name="Heading 3 4 8" xfId="1991"/>
    <cellStyle name="Heading 3 5" xfId="174"/>
    <cellStyle name="Heading 3 5 2" xfId="1998"/>
    <cellStyle name="Heading 3 5 3" xfId="1999"/>
    <cellStyle name="Heading 3 5 4" xfId="2000"/>
    <cellStyle name="Heading 3 5 5" xfId="2001"/>
    <cellStyle name="Heading 3 5 6" xfId="2002"/>
    <cellStyle name="Heading 3 6" xfId="175"/>
    <cellStyle name="Heading 3 6 2" xfId="2003"/>
    <cellStyle name="Heading 3 6 3" xfId="2004"/>
    <cellStyle name="Heading 3 6 4" xfId="2005"/>
    <cellStyle name="Heading 3 6 5" xfId="2006"/>
    <cellStyle name="Heading 3 6 6" xfId="2007"/>
    <cellStyle name="Heading 3 7" xfId="176"/>
    <cellStyle name="Heading 3 7 2" xfId="2008"/>
    <cellStyle name="Heading 3 7 3" xfId="2009"/>
    <cellStyle name="Heading 3 7 4" xfId="2010"/>
    <cellStyle name="Heading 3 7 5" xfId="2011"/>
    <cellStyle name="Heading 3 7 6" xfId="2012"/>
    <cellStyle name="Heading 3 8 2" xfId="2013"/>
    <cellStyle name="Heading 3 8 3" xfId="2014"/>
    <cellStyle name="Heading 3 8 4" xfId="2015"/>
    <cellStyle name="Heading 3 8 5" xfId="2016"/>
    <cellStyle name="Heading 3 8 6" xfId="2017"/>
    <cellStyle name="Heading 3 9 2" xfId="2018"/>
    <cellStyle name="Heading 3 9 3" xfId="2019"/>
    <cellStyle name="Heading 3 9 4" xfId="2020"/>
    <cellStyle name="Heading 3 9 5" xfId="2021"/>
    <cellStyle name="Heading 3 9 6" xfId="2022"/>
    <cellStyle name="Heading 4 10 2" xfId="2023"/>
    <cellStyle name="Heading 4 10 3" xfId="2024"/>
    <cellStyle name="Heading 4 10 4" xfId="2025"/>
    <cellStyle name="Heading 4 10 5" xfId="2026"/>
    <cellStyle name="Heading 4 10 6" xfId="2027"/>
    <cellStyle name="Heading 4 11 2" xfId="2028"/>
    <cellStyle name="Heading 4 11 3" xfId="2029"/>
    <cellStyle name="Heading 4 11 4" xfId="2030"/>
    <cellStyle name="Heading 4 11 5" xfId="2031"/>
    <cellStyle name="Heading 4 11 6" xfId="2032"/>
    <cellStyle name="Heading 4 2" xfId="177"/>
    <cellStyle name="Heading 4 2 2" xfId="2033"/>
    <cellStyle name="Heading 4 2 3" xfId="2034"/>
    <cellStyle name="Heading 4 2 4" xfId="2035"/>
    <cellStyle name="Heading 4 2 5" xfId="2036"/>
    <cellStyle name="Heading 4 2 6" xfId="2037"/>
    <cellStyle name="Heading 4 3" xfId="178"/>
    <cellStyle name="Heading 4 3 2" xfId="2039"/>
    <cellStyle name="Heading 4 3 3" xfId="2040"/>
    <cellStyle name="Heading 4 3 4" xfId="2041"/>
    <cellStyle name="Heading 4 3 5" xfId="2042"/>
    <cellStyle name="Heading 4 3 6" xfId="2043"/>
    <cellStyle name="Heading 4 3 7" xfId="2044"/>
    <cellStyle name="Heading 4 3 8" xfId="2038"/>
    <cellStyle name="Heading 4 4" xfId="179"/>
    <cellStyle name="Heading 4 4 2" xfId="2046"/>
    <cellStyle name="Heading 4 4 3" xfId="2047"/>
    <cellStyle name="Heading 4 4 4" xfId="2048"/>
    <cellStyle name="Heading 4 4 5" xfId="2049"/>
    <cellStyle name="Heading 4 4 6" xfId="2050"/>
    <cellStyle name="Heading 4 4 7" xfId="2051"/>
    <cellStyle name="Heading 4 4 8" xfId="2045"/>
    <cellStyle name="Heading 4 5" xfId="180"/>
    <cellStyle name="Heading 4 5 2" xfId="2052"/>
    <cellStyle name="Heading 4 5 3" xfId="2053"/>
    <cellStyle name="Heading 4 5 4" xfId="2054"/>
    <cellStyle name="Heading 4 5 5" xfId="2055"/>
    <cellStyle name="Heading 4 5 6" xfId="2056"/>
    <cellStyle name="Heading 4 6" xfId="181"/>
    <cellStyle name="Heading 4 6 2" xfId="2057"/>
    <cellStyle name="Heading 4 6 3" xfId="2058"/>
    <cellStyle name="Heading 4 6 4" xfId="2059"/>
    <cellStyle name="Heading 4 6 5" xfId="2060"/>
    <cellStyle name="Heading 4 6 6" xfId="2061"/>
    <cellStyle name="Heading 4 7" xfId="182"/>
    <cellStyle name="Heading 4 7 2" xfId="2062"/>
    <cellStyle name="Heading 4 7 3" xfId="2063"/>
    <cellStyle name="Heading 4 7 4" xfId="2064"/>
    <cellStyle name="Heading 4 7 5" xfId="2065"/>
    <cellStyle name="Heading 4 7 6" xfId="2066"/>
    <cellStyle name="Heading 4 8 2" xfId="2067"/>
    <cellStyle name="Heading 4 8 3" xfId="2068"/>
    <cellStyle name="Heading 4 8 4" xfId="2069"/>
    <cellStyle name="Heading 4 8 5" xfId="2070"/>
    <cellStyle name="Heading 4 8 6" xfId="2071"/>
    <cellStyle name="Heading 4 9 2" xfId="2072"/>
    <cellStyle name="Heading 4 9 3" xfId="2073"/>
    <cellStyle name="Heading 4 9 4" xfId="2074"/>
    <cellStyle name="Heading 4 9 5" xfId="2075"/>
    <cellStyle name="Heading 4 9 6" xfId="2076"/>
    <cellStyle name="HEADING1" xfId="183"/>
    <cellStyle name="HEADING2" xfId="184"/>
    <cellStyle name="Hyperlink" xfId="2" builtinId="8"/>
    <cellStyle name="Hyperlink 2" xfId="15"/>
    <cellStyle name="Hyperlink 2 2" xfId="186"/>
    <cellStyle name="Hyperlink 2 2 2" xfId="187"/>
    <cellStyle name="Hyperlink 2 2 3" xfId="2077"/>
    <cellStyle name="Hyperlink 2 3" xfId="2078"/>
    <cellStyle name="Hyperlink 2 4" xfId="2079"/>
    <cellStyle name="Hyperlink 2 5" xfId="185"/>
    <cellStyle name="Hyperlink 2 6" xfId="2857"/>
    <cellStyle name="Hyperlink 3" xfId="188"/>
    <cellStyle name="Hyperlink 3 2" xfId="189"/>
    <cellStyle name="Hyperlink 3 3" xfId="2080"/>
    <cellStyle name="Hyperlink 30" xfId="2081"/>
    <cellStyle name="In 000s (Convert to 000s)" xfId="190"/>
    <cellStyle name="Input 10 2" xfId="2082"/>
    <cellStyle name="Input 10 2 2" xfId="2652"/>
    <cellStyle name="Input 10 3" xfId="2083"/>
    <cellStyle name="Input 10 3 2" xfId="2653"/>
    <cellStyle name="Input 10 4" xfId="2084"/>
    <cellStyle name="Input 10 4 2" xfId="2654"/>
    <cellStyle name="Input 10 5" xfId="2085"/>
    <cellStyle name="Input 10 5 2" xfId="2655"/>
    <cellStyle name="Input 10 6" xfId="2086"/>
    <cellStyle name="Input 10 6 2" xfId="2656"/>
    <cellStyle name="Input 11 2" xfId="2087"/>
    <cellStyle name="Input 11 2 2" xfId="2657"/>
    <cellStyle name="Input 11 3" xfId="2088"/>
    <cellStyle name="Input 11 3 2" xfId="2658"/>
    <cellStyle name="Input 11 4" xfId="2089"/>
    <cellStyle name="Input 11 4 2" xfId="2659"/>
    <cellStyle name="Input 11 5" xfId="2090"/>
    <cellStyle name="Input 11 5 2" xfId="2660"/>
    <cellStyle name="Input 11 6" xfId="2091"/>
    <cellStyle name="Input 11 6 2" xfId="2661"/>
    <cellStyle name="Input 2" xfId="191"/>
    <cellStyle name="Input 2 2" xfId="2092"/>
    <cellStyle name="Input 2 2 2" xfId="2662"/>
    <cellStyle name="Input 2 3" xfId="2093"/>
    <cellStyle name="Input 2 3 2" xfId="2663"/>
    <cellStyle name="Input 2 4" xfId="2094"/>
    <cellStyle name="Input 2 4 2" xfId="2664"/>
    <cellStyle name="Input 2 5" xfId="2095"/>
    <cellStyle name="Input 2 5 2" xfId="2665"/>
    <cellStyle name="Input 2 6" xfId="2096"/>
    <cellStyle name="Input 2 6 2" xfId="2666"/>
    <cellStyle name="Input 2 7" xfId="2555"/>
    <cellStyle name="Input 3" xfId="192"/>
    <cellStyle name="Input 3 2" xfId="2098"/>
    <cellStyle name="Input 3 2 2" xfId="2668"/>
    <cellStyle name="Input 3 3" xfId="2099"/>
    <cellStyle name="Input 3 3 2" xfId="2669"/>
    <cellStyle name="Input 3 4" xfId="2100"/>
    <cellStyle name="Input 3 4 2" xfId="2670"/>
    <cellStyle name="Input 3 5" xfId="2101"/>
    <cellStyle name="Input 3 5 2" xfId="2671"/>
    <cellStyle name="Input 3 6" xfId="2102"/>
    <cellStyle name="Input 3 6 2" xfId="2672"/>
    <cellStyle name="Input 3 7" xfId="2103"/>
    <cellStyle name="Input 3 7 2" xfId="2673"/>
    <cellStyle name="Input 3 8" xfId="2097"/>
    <cellStyle name="Input 3 8 2" xfId="2667"/>
    <cellStyle name="Input 3 9" xfId="2556"/>
    <cellStyle name="Input 4" xfId="193"/>
    <cellStyle name="Input 4 2" xfId="2105"/>
    <cellStyle name="Input 4 2 2" xfId="2675"/>
    <cellStyle name="Input 4 3" xfId="2106"/>
    <cellStyle name="Input 4 3 2" xfId="2676"/>
    <cellStyle name="Input 4 4" xfId="2107"/>
    <cellStyle name="Input 4 4 2" xfId="2677"/>
    <cellStyle name="Input 4 5" xfId="2108"/>
    <cellStyle name="Input 4 5 2" xfId="2678"/>
    <cellStyle name="Input 4 6" xfId="2109"/>
    <cellStyle name="Input 4 6 2" xfId="2679"/>
    <cellStyle name="Input 4 7" xfId="2110"/>
    <cellStyle name="Input 4 7 2" xfId="2680"/>
    <cellStyle name="Input 4 8" xfId="2104"/>
    <cellStyle name="Input 4 8 2" xfId="2674"/>
    <cellStyle name="Input 4 9" xfId="2557"/>
    <cellStyle name="Input 5" xfId="194"/>
    <cellStyle name="Input 5 2" xfId="2111"/>
    <cellStyle name="Input 5 2 2" xfId="2681"/>
    <cellStyle name="Input 5 3" xfId="2112"/>
    <cellStyle name="Input 5 3 2" xfId="2682"/>
    <cellStyle name="Input 5 4" xfId="2113"/>
    <cellStyle name="Input 5 4 2" xfId="2683"/>
    <cellStyle name="Input 5 5" xfId="2114"/>
    <cellStyle name="Input 5 5 2" xfId="2684"/>
    <cellStyle name="Input 5 6" xfId="2115"/>
    <cellStyle name="Input 5 6 2" xfId="2685"/>
    <cellStyle name="Input 5 7" xfId="2558"/>
    <cellStyle name="Input 6" xfId="195"/>
    <cellStyle name="Input 6 2" xfId="2116"/>
    <cellStyle name="Input 6 2 2" xfId="2686"/>
    <cellStyle name="Input 6 3" xfId="2117"/>
    <cellStyle name="Input 6 3 2" xfId="2687"/>
    <cellStyle name="Input 6 4" xfId="2118"/>
    <cellStyle name="Input 6 4 2" xfId="2688"/>
    <cellStyle name="Input 6 5" xfId="2119"/>
    <cellStyle name="Input 6 5 2" xfId="2689"/>
    <cellStyle name="Input 6 6" xfId="2120"/>
    <cellStyle name="Input 6 6 2" xfId="2690"/>
    <cellStyle name="Input 6 7" xfId="2559"/>
    <cellStyle name="Input 7" xfId="196"/>
    <cellStyle name="Input 7 2" xfId="2121"/>
    <cellStyle name="Input 7 2 2" xfId="2691"/>
    <cellStyle name="Input 7 3" xfId="2122"/>
    <cellStyle name="Input 7 3 2" xfId="2692"/>
    <cellStyle name="Input 7 4" xfId="2123"/>
    <cellStyle name="Input 7 4 2" xfId="2693"/>
    <cellStyle name="Input 7 5" xfId="2124"/>
    <cellStyle name="Input 7 5 2" xfId="2694"/>
    <cellStyle name="Input 7 6" xfId="2125"/>
    <cellStyle name="Input 7 6 2" xfId="2695"/>
    <cellStyle name="Input 7 7" xfId="2560"/>
    <cellStyle name="Input 8 2" xfId="2126"/>
    <cellStyle name="Input 8 2 2" xfId="2696"/>
    <cellStyle name="Input 8 3" xfId="2127"/>
    <cellStyle name="Input 8 3 2" xfId="2697"/>
    <cellStyle name="Input 8 4" xfId="2128"/>
    <cellStyle name="Input 8 4 2" xfId="2698"/>
    <cellStyle name="Input 8 5" xfId="2129"/>
    <cellStyle name="Input 8 5 2" xfId="2699"/>
    <cellStyle name="Input 8 6" xfId="2130"/>
    <cellStyle name="Input 8 6 2" xfId="2700"/>
    <cellStyle name="Input 9 2" xfId="2131"/>
    <cellStyle name="Input 9 2 2" xfId="2701"/>
    <cellStyle name="Input 9 3" xfId="2132"/>
    <cellStyle name="Input 9 3 2" xfId="2702"/>
    <cellStyle name="Input 9 4" xfId="2133"/>
    <cellStyle name="Input 9 4 2" xfId="2703"/>
    <cellStyle name="Input 9 5" xfId="2134"/>
    <cellStyle name="Input 9 5 2" xfId="2704"/>
    <cellStyle name="Input 9 6" xfId="2135"/>
    <cellStyle name="Input 9 6 2" xfId="2705"/>
    <cellStyle name="Linked Cell 10 2" xfId="2136"/>
    <cellStyle name="Linked Cell 10 3" xfId="2137"/>
    <cellStyle name="Linked Cell 10 4" xfId="2138"/>
    <cellStyle name="Linked Cell 10 5" xfId="2139"/>
    <cellStyle name="Linked Cell 10 6" xfId="2140"/>
    <cellStyle name="Linked Cell 11 2" xfId="2141"/>
    <cellStyle name="Linked Cell 11 3" xfId="2142"/>
    <cellStyle name="Linked Cell 11 4" xfId="2143"/>
    <cellStyle name="Linked Cell 11 5" xfId="2144"/>
    <cellStyle name="Linked Cell 11 6" xfId="2145"/>
    <cellStyle name="Linked Cell 2" xfId="197"/>
    <cellStyle name="Linked Cell 2 2" xfId="2146"/>
    <cellStyle name="Linked Cell 2 3" xfId="2147"/>
    <cellStyle name="Linked Cell 2 4" xfId="2148"/>
    <cellStyle name="Linked Cell 2 5" xfId="2149"/>
    <cellStyle name="Linked Cell 2 6" xfId="2150"/>
    <cellStyle name="Linked Cell 3" xfId="198"/>
    <cellStyle name="Linked Cell 3 2" xfId="2152"/>
    <cellStyle name="Linked Cell 3 3" xfId="2153"/>
    <cellStyle name="Linked Cell 3 4" xfId="2154"/>
    <cellStyle name="Linked Cell 3 5" xfId="2155"/>
    <cellStyle name="Linked Cell 3 6" xfId="2156"/>
    <cellStyle name="Linked Cell 3 7" xfId="2157"/>
    <cellStyle name="Linked Cell 3 8" xfId="2151"/>
    <cellStyle name="Linked Cell 4" xfId="199"/>
    <cellStyle name="Linked Cell 4 2" xfId="2159"/>
    <cellStyle name="Linked Cell 4 3" xfId="2160"/>
    <cellStyle name="Linked Cell 4 4" xfId="2161"/>
    <cellStyle name="Linked Cell 4 5" xfId="2162"/>
    <cellStyle name="Linked Cell 4 6" xfId="2163"/>
    <cellStyle name="Linked Cell 4 7" xfId="2164"/>
    <cellStyle name="Linked Cell 4 8" xfId="2158"/>
    <cellStyle name="Linked Cell 5" xfId="200"/>
    <cellStyle name="Linked Cell 5 2" xfId="2165"/>
    <cellStyle name="Linked Cell 5 3" xfId="2166"/>
    <cellStyle name="Linked Cell 5 4" xfId="2167"/>
    <cellStyle name="Linked Cell 5 5" xfId="2168"/>
    <cellStyle name="Linked Cell 5 6" xfId="2169"/>
    <cellStyle name="Linked Cell 6" xfId="201"/>
    <cellStyle name="Linked Cell 6 2" xfId="2170"/>
    <cellStyle name="Linked Cell 6 3" xfId="2171"/>
    <cellStyle name="Linked Cell 6 4" xfId="2172"/>
    <cellStyle name="Linked Cell 6 5" xfId="2173"/>
    <cellStyle name="Linked Cell 6 6" xfId="2174"/>
    <cellStyle name="Linked Cell 7" xfId="202"/>
    <cellStyle name="Linked Cell 7 2" xfId="2175"/>
    <cellStyle name="Linked Cell 7 3" xfId="2176"/>
    <cellStyle name="Linked Cell 7 4" xfId="2177"/>
    <cellStyle name="Linked Cell 7 5" xfId="2178"/>
    <cellStyle name="Linked Cell 7 6" xfId="2179"/>
    <cellStyle name="Linked Cell 8 2" xfId="2180"/>
    <cellStyle name="Linked Cell 8 3" xfId="2181"/>
    <cellStyle name="Linked Cell 8 4" xfId="2182"/>
    <cellStyle name="Linked Cell 8 5" xfId="2183"/>
    <cellStyle name="Linked Cell 8 6" xfId="2184"/>
    <cellStyle name="Linked Cell 9 2" xfId="2185"/>
    <cellStyle name="Linked Cell 9 3" xfId="2186"/>
    <cellStyle name="Linked Cell 9 4" xfId="2187"/>
    <cellStyle name="Linked Cell 9 5" xfId="2188"/>
    <cellStyle name="Linked Cell 9 6" xfId="2189"/>
    <cellStyle name="Neutral 10 2" xfId="2190"/>
    <cellStyle name="Neutral 10 3" xfId="2191"/>
    <cellStyle name="Neutral 10 4" xfId="2192"/>
    <cellStyle name="Neutral 10 5" xfId="2193"/>
    <cellStyle name="Neutral 10 6" xfId="2194"/>
    <cellStyle name="Neutral 11 2" xfId="2195"/>
    <cellStyle name="Neutral 11 3" xfId="2196"/>
    <cellStyle name="Neutral 11 4" xfId="2197"/>
    <cellStyle name="Neutral 11 5" xfId="2198"/>
    <cellStyle name="Neutral 11 6" xfId="2199"/>
    <cellStyle name="Neutral 2" xfId="203"/>
    <cellStyle name="Neutral 2 2" xfId="2200"/>
    <cellStyle name="Neutral 2 3" xfId="2201"/>
    <cellStyle name="Neutral 2 4" xfId="2202"/>
    <cellStyle name="Neutral 2 5" xfId="2203"/>
    <cellStyle name="Neutral 2 6" xfId="2204"/>
    <cellStyle name="Neutral 3" xfId="204"/>
    <cellStyle name="Neutral 3 2" xfId="2206"/>
    <cellStyle name="Neutral 3 3" xfId="2207"/>
    <cellStyle name="Neutral 3 4" xfId="2208"/>
    <cellStyle name="Neutral 3 5" xfId="2209"/>
    <cellStyle name="Neutral 3 6" xfId="2210"/>
    <cellStyle name="Neutral 3 7" xfId="2211"/>
    <cellStyle name="Neutral 3 8" xfId="2205"/>
    <cellStyle name="Neutral 4" xfId="205"/>
    <cellStyle name="Neutral 4 2" xfId="2213"/>
    <cellStyle name="Neutral 4 3" xfId="2214"/>
    <cellStyle name="Neutral 4 4" xfId="2215"/>
    <cellStyle name="Neutral 4 5" xfId="2216"/>
    <cellStyle name="Neutral 4 6" xfId="2217"/>
    <cellStyle name="Neutral 4 7" xfId="2218"/>
    <cellStyle name="Neutral 4 8" xfId="2212"/>
    <cellStyle name="Neutral 5" xfId="206"/>
    <cellStyle name="Neutral 5 2" xfId="2219"/>
    <cellStyle name="Neutral 5 3" xfId="2220"/>
    <cellStyle name="Neutral 5 4" xfId="2221"/>
    <cellStyle name="Neutral 5 5" xfId="2222"/>
    <cellStyle name="Neutral 5 6" xfId="2223"/>
    <cellStyle name="Neutral 6" xfId="207"/>
    <cellStyle name="Neutral 6 2" xfId="2224"/>
    <cellStyle name="Neutral 6 3" xfId="2225"/>
    <cellStyle name="Neutral 6 4" xfId="2226"/>
    <cellStyle name="Neutral 6 5" xfId="2227"/>
    <cellStyle name="Neutral 6 6" xfId="2228"/>
    <cellStyle name="Neutral 7" xfId="208"/>
    <cellStyle name="Neutral 7 2" xfId="2229"/>
    <cellStyle name="Neutral 7 3" xfId="2230"/>
    <cellStyle name="Neutral 7 4" xfId="2231"/>
    <cellStyle name="Neutral 7 5" xfId="2232"/>
    <cellStyle name="Neutral 7 6" xfId="2233"/>
    <cellStyle name="Neutral 8 2" xfId="2234"/>
    <cellStyle name="Neutral 8 3" xfId="2235"/>
    <cellStyle name="Neutral 8 4" xfId="2236"/>
    <cellStyle name="Neutral 8 5" xfId="2237"/>
    <cellStyle name="Neutral 8 6" xfId="2238"/>
    <cellStyle name="Neutral 9 2" xfId="2239"/>
    <cellStyle name="Neutral 9 3" xfId="2240"/>
    <cellStyle name="Neutral 9 4" xfId="2241"/>
    <cellStyle name="Neutral 9 5" xfId="2242"/>
    <cellStyle name="Neutral 9 6" xfId="2243"/>
    <cellStyle name="No Border" xfId="209"/>
    <cellStyle name="Normal" xfId="0" builtinId="0"/>
    <cellStyle name="Normal 10 2" xfId="2244"/>
    <cellStyle name="Normal 11 2" xfId="2245"/>
    <cellStyle name="Normal 2" xfId="3"/>
    <cellStyle name="Normal 2 2" xfId="210"/>
    <cellStyle name="Normal 2 2 2" xfId="2247"/>
    <cellStyle name="Normal 2 2 3" xfId="2246"/>
    <cellStyle name="Normal 2 3" xfId="2248"/>
    <cellStyle name="Normal 2 4" xfId="2249"/>
    <cellStyle name="Normal 2 5" xfId="2250"/>
    <cellStyle name="Normal 2 6" xfId="2251"/>
    <cellStyle name="Normal 3" xfId="4"/>
    <cellStyle name="Normal 3 10" xfId="2838"/>
    <cellStyle name="Normal 3 11" xfId="2858"/>
    <cellStyle name="Normal 3 12" xfId="19"/>
    <cellStyle name="Normal 3 2" xfId="14"/>
    <cellStyle name="Normal 3 2 2" xfId="18"/>
    <cellStyle name="Normal 3 2 2 2" xfId="211"/>
    <cellStyle name="Normal 3 2 3" xfId="2524"/>
    <cellStyle name="Normal 3 2 3 2" xfId="2848"/>
    <cellStyle name="Normal 3 2 4" xfId="30"/>
    <cellStyle name="Normal 3 2 4 2" xfId="2842"/>
    <cellStyle name="Normal 3 2 5" xfId="23"/>
    <cellStyle name="Normal 3 2 6" xfId="2839"/>
    <cellStyle name="Normal 3 2 7" xfId="20"/>
    <cellStyle name="Normal 3 3" xfId="212"/>
    <cellStyle name="Normal 3 3 2" xfId="213"/>
    <cellStyle name="Normal 3 3 2 2" xfId="2525"/>
    <cellStyle name="Normal 3 3 3" xfId="2252"/>
    <cellStyle name="Normal 3 4" xfId="2253"/>
    <cellStyle name="Normal 3 4 2" xfId="2846"/>
    <cellStyle name="Normal 3 5" xfId="2531"/>
    <cellStyle name="Normal 3 5 2" xfId="2850"/>
    <cellStyle name="Normal 3 6" xfId="2534"/>
    <cellStyle name="Normal 3 6 2" xfId="2852"/>
    <cellStyle name="Normal 3 7" xfId="25"/>
    <cellStyle name="Normal 3 7 2" xfId="2841"/>
    <cellStyle name="Normal 3 8" xfId="24"/>
    <cellStyle name="Normal 3 8 2" xfId="2840"/>
    <cellStyle name="Normal 3 9" xfId="22"/>
    <cellStyle name="Normal 4" xfId="16"/>
    <cellStyle name="Normal 4 2" xfId="2254"/>
    <cellStyle name="Normal 4 2 2" xfId="2847"/>
    <cellStyle name="Normal 4 3" xfId="2532"/>
    <cellStyle name="Normal 4 3 2" xfId="2851"/>
    <cellStyle name="Normal 4 4" xfId="2536"/>
    <cellStyle name="Normal 4 4 2" xfId="2854"/>
    <cellStyle name="Normal 4 5" xfId="214"/>
    <cellStyle name="Normal 4 6" xfId="2844"/>
    <cellStyle name="Normal 4 7" xfId="2859"/>
    <cellStyle name="Normal 4 8" xfId="21"/>
    <cellStyle name="Normal 5" xfId="17"/>
    <cellStyle name="Normal 5 2" xfId="2255"/>
    <cellStyle name="Normal 5 3" xfId="215"/>
    <cellStyle name="Normal 6" xfId="2533"/>
    <cellStyle name="Normal 6 2" xfId="2256"/>
    <cellStyle name="Normal 7" xfId="2855"/>
    <cellStyle name="Normal 7 2" xfId="2257"/>
    <cellStyle name="Normal 8 2" xfId="2258"/>
    <cellStyle name="Normal 9 2" xfId="225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 name="Note 10 2" xfId="2260"/>
    <cellStyle name="Note 10 2 2" xfId="2706"/>
    <cellStyle name="Note 10 3" xfId="2261"/>
    <cellStyle name="Note 10 3 2" xfId="2707"/>
    <cellStyle name="Note 10 4" xfId="2262"/>
    <cellStyle name="Note 10 4 2" xfId="2708"/>
    <cellStyle name="Note 10 5" xfId="2263"/>
    <cellStyle name="Note 10 5 2" xfId="2709"/>
    <cellStyle name="Note 10 6" xfId="2264"/>
    <cellStyle name="Note 10 6 2" xfId="2710"/>
    <cellStyle name="Note 11 2" xfId="2265"/>
    <cellStyle name="Note 11 2 2" xfId="2711"/>
    <cellStyle name="Note 11 3" xfId="2266"/>
    <cellStyle name="Note 11 3 2" xfId="2712"/>
    <cellStyle name="Note 11 4" xfId="2267"/>
    <cellStyle name="Note 11 4 2" xfId="2713"/>
    <cellStyle name="Note 11 5" xfId="2268"/>
    <cellStyle name="Note 11 5 2" xfId="2714"/>
    <cellStyle name="Note 11 6" xfId="2269"/>
    <cellStyle name="Note 11 6 2" xfId="2715"/>
    <cellStyle name="Note 2" xfId="216"/>
    <cellStyle name="Note 2 2" xfId="2270"/>
    <cellStyle name="Note 2 2 2" xfId="2716"/>
    <cellStyle name="Note 2 3" xfId="2271"/>
    <cellStyle name="Note 2 3 2" xfId="2717"/>
    <cellStyle name="Note 2 4" xfId="2272"/>
    <cellStyle name="Note 2 4 2" xfId="2718"/>
    <cellStyle name="Note 2 5" xfId="2273"/>
    <cellStyle name="Note 2 5 2" xfId="2719"/>
    <cellStyle name="Note 2 6" xfId="2274"/>
    <cellStyle name="Note 2 6 2" xfId="2720"/>
    <cellStyle name="Note 2 7" xfId="2561"/>
    <cellStyle name="Note 3" xfId="217"/>
    <cellStyle name="Note 3 2" xfId="2276"/>
    <cellStyle name="Note 3 2 2" xfId="2722"/>
    <cellStyle name="Note 3 3" xfId="2277"/>
    <cellStyle name="Note 3 3 2" xfId="2723"/>
    <cellStyle name="Note 3 4" xfId="2278"/>
    <cellStyle name="Note 3 4 2" xfId="2724"/>
    <cellStyle name="Note 3 5" xfId="2279"/>
    <cellStyle name="Note 3 5 2" xfId="2725"/>
    <cellStyle name="Note 3 6" xfId="2280"/>
    <cellStyle name="Note 3 6 2" xfId="2726"/>
    <cellStyle name="Note 3 7" xfId="2281"/>
    <cellStyle name="Note 3 7 2" xfId="2727"/>
    <cellStyle name="Note 3 8" xfId="2275"/>
    <cellStyle name="Note 3 8 2" xfId="2721"/>
    <cellStyle name="Note 3 9" xfId="2562"/>
    <cellStyle name="Note 4" xfId="218"/>
    <cellStyle name="Note 4 2" xfId="2283"/>
    <cellStyle name="Note 4 2 2" xfId="2729"/>
    <cellStyle name="Note 4 3" xfId="2284"/>
    <cellStyle name="Note 4 3 2" xfId="2730"/>
    <cellStyle name="Note 4 4" xfId="2285"/>
    <cellStyle name="Note 4 4 2" xfId="2731"/>
    <cellStyle name="Note 4 5" xfId="2286"/>
    <cellStyle name="Note 4 5 2" xfId="2732"/>
    <cellStyle name="Note 4 6" xfId="2287"/>
    <cellStyle name="Note 4 6 2" xfId="2733"/>
    <cellStyle name="Note 4 7" xfId="2288"/>
    <cellStyle name="Note 4 7 2" xfId="2734"/>
    <cellStyle name="Note 4 8" xfId="2282"/>
    <cellStyle name="Note 4 8 2" xfId="2728"/>
    <cellStyle name="Note 4 9" xfId="2563"/>
    <cellStyle name="Note 5" xfId="219"/>
    <cellStyle name="Note 5 2" xfId="2289"/>
    <cellStyle name="Note 5 2 2" xfId="2735"/>
    <cellStyle name="Note 5 3" xfId="2290"/>
    <cellStyle name="Note 5 3 2" xfId="2736"/>
    <cellStyle name="Note 5 4" xfId="2291"/>
    <cellStyle name="Note 5 4 2" xfId="2737"/>
    <cellStyle name="Note 5 5" xfId="2292"/>
    <cellStyle name="Note 5 5 2" xfId="2738"/>
    <cellStyle name="Note 5 6" xfId="2293"/>
    <cellStyle name="Note 5 6 2" xfId="2739"/>
    <cellStyle name="Note 5 7" xfId="2564"/>
    <cellStyle name="Note 6" xfId="220"/>
    <cellStyle name="Note 6 2" xfId="2294"/>
    <cellStyle name="Note 6 2 2" xfId="2740"/>
    <cellStyle name="Note 6 3" xfId="2295"/>
    <cellStyle name="Note 6 3 2" xfId="2741"/>
    <cellStyle name="Note 6 4" xfId="2296"/>
    <cellStyle name="Note 6 4 2" xfId="2742"/>
    <cellStyle name="Note 6 5" xfId="2297"/>
    <cellStyle name="Note 6 5 2" xfId="2743"/>
    <cellStyle name="Note 6 6" xfId="2298"/>
    <cellStyle name="Note 6 6 2" xfId="2744"/>
    <cellStyle name="Note 6 7" xfId="2565"/>
    <cellStyle name="Note 7" xfId="221"/>
    <cellStyle name="Note 7 2" xfId="2299"/>
    <cellStyle name="Note 7 2 2" xfId="2745"/>
    <cellStyle name="Note 7 3" xfId="2300"/>
    <cellStyle name="Note 7 3 2" xfId="2746"/>
    <cellStyle name="Note 7 4" xfId="2301"/>
    <cellStyle name="Note 7 4 2" xfId="2747"/>
    <cellStyle name="Note 7 5" xfId="2302"/>
    <cellStyle name="Note 7 5 2" xfId="2748"/>
    <cellStyle name="Note 7 6" xfId="2303"/>
    <cellStyle name="Note 7 6 2" xfId="2749"/>
    <cellStyle name="Note 7 7" xfId="2566"/>
    <cellStyle name="Note 8 2" xfId="2304"/>
    <cellStyle name="Note 8 2 2" xfId="2750"/>
    <cellStyle name="Note 8 3" xfId="2305"/>
    <cellStyle name="Note 8 3 2" xfId="2751"/>
    <cellStyle name="Note 8 4" xfId="2306"/>
    <cellStyle name="Note 8 4 2" xfId="2752"/>
    <cellStyle name="Note 8 5" xfId="2307"/>
    <cellStyle name="Note 8 5 2" xfId="2753"/>
    <cellStyle name="Note 8 6" xfId="2308"/>
    <cellStyle name="Note 8 6 2" xfId="2754"/>
    <cellStyle name="Note 9 2" xfId="2309"/>
    <cellStyle name="Note 9 2 2" xfId="2755"/>
    <cellStyle name="Note 9 3" xfId="2310"/>
    <cellStyle name="Note 9 3 2" xfId="2756"/>
    <cellStyle name="Note 9 4" xfId="2311"/>
    <cellStyle name="Note 9 4 2" xfId="2757"/>
    <cellStyle name="Note 9 5" xfId="2312"/>
    <cellStyle name="Note 9 5 2" xfId="2758"/>
    <cellStyle name="Note 9 6" xfId="2313"/>
    <cellStyle name="Note 9 6 2" xfId="2759"/>
    <cellStyle name="Number" xfId="222"/>
    <cellStyle name="Output 10 2" xfId="2314"/>
    <cellStyle name="Output 10 2 2" xfId="2547"/>
    <cellStyle name="Output 10 3" xfId="2315"/>
    <cellStyle name="Output 10 3 2" xfId="2596"/>
    <cellStyle name="Output 10 4" xfId="2316"/>
    <cellStyle name="Output 10 4 2" xfId="2597"/>
    <cellStyle name="Output 10 5" xfId="2317"/>
    <cellStyle name="Output 10 5 2" xfId="2548"/>
    <cellStyle name="Output 10 6" xfId="2318"/>
    <cellStyle name="Output 10 6 2" xfId="2546"/>
    <cellStyle name="Output 11 2" xfId="2319"/>
    <cellStyle name="Output 11 2 2" xfId="2545"/>
    <cellStyle name="Output 11 3" xfId="2320"/>
    <cellStyle name="Output 11 3 2" xfId="2544"/>
    <cellStyle name="Output 11 4" xfId="2321"/>
    <cellStyle name="Output 11 4 2" xfId="2543"/>
    <cellStyle name="Output 11 5" xfId="2322"/>
    <cellStyle name="Output 11 5 2" xfId="2542"/>
    <cellStyle name="Output 11 6" xfId="2323"/>
    <cellStyle name="Output 11 6 2" xfId="2595"/>
    <cellStyle name="Output 2" xfId="223"/>
    <cellStyle name="Output 2 2" xfId="2324"/>
    <cellStyle name="Output 2 2 2" xfId="2594"/>
    <cellStyle name="Output 2 3" xfId="2325"/>
    <cellStyle name="Output 2 3 2" xfId="2593"/>
    <cellStyle name="Output 2 4" xfId="2326"/>
    <cellStyle name="Output 2 4 2" xfId="2592"/>
    <cellStyle name="Output 2 5" xfId="2327"/>
    <cellStyle name="Output 2 5 2" xfId="2591"/>
    <cellStyle name="Output 2 6" xfId="2328"/>
    <cellStyle name="Output 2 6 2" xfId="2590"/>
    <cellStyle name="Output 2 7" xfId="2772"/>
    <cellStyle name="Output 3" xfId="224"/>
    <cellStyle name="Output 3 2" xfId="2330"/>
    <cellStyle name="Output 3 2 2" xfId="2588"/>
    <cellStyle name="Output 3 3" xfId="2331"/>
    <cellStyle name="Output 3 3 2" xfId="2587"/>
    <cellStyle name="Output 3 4" xfId="2332"/>
    <cellStyle name="Output 3 4 2" xfId="2541"/>
    <cellStyle name="Output 3 5" xfId="2333"/>
    <cellStyle name="Output 3 5 2" xfId="2586"/>
    <cellStyle name="Output 3 6" xfId="2334"/>
    <cellStyle name="Output 3 6 2" xfId="2585"/>
    <cellStyle name="Output 3 7" xfId="2335"/>
    <cellStyle name="Output 3 7 2" xfId="2584"/>
    <cellStyle name="Output 3 8" xfId="2329"/>
    <cellStyle name="Output 3 8 2" xfId="2589"/>
    <cellStyle name="Output 3 9" xfId="2771"/>
    <cellStyle name="Output 4" xfId="225"/>
    <cellStyle name="Output 4 2" xfId="2337"/>
    <cellStyle name="Output 4 2 2" xfId="2582"/>
    <cellStyle name="Output 4 3" xfId="2338"/>
    <cellStyle name="Output 4 3 2" xfId="2581"/>
    <cellStyle name="Output 4 4" xfId="2339"/>
    <cellStyle name="Output 4 4 2" xfId="2580"/>
    <cellStyle name="Output 4 5" xfId="2340"/>
    <cellStyle name="Output 4 5 2" xfId="2579"/>
    <cellStyle name="Output 4 6" xfId="2341"/>
    <cellStyle name="Output 4 6 2" xfId="2578"/>
    <cellStyle name="Output 4 7" xfId="2342"/>
    <cellStyle name="Output 4 7 2" xfId="2577"/>
    <cellStyle name="Output 4 8" xfId="2336"/>
    <cellStyle name="Output 4 8 2" xfId="2583"/>
    <cellStyle name="Output 4 9" xfId="2770"/>
    <cellStyle name="Output 5" xfId="226"/>
    <cellStyle name="Output 5 2" xfId="2343"/>
    <cellStyle name="Output 5 2 2" xfId="2540"/>
    <cellStyle name="Output 5 3" xfId="2344"/>
    <cellStyle name="Output 5 3 2" xfId="2576"/>
    <cellStyle name="Output 5 4" xfId="2345"/>
    <cellStyle name="Output 5 4 2" xfId="2575"/>
    <cellStyle name="Output 5 5" xfId="2346"/>
    <cellStyle name="Output 5 5 2" xfId="2574"/>
    <cellStyle name="Output 5 6" xfId="2347"/>
    <cellStyle name="Output 5 6 2" xfId="2573"/>
    <cellStyle name="Output 5 7" xfId="2769"/>
    <cellStyle name="Output 6" xfId="227"/>
    <cellStyle name="Output 6 2" xfId="2348"/>
    <cellStyle name="Output 6 2 2" xfId="2572"/>
    <cellStyle name="Output 6 3" xfId="2349"/>
    <cellStyle name="Output 6 3 2" xfId="2571"/>
    <cellStyle name="Output 6 4" xfId="2350"/>
    <cellStyle name="Output 6 4 2" xfId="2570"/>
    <cellStyle name="Output 6 5" xfId="2351"/>
    <cellStyle name="Output 6 5 2" xfId="2569"/>
    <cellStyle name="Output 6 6" xfId="2352"/>
    <cellStyle name="Output 6 6 2" xfId="2568"/>
    <cellStyle name="Output 6 7" xfId="2768"/>
    <cellStyle name="Output 7" xfId="228"/>
    <cellStyle name="Output 7 2" xfId="2353"/>
    <cellStyle name="Output 7 2 2" xfId="2567"/>
    <cellStyle name="Output 7 3" xfId="2354"/>
    <cellStyle name="Output 7 3 2" xfId="2537"/>
    <cellStyle name="Output 7 4" xfId="2355"/>
    <cellStyle name="Output 7 4 2" xfId="2539"/>
    <cellStyle name="Output 7 5" xfId="2356"/>
    <cellStyle name="Output 7 5 2" xfId="2538"/>
    <cellStyle name="Output 7 6" xfId="2357"/>
    <cellStyle name="Output 7 6 2" xfId="2773"/>
    <cellStyle name="Output 7 7" xfId="2767"/>
    <cellStyle name="Output 8 2" xfId="2358"/>
    <cellStyle name="Output 8 2 2" xfId="2774"/>
    <cellStyle name="Output 8 3" xfId="2359"/>
    <cellStyle name="Output 8 3 2" xfId="2775"/>
    <cellStyle name="Output 8 4" xfId="2360"/>
    <cellStyle name="Output 8 4 2" xfId="2776"/>
    <cellStyle name="Output 8 5" xfId="2361"/>
    <cellStyle name="Output 8 5 2" xfId="2777"/>
    <cellStyle name="Output 8 6" xfId="2362"/>
    <cellStyle name="Output 8 6 2" xfId="2778"/>
    <cellStyle name="Output 9 2" xfId="2363"/>
    <cellStyle name="Output 9 2 2" xfId="2779"/>
    <cellStyle name="Output 9 3" xfId="2364"/>
    <cellStyle name="Output 9 3 2" xfId="2780"/>
    <cellStyle name="Output 9 4" xfId="2365"/>
    <cellStyle name="Output 9 4 2" xfId="2781"/>
    <cellStyle name="Output 9 5" xfId="2366"/>
    <cellStyle name="Output 9 5 2" xfId="2782"/>
    <cellStyle name="Output 9 6" xfId="2367"/>
    <cellStyle name="Output 9 6 2" xfId="2783"/>
    <cellStyle name="Rounding" xfId="229"/>
    <cellStyle name="Sheet Title" xfId="230"/>
    <cellStyle name="Single Border" xfId="231"/>
    <cellStyle name="Single Underline" xfId="232"/>
    <cellStyle name="STYLE1" xfId="233"/>
    <cellStyle name="STYLE2" xfId="234"/>
    <cellStyle name="Title 10 2" xfId="2368"/>
    <cellStyle name="Title 10 3" xfId="2369"/>
    <cellStyle name="Title 10 4" xfId="2370"/>
    <cellStyle name="Title 10 5" xfId="2371"/>
    <cellStyle name="Title 10 6" xfId="2372"/>
    <cellStyle name="Title 11 2" xfId="2373"/>
    <cellStyle name="Title 11 3" xfId="2374"/>
    <cellStyle name="Title 11 4" xfId="2375"/>
    <cellStyle name="Title 11 5" xfId="2376"/>
    <cellStyle name="Title 11 6" xfId="2377"/>
    <cellStyle name="Title 2" xfId="2378"/>
    <cellStyle name="Title 2 2" xfId="2379"/>
    <cellStyle name="Title 2 3" xfId="2380"/>
    <cellStyle name="Title 2 4" xfId="2381"/>
    <cellStyle name="Title 2 5" xfId="2382"/>
    <cellStyle name="Title 2 6" xfId="2383"/>
    <cellStyle name="Title 3" xfId="2384"/>
    <cellStyle name="Title 3 2" xfId="2385"/>
    <cellStyle name="Title 3 3" xfId="2386"/>
    <cellStyle name="Title 3 4" xfId="2387"/>
    <cellStyle name="Title 3 5" xfId="2388"/>
    <cellStyle name="Title 3 6" xfId="2389"/>
    <cellStyle name="Title 4 2" xfId="2390"/>
    <cellStyle name="Title 4 3" xfId="2391"/>
    <cellStyle name="Title 4 4" xfId="2392"/>
    <cellStyle name="Title 4 5" xfId="2393"/>
    <cellStyle name="Title 4 6" xfId="2394"/>
    <cellStyle name="Title 5 2" xfId="2395"/>
    <cellStyle name="Title 5 3" xfId="2396"/>
    <cellStyle name="Title 5 4" xfId="2397"/>
    <cellStyle name="Title 5 5" xfId="2398"/>
    <cellStyle name="Title 5 6" xfId="2399"/>
    <cellStyle name="Title 6 2" xfId="2400"/>
    <cellStyle name="Title 6 3" xfId="2401"/>
    <cellStyle name="Title 6 4" xfId="2402"/>
    <cellStyle name="Title 6 5" xfId="2403"/>
    <cellStyle name="Title 6 6" xfId="2404"/>
    <cellStyle name="Title 7 2" xfId="2405"/>
    <cellStyle name="Title 7 3" xfId="2406"/>
    <cellStyle name="Title 7 4" xfId="2407"/>
    <cellStyle name="Title 7 5" xfId="2408"/>
    <cellStyle name="Title 7 6" xfId="2409"/>
    <cellStyle name="Title 8 2" xfId="2410"/>
    <cellStyle name="Title 8 3" xfId="2411"/>
    <cellStyle name="Title 8 4" xfId="2412"/>
    <cellStyle name="Title 8 5" xfId="2413"/>
    <cellStyle name="Title 8 6" xfId="2414"/>
    <cellStyle name="Title 9 2" xfId="2415"/>
    <cellStyle name="Title 9 3" xfId="2416"/>
    <cellStyle name="Title 9 4" xfId="2417"/>
    <cellStyle name="Title 9 5" xfId="2418"/>
    <cellStyle name="Title 9 6" xfId="2419"/>
    <cellStyle name="Top Bold Border" xfId="235"/>
    <cellStyle name="Top Double Border" xfId="236"/>
    <cellStyle name="Top Single Border" xfId="237"/>
    <cellStyle name="Top Single Border 2" xfId="2766"/>
    <cellStyle name="Total 10 2" xfId="2420"/>
    <cellStyle name="Total 10 2 2" xfId="2784"/>
    <cellStyle name="Total 10 3" xfId="2421"/>
    <cellStyle name="Total 10 3 2" xfId="2785"/>
    <cellStyle name="Total 10 4" xfId="2422"/>
    <cellStyle name="Total 10 4 2" xfId="2786"/>
    <cellStyle name="Total 10 5" xfId="2423"/>
    <cellStyle name="Total 10 5 2" xfId="2787"/>
    <cellStyle name="Total 10 6" xfId="2424"/>
    <cellStyle name="Total 10 6 2" xfId="2788"/>
    <cellStyle name="Total 11 2" xfId="2425"/>
    <cellStyle name="Total 11 2 2" xfId="2789"/>
    <cellStyle name="Total 11 3" xfId="2426"/>
    <cellStyle name="Total 11 3 2" xfId="2790"/>
    <cellStyle name="Total 11 4" xfId="2427"/>
    <cellStyle name="Total 11 4 2" xfId="2791"/>
    <cellStyle name="Total 11 5" xfId="2428"/>
    <cellStyle name="Total 11 5 2" xfId="2792"/>
    <cellStyle name="Total 11 6" xfId="2429"/>
    <cellStyle name="Total 11 6 2" xfId="2793"/>
    <cellStyle name="Total 2" xfId="238"/>
    <cellStyle name="Total 2 2" xfId="2430"/>
    <cellStyle name="Total 2 2 2" xfId="2794"/>
    <cellStyle name="Total 2 3" xfId="2431"/>
    <cellStyle name="Total 2 3 2" xfId="2795"/>
    <cellStyle name="Total 2 4" xfId="2432"/>
    <cellStyle name="Total 2 4 2" xfId="2796"/>
    <cellStyle name="Total 2 5" xfId="2433"/>
    <cellStyle name="Total 2 5 2" xfId="2797"/>
    <cellStyle name="Total 2 6" xfId="2434"/>
    <cellStyle name="Total 2 6 2" xfId="2798"/>
    <cellStyle name="Total 2 7" xfId="2765"/>
    <cellStyle name="Total 3" xfId="239"/>
    <cellStyle name="Total 3 2" xfId="2436"/>
    <cellStyle name="Total 3 2 2" xfId="2800"/>
    <cellStyle name="Total 3 3" xfId="2437"/>
    <cellStyle name="Total 3 3 2" xfId="2801"/>
    <cellStyle name="Total 3 4" xfId="2438"/>
    <cellStyle name="Total 3 4 2" xfId="2802"/>
    <cellStyle name="Total 3 5" xfId="2439"/>
    <cellStyle name="Total 3 5 2" xfId="2803"/>
    <cellStyle name="Total 3 6" xfId="2440"/>
    <cellStyle name="Total 3 6 2" xfId="2804"/>
    <cellStyle name="Total 3 7" xfId="2441"/>
    <cellStyle name="Total 3 7 2" xfId="2805"/>
    <cellStyle name="Total 3 8" xfId="2435"/>
    <cellStyle name="Total 3 8 2" xfId="2799"/>
    <cellStyle name="Total 3 9" xfId="2764"/>
    <cellStyle name="Total 4" xfId="240"/>
    <cellStyle name="Total 4 2" xfId="2443"/>
    <cellStyle name="Total 4 2 2" xfId="2807"/>
    <cellStyle name="Total 4 3" xfId="2444"/>
    <cellStyle name="Total 4 3 2" xfId="2808"/>
    <cellStyle name="Total 4 4" xfId="2445"/>
    <cellStyle name="Total 4 4 2" xfId="2809"/>
    <cellStyle name="Total 4 5" xfId="2446"/>
    <cellStyle name="Total 4 5 2" xfId="2810"/>
    <cellStyle name="Total 4 6" xfId="2447"/>
    <cellStyle name="Total 4 6 2" xfId="2811"/>
    <cellStyle name="Total 4 7" xfId="2448"/>
    <cellStyle name="Total 4 7 2" xfId="2812"/>
    <cellStyle name="Total 4 8" xfId="2442"/>
    <cellStyle name="Total 4 8 2" xfId="2806"/>
    <cellStyle name="Total 4 9" xfId="2763"/>
    <cellStyle name="Total 5" xfId="241"/>
    <cellStyle name="Total 5 2" xfId="2449"/>
    <cellStyle name="Total 5 2 2" xfId="2813"/>
    <cellStyle name="Total 5 3" xfId="2450"/>
    <cellStyle name="Total 5 3 2" xfId="2814"/>
    <cellStyle name="Total 5 4" xfId="2451"/>
    <cellStyle name="Total 5 4 2" xfId="2815"/>
    <cellStyle name="Total 5 5" xfId="2452"/>
    <cellStyle name="Total 5 5 2" xfId="2816"/>
    <cellStyle name="Total 5 6" xfId="2453"/>
    <cellStyle name="Total 5 6 2" xfId="2817"/>
    <cellStyle name="Total 5 7" xfId="2762"/>
    <cellStyle name="Total 6" xfId="242"/>
    <cellStyle name="Total 6 2" xfId="2454"/>
    <cellStyle name="Total 6 2 2" xfId="2818"/>
    <cellStyle name="Total 6 3" xfId="2455"/>
    <cellStyle name="Total 6 3 2" xfId="2819"/>
    <cellStyle name="Total 6 4" xfId="2456"/>
    <cellStyle name="Total 6 4 2" xfId="2820"/>
    <cellStyle name="Total 6 5" xfId="2457"/>
    <cellStyle name="Total 6 5 2" xfId="2821"/>
    <cellStyle name="Total 6 6" xfId="2458"/>
    <cellStyle name="Total 6 6 2" xfId="2822"/>
    <cellStyle name="Total 6 7" xfId="2761"/>
    <cellStyle name="Total 7" xfId="243"/>
    <cellStyle name="Total 7 2" xfId="2459"/>
    <cellStyle name="Total 7 2 2" xfId="2823"/>
    <cellStyle name="Total 7 3" xfId="2460"/>
    <cellStyle name="Total 7 3 2" xfId="2824"/>
    <cellStyle name="Total 7 4" xfId="2461"/>
    <cellStyle name="Total 7 4 2" xfId="2825"/>
    <cellStyle name="Total 7 5" xfId="2462"/>
    <cellStyle name="Total 7 5 2" xfId="2826"/>
    <cellStyle name="Total 7 6" xfId="2463"/>
    <cellStyle name="Total 7 6 2" xfId="2827"/>
    <cellStyle name="Total 7 7" xfId="2760"/>
    <cellStyle name="Total 8 2" xfId="2464"/>
    <cellStyle name="Total 8 2 2" xfId="2828"/>
    <cellStyle name="Total 8 3" xfId="2465"/>
    <cellStyle name="Total 8 3 2" xfId="2829"/>
    <cellStyle name="Total 8 4" xfId="2466"/>
    <cellStyle name="Total 8 4 2" xfId="2830"/>
    <cellStyle name="Total 8 5" xfId="2467"/>
    <cellStyle name="Total 8 5 2" xfId="2831"/>
    <cellStyle name="Total 8 6" xfId="2468"/>
    <cellStyle name="Total 8 6 2" xfId="2832"/>
    <cellStyle name="Total 9 2" xfId="2469"/>
    <cellStyle name="Total 9 2 2" xfId="2833"/>
    <cellStyle name="Total 9 3" xfId="2470"/>
    <cellStyle name="Total 9 3 2" xfId="2834"/>
    <cellStyle name="Total 9 4" xfId="2471"/>
    <cellStyle name="Total 9 4 2" xfId="2835"/>
    <cellStyle name="Total 9 5" xfId="2472"/>
    <cellStyle name="Total 9 5 2" xfId="2836"/>
    <cellStyle name="Total 9 6" xfId="2473"/>
    <cellStyle name="Total 9 6 2" xfId="2837"/>
    <cellStyle name="Warning Text 10 2" xfId="2474"/>
    <cellStyle name="Warning Text 10 3" xfId="2475"/>
    <cellStyle name="Warning Text 10 4" xfId="2476"/>
    <cellStyle name="Warning Text 10 5" xfId="2477"/>
    <cellStyle name="Warning Text 10 6" xfId="2478"/>
    <cellStyle name="Warning Text 11 2" xfId="2479"/>
    <cellStyle name="Warning Text 11 3" xfId="2480"/>
    <cellStyle name="Warning Text 11 4" xfId="2481"/>
    <cellStyle name="Warning Text 11 5" xfId="2482"/>
    <cellStyle name="Warning Text 11 6" xfId="2483"/>
    <cellStyle name="Warning Text 2" xfId="244"/>
    <cellStyle name="Warning Text 2 2" xfId="2484"/>
    <cellStyle name="Warning Text 2 3" xfId="2485"/>
    <cellStyle name="Warning Text 2 4" xfId="2486"/>
    <cellStyle name="Warning Text 2 5" xfId="2487"/>
    <cellStyle name="Warning Text 2 6" xfId="2488"/>
    <cellStyle name="Warning Text 3" xfId="245"/>
    <cellStyle name="Warning Text 3 2" xfId="2489"/>
    <cellStyle name="Warning Text 3 3" xfId="2490"/>
    <cellStyle name="Warning Text 3 4" xfId="2491"/>
    <cellStyle name="Warning Text 3 5" xfId="2492"/>
    <cellStyle name="Warning Text 3 6" xfId="2493"/>
    <cellStyle name="Warning Text 4" xfId="246"/>
    <cellStyle name="Warning Text 4 2" xfId="2494"/>
    <cellStyle name="Warning Text 4 3" xfId="2495"/>
    <cellStyle name="Warning Text 4 4" xfId="2496"/>
    <cellStyle name="Warning Text 4 5" xfId="2497"/>
    <cellStyle name="Warning Text 4 6" xfId="2498"/>
    <cellStyle name="Warning Text 5" xfId="247"/>
    <cellStyle name="Warning Text 5 2" xfId="2499"/>
    <cellStyle name="Warning Text 5 3" xfId="2500"/>
    <cellStyle name="Warning Text 5 4" xfId="2501"/>
    <cellStyle name="Warning Text 5 5" xfId="2502"/>
    <cellStyle name="Warning Text 5 6" xfId="2503"/>
    <cellStyle name="Warning Text 6" xfId="248"/>
    <cellStyle name="Warning Text 6 2" xfId="2504"/>
    <cellStyle name="Warning Text 6 3" xfId="2505"/>
    <cellStyle name="Warning Text 6 4" xfId="2506"/>
    <cellStyle name="Warning Text 6 5" xfId="2507"/>
    <cellStyle name="Warning Text 6 6" xfId="2508"/>
    <cellStyle name="Warning Text 7" xfId="249"/>
    <cellStyle name="Warning Text 7 2" xfId="2509"/>
    <cellStyle name="Warning Text 7 3" xfId="2510"/>
    <cellStyle name="Warning Text 7 4" xfId="2511"/>
    <cellStyle name="Warning Text 7 5" xfId="2512"/>
    <cellStyle name="Warning Text 7 6" xfId="2513"/>
    <cellStyle name="Warning Text 8 2" xfId="2514"/>
    <cellStyle name="Warning Text 8 3" xfId="2515"/>
    <cellStyle name="Warning Text 8 4" xfId="2516"/>
    <cellStyle name="Warning Text 8 5" xfId="2517"/>
    <cellStyle name="Warning Text 8 6" xfId="2518"/>
    <cellStyle name="Warning Text 9 2" xfId="2519"/>
    <cellStyle name="Warning Text 9 3" xfId="2520"/>
    <cellStyle name="Warning Text 9 4" xfId="2521"/>
    <cellStyle name="Warning Text 9 5" xfId="2522"/>
    <cellStyle name="Warning Text 9 6" xfId="252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914400</xdr:colOff>
          <xdr:row>8</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C58F1DA8-9B77-498B-93DF-A35BC07E4F8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epace.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epace"/>
    </sheetNames>
    <definedNames>
      <definedName name="TBLink"/>
    </definedNames>
    <sheetDataSet>
      <sheetData sheetId="0"/>
      <sheetData sheetId="1"/>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Normal="10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1999" t="s">
        <v>425</v>
      </c>
      <c r="J1" s="2000"/>
      <c r="K1" s="2000"/>
      <c r="L1" s="2000"/>
      <c r="M1" s="2000"/>
      <c r="N1" s="2000"/>
      <c r="O1" s="2000"/>
      <c r="P1" s="2000"/>
      <c r="Q1" s="2000"/>
      <c r="R1" s="2000"/>
      <c r="S1" s="2000"/>
    </row>
    <row r="2" spans="1:28" ht="12" customHeight="1" x14ac:dyDescent="0.2">
      <c r="A2" s="47" t="s">
        <v>1684</v>
      </c>
      <c r="D2" s="48"/>
      <c r="I2" s="2001" t="s">
        <v>1036</v>
      </c>
      <c r="J2" s="2000"/>
      <c r="K2" s="2000"/>
      <c r="L2" s="2000"/>
      <c r="M2" s="2000"/>
      <c r="N2" s="2000"/>
      <c r="O2" s="2000"/>
      <c r="P2" s="2000"/>
      <c r="Q2" s="2000"/>
      <c r="R2" s="2000"/>
      <c r="S2" s="2000"/>
    </row>
    <row r="3" spans="1:28" ht="12" customHeight="1" x14ac:dyDescent="0.2">
      <c r="A3" s="155" t="s">
        <v>1685</v>
      </c>
      <c r="B3" s="156"/>
      <c r="C3" s="156"/>
      <c r="D3" s="157"/>
      <c r="I3" s="2001" t="s">
        <v>54</v>
      </c>
      <c r="J3" s="2000"/>
      <c r="K3" s="2000"/>
      <c r="L3" s="2000"/>
      <c r="M3" s="2000"/>
      <c r="N3" s="2000"/>
      <c r="O3" s="2000"/>
      <c r="P3" s="2000"/>
      <c r="Q3" s="2000"/>
      <c r="R3" s="2000"/>
      <c r="S3" s="2000"/>
    </row>
    <row r="4" spans="1:28" ht="12" customHeight="1" x14ac:dyDescent="0.2">
      <c r="A4" s="37"/>
      <c r="I4" s="2001" t="s">
        <v>545</v>
      </c>
      <c r="J4" s="2000"/>
      <c r="K4" s="2000"/>
      <c r="L4" s="2000"/>
      <c r="M4" s="2000"/>
      <c r="N4" s="2000"/>
      <c r="O4" s="2000"/>
      <c r="P4" s="2000"/>
      <c r="Q4" s="2000"/>
      <c r="R4" s="2000"/>
      <c r="S4" s="2000"/>
    </row>
    <row r="5" spans="1:28" ht="14.1" customHeight="1" x14ac:dyDescent="0.2">
      <c r="B5" s="104" t="s">
        <v>2077</v>
      </c>
      <c r="C5" s="26" t="s">
        <v>966</v>
      </c>
      <c r="D5" s="84"/>
      <c r="E5" s="84"/>
      <c r="H5" s="38"/>
      <c r="I5" s="2009" t="s">
        <v>701</v>
      </c>
      <c r="J5" s="2008"/>
      <c r="K5" s="2008"/>
      <c r="L5" s="2008"/>
      <c r="M5" s="2008"/>
      <c r="N5" s="2008"/>
      <c r="O5" s="2008"/>
      <c r="P5" s="2008"/>
      <c r="Q5" s="2008"/>
      <c r="R5" s="2008"/>
      <c r="S5" s="2008"/>
    </row>
    <row r="6" spans="1:28" ht="14.1" customHeight="1" x14ac:dyDescent="0.2">
      <c r="B6" s="104"/>
      <c r="C6" s="26" t="s">
        <v>967</v>
      </c>
      <c r="D6" s="84"/>
      <c r="E6" s="84"/>
      <c r="I6" s="2007" t="s">
        <v>938</v>
      </c>
      <c r="J6" s="2008"/>
      <c r="K6" s="2008"/>
      <c r="L6" s="2008"/>
      <c r="M6" s="2008"/>
      <c r="N6" s="2008"/>
      <c r="O6" s="2008"/>
      <c r="P6" s="2008"/>
      <c r="Q6" s="2008"/>
      <c r="R6" s="2008"/>
      <c r="S6" s="2008"/>
    </row>
    <row r="7" spans="1:28" ht="12.2" customHeight="1" x14ac:dyDescent="0.2">
      <c r="I7" s="2002">
        <v>43281</v>
      </c>
      <c r="J7" s="2003"/>
      <c r="K7" s="2003"/>
      <c r="L7" s="2003"/>
      <c r="M7" s="2003"/>
      <c r="N7" s="2003"/>
      <c r="O7" s="2003"/>
      <c r="P7" s="2003"/>
      <c r="Q7" s="2003"/>
      <c r="R7" s="2003"/>
      <c r="S7" s="200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4" t="s">
        <v>695</v>
      </c>
      <c r="J9" s="2005"/>
      <c r="K9" s="2005"/>
      <c r="L9" s="2005"/>
      <c r="M9" s="2005"/>
      <c r="N9" s="2005"/>
      <c r="O9" s="2005"/>
      <c r="P9" s="2005"/>
      <c r="Q9" s="2005"/>
      <c r="R9" s="2005"/>
      <c r="S9" s="2006"/>
      <c r="T9" s="2020" t="s">
        <v>554</v>
      </c>
      <c r="U9" s="2021"/>
      <c r="V9" s="2021"/>
      <c r="W9" s="2021"/>
      <c r="X9" s="2021"/>
      <c r="Y9" s="2021"/>
      <c r="Z9" s="2021"/>
      <c r="AA9" s="2022"/>
    </row>
    <row r="10" spans="1:28" ht="13.5" customHeight="1" x14ac:dyDescent="0.2">
      <c r="A10" s="2027" t="s">
        <v>696</v>
      </c>
      <c r="B10" s="2028"/>
      <c r="C10" s="2028"/>
      <c r="D10" s="2028"/>
      <c r="E10" s="2028"/>
      <c r="F10" s="2028"/>
      <c r="G10" s="2028"/>
      <c r="H10" s="2029"/>
      <c r="I10" s="29"/>
      <c r="J10" s="30"/>
      <c r="K10" s="28"/>
      <c r="R10" s="30"/>
      <c r="S10" s="30"/>
      <c r="T10" s="2023"/>
      <c r="U10" s="2008"/>
      <c r="V10" s="2008"/>
      <c r="W10" s="2008"/>
      <c r="X10" s="2008"/>
      <c r="Y10" s="2008"/>
      <c r="Z10" s="2008"/>
      <c r="AA10" s="2014"/>
    </row>
    <row r="11" spans="1:28" ht="14.25" customHeight="1" x14ac:dyDescent="0.2">
      <c r="A11" s="2030" t="s">
        <v>1012</v>
      </c>
      <c r="B11" s="2031"/>
      <c r="C11" s="2031"/>
      <c r="D11" s="2031"/>
      <c r="E11" s="2031"/>
      <c r="F11" s="2031"/>
      <c r="G11" s="2031"/>
      <c r="H11" s="2032"/>
      <c r="I11" s="27"/>
      <c r="J11" s="74"/>
      <c r="K11" s="27"/>
      <c r="O11" s="148" t="s">
        <v>2082</v>
      </c>
      <c r="P11" s="100" t="s">
        <v>210</v>
      </c>
      <c r="Q11" s="30"/>
      <c r="R11" s="28"/>
      <c r="S11" s="27"/>
      <c r="T11" s="2024"/>
      <c r="U11" s="2025"/>
      <c r="V11" s="2025"/>
      <c r="W11" s="2025"/>
      <c r="X11" s="2025"/>
      <c r="Y11" s="2025"/>
      <c r="Z11" s="2025"/>
      <c r="AA11" s="2026"/>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34">
        <v>44063157016</v>
      </c>
      <c r="B13" s="2035"/>
      <c r="C13" s="2035"/>
      <c r="D13" s="2035"/>
      <c r="E13" s="2035"/>
      <c r="F13" s="2035"/>
      <c r="G13" s="2035"/>
      <c r="H13" s="2036"/>
      <c r="I13" s="31"/>
      <c r="J13" s="30"/>
      <c r="K13" s="28"/>
      <c r="L13" s="30"/>
      <c r="M13" s="30"/>
      <c r="N13" s="30"/>
      <c r="O13" s="30"/>
      <c r="P13" s="30"/>
      <c r="Q13" s="30"/>
      <c r="R13" s="30"/>
      <c r="S13" s="30"/>
      <c r="T13" s="2039" t="s">
        <v>2088</v>
      </c>
      <c r="U13" s="2040"/>
      <c r="V13" s="2040"/>
      <c r="W13" s="2040"/>
      <c r="X13" s="2040"/>
      <c r="Y13" s="2041"/>
      <c r="Z13" s="2041"/>
      <c r="AA13" s="2042"/>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3" t="s">
        <v>2078</v>
      </c>
      <c r="B15" s="2037"/>
      <c r="C15" s="2037"/>
      <c r="D15" s="2037"/>
      <c r="E15" s="2037"/>
      <c r="F15" s="2037"/>
      <c r="G15" s="2037"/>
      <c r="H15" s="2038"/>
      <c r="T15" s="2043" t="s">
        <v>2112</v>
      </c>
      <c r="U15" s="1987"/>
      <c r="V15" s="1987"/>
      <c r="W15" s="1987"/>
      <c r="X15" s="1987"/>
      <c r="Y15" s="2044"/>
      <c r="Z15" s="2044"/>
      <c r="AA15" s="2045"/>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3" t="s">
        <v>2113</v>
      </c>
      <c r="B17" s="1994"/>
      <c r="C17" s="1994"/>
      <c r="D17" s="1994"/>
      <c r="E17" s="1994"/>
      <c r="F17" s="1994"/>
      <c r="G17" s="1994"/>
      <c r="H17" s="2019"/>
      <c r="T17" s="2050" t="s">
        <v>2083</v>
      </c>
      <c r="U17" s="2051"/>
      <c r="V17" s="2051"/>
      <c r="W17" s="2051"/>
      <c r="X17" s="2051"/>
      <c r="Y17" s="2051"/>
      <c r="Z17" s="2051"/>
      <c r="AA17" s="2052"/>
    </row>
    <row r="18" spans="1:27" ht="13.5" customHeight="1" x14ac:dyDescent="0.2">
      <c r="A18" s="85" t="s">
        <v>551</v>
      </c>
      <c r="B18" s="76"/>
      <c r="C18" s="72"/>
      <c r="D18" s="76"/>
      <c r="E18" s="76"/>
      <c r="F18" s="76"/>
      <c r="G18" s="76"/>
      <c r="H18" s="56"/>
      <c r="I18" s="2018" t="s">
        <v>697</v>
      </c>
      <c r="J18" s="1969"/>
      <c r="K18" s="1969"/>
      <c r="L18" s="1969"/>
      <c r="M18" s="1969"/>
      <c r="N18" s="1969"/>
      <c r="O18" s="1969"/>
      <c r="P18" s="1969"/>
      <c r="Q18" s="1969"/>
      <c r="R18" s="1969"/>
      <c r="S18" s="1970"/>
      <c r="T18" s="85" t="s">
        <v>735</v>
      </c>
      <c r="U18" s="51"/>
      <c r="V18" s="72"/>
      <c r="W18" s="50"/>
      <c r="X18" s="85" t="s">
        <v>284</v>
      </c>
      <c r="Y18" s="81"/>
      <c r="Z18" s="159" t="s">
        <v>698</v>
      </c>
      <c r="AA18" s="46"/>
    </row>
    <row r="19" spans="1:27" ht="13.5" customHeight="1" x14ac:dyDescent="0.2">
      <c r="A19" s="2033" t="s">
        <v>2079</v>
      </c>
      <c r="B19" s="1979"/>
      <c r="C19" s="1979"/>
      <c r="D19" s="1979"/>
      <c r="E19" s="1979"/>
      <c r="F19" s="1979"/>
      <c r="G19" s="1979"/>
      <c r="H19" s="1959"/>
      <c r="I19" s="30"/>
      <c r="J19" s="99"/>
      <c r="K19" s="40"/>
      <c r="L19" s="38"/>
      <c r="M19" s="112" t="s">
        <v>333</v>
      </c>
      <c r="P19" s="27"/>
      <c r="Q19" s="27"/>
      <c r="R19" s="27"/>
      <c r="S19" s="31"/>
      <c r="T19" s="2033" t="s">
        <v>2078</v>
      </c>
      <c r="U19" s="1958"/>
      <c r="V19" s="1958"/>
      <c r="W19" s="1959"/>
      <c r="X19" s="2048" t="s">
        <v>2086</v>
      </c>
      <c r="Y19" s="2049"/>
      <c r="Z19" s="2046">
        <v>60050</v>
      </c>
      <c r="AA19" s="2047"/>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57" t="s">
        <v>2080</v>
      </c>
      <c r="B21" s="1958"/>
      <c r="C21" s="1958"/>
      <c r="D21" s="1958"/>
      <c r="E21" s="1958"/>
      <c r="F21" s="1958"/>
      <c r="G21" s="1958"/>
      <c r="H21" s="1959"/>
      <c r="I21" s="2013" t="s">
        <v>699</v>
      </c>
      <c r="J21" s="2008"/>
      <c r="K21" s="2008"/>
      <c r="L21" s="2008"/>
      <c r="M21" s="2008"/>
      <c r="N21" s="2008"/>
      <c r="O21" s="2008"/>
      <c r="P21" s="2008"/>
      <c r="Q21" s="2008"/>
      <c r="R21" s="2008"/>
      <c r="S21" s="2014"/>
      <c r="T21" s="2057" t="s">
        <v>2084</v>
      </c>
      <c r="U21" s="2058"/>
      <c r="V21" s="2058"/>
      <c r="W21" s="2058"/>
      <c r="X21" s="2063" t="s">
        <v>2087</v>
      </c>
      <c r="Y21" s="2064"/>
      <c r="Z21" s="2064"/>
      <c r="AA21" s="2065"/>
    </row>
    <row r="22" spans="1:27" ht="13.5" customHeight="1" x14ac:dyDescent="0.2">
      <c r="A22" s="87" t="s">
        <v>552</v>
      </c>
      <c r="B22" s="59"/>
      <c r="C22" s="59"/>
      <c r="D22" s="59"/>
      <c r="E22" s="59"/>
      <c r="F22" s="59"/>
      <c r="G22" s="59"/>
      <c r="H22" s="60"/>
      <c r="I22" s="2015" t="s">
        <v>1504</v>
      </c>
      <c r="J22" s="2016"/>
      <c r="K22" s="2016"/>
      <c r="L22" s="2016"/>
      <c r="M22" s="2016"/>
      <c r="N22" s="2016"/>
      <c r="O22" s="2016"/>
      <c r="P22" s="2016"/>
      <c r="Q22" s="2016"/>
      <c r="R22" s="2016"/>
      <c r="S22" s="2017"/>
      <c r="T22" s="85" t="s">
        <v>1596</v>
      </c>
      <c r="U22" s="51"/>
      <c r="V22" s="72"/>
      <c r="W22" s="51"/>
      <c r="X22" s="160" t="s">
        <v>1385</v>
      </c>
      <c r="Z22" s="45"/>
      <c r="AA22" s="46"/>
    </row>
    <row r="23" spans="1:27" ht="13.5" customHeight="1" x14ac:dyDescent="0.2">
      <c r="A23" s="2010" t="s">
        <v>2081</v>
      </c>
      <c r="B23" s="2011"/>
      <c r="C23" s="2011"/>
      <c r="D23" s="2011"/>
      <c r="E23" s="2011"/>
      <c r="F23" s="2011"/>
      <c r="G23" s="2011"/>
      <c r="H23" s="2012"/>
      <c r="T23" s="1993" t="s">
        <v>2107</v>
      </c>
      <c r="U23" s="2056"/>
      <c r="V23" s="2056"/>
      <c r="W23" s="2056"/>
      <c r="X23" s="2060">
        <v>43434</v>
      </c>
      <c r="Y23" s="2061"/>
      <c r="Z23" s="2061"/>
      <c r="AA23" s="2062"/>
    </row>
    <row r="24" spans="1:27" ht="14.1" customHeight="1" x14ac:dyDescent="0.2">
      <c r="A24" s="88" t="s">
        <v>698</v>
      </c>
      <c r="B24" s="49"/>
      <c r="C24" s="49"/>
      <c r="D24" s="49"/>
      <c r="E24" s="49"/>
      <c r="F24" s="49"/>
      <c r="G24" s="49"/>
      <c r="H24" s="61"/>
      <c r="J24" s="1980">
        <f>IF(B5="x",IF(AUDITCHECK!D29="AFR form Incomplete.","",IF(AUDITCHECK!D29="Deficit reduction plan is required.","School District must complete a deficit reduction plan in the 2018-2019 Budget",)),"")</f>
        <v>0</v>
      </c>
      <c r="K24" s="1980"/>
      <c r="L24" s="1980"/>
      <c r="M24" s="1980"/>
      <c r="N24" s="1980"/>
      <c r="O24" s="1980"/>
      <c r="P24" s="1980"/>
      <c r="Q24" s="1980"/>
      <c r="R24" s="1980"/>
      <c r="S24" s="1981"/>
      <c r="T24" s="105" t="s">
        <v>552</v>
      </c>
      <c r="U24" s="106"/>
      <c r="V24" s="106"/>
      <c r="W24" s="106"/>
      <c r="X24" s="107"/>
      <c r="Y24" s="107"/>
      <c r="Z24" s="107"/>
      <c r="AA24" s="108"/>
    </row>
    <row r="25" spans="1:27" ht="14.1" customHeight="1" x14ac:dyDescent="0.2">
      <c r="A25" s="1957">
        <v>60071</v>
      </c>
      <c r="B25" s="1958"/>
      <c r="C25" s="1958"/>
      <c r="D25" s="1958"/>
      <c r="E25" s="1958"/>
      <c r="F25" s="1958"/>
      <c r="G25" s="1958"/>
      <c r="H25" s="1959"/>
      <c r="I25" s="113"/>
      <c r="J25" s="1982"/>
      <c r="K25" s="1982"/>
      <c r="L25" s="1982"/>
      <c r="M25" s="1982"/>
      <c r="N25" s="1982"/>
      <c r="O25" s="1982"/>
      <c r="P25" s="1982"/>
      <c r="Q25" s="1982"/>
      <c r="R25" s="1982"/>
      <c r="S25" s="1983"/>
      <c r="T25" s="2053" t="s">
        <v>2085</v>
      </c>
      <c r="U25" s="2054"/>
      <c r="V25" s="2054"/>
      <c r="W25" s="2054"/>
      <c r="X25" s="2054"/>
      <c r="Y25" s="2054"/>
      <c r="Z25" s="2054"/>
      <c r="AA25" s="205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68" t="s">
        <v>1591</v>
      </c>
      <c r="J27" s="1969"/>
      <c r="K27" s="1969"/>
      <c r="L27" s="1969"/>
      <c r="M27" s="1969"/>
      <c r="N27" s="1969"/>
      <c r="O27" s="1969"/>
      <c r="P27" s="1969"/>
      <c r="Q27" s="1969"/>
      <c r="R27" s="1969"/>
      <c r="S27" s="1970"/>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2082</v>
      </c>
      <c r="M29" s="40" t="s">
        <v>101</v>
      </c>
      <c r="N29" s="32" t="s">
        <v>1604</v>
      </c>
      <c r="O29" s="32"/>
      <c r="P29" s="32"/>
      <c r="Q29" s="32"/>
      <c r="R29" s="32"/>
      <c r="S29" s="123"/>
      <c r="T29" s="6"/>
      <c r="U29" s="6"/>
      <c r="V29" s="6"/>
      <c r="W29" s="6"/>
      <c r="X29" s="6"/>
      <c r="Y29" s="6"/>
      <c r="Z29" s="6"/>
      <c r="AA29" s="132"/>
    </row>
    <row r="30" spans="1:27" ht="13.5" customHeight="1" x14ac:dyDescent="0.2">
      <c r="A30" s="153"/>
      <c r="B30" s="136" t="s">
        <v>2082</v>
      </c>
      <c r="C30" s="124" t="s">
        <v>1226</v>
      </c>
      <c r="D30" s="28"/>
      <c r="E30" s="28"/>
      <c r="F30" s="140"/>
      <c r="G30" s="114"/>
      <c r="H30" s="114"/>
      <c r="I30" s="54"/>
      <c r="J30" s="102"/>
      <c r="K30" s="28" t="s">
        <v>597</v>
      </c>
      <c r="L30" s="148" t="s">
        <v>2082</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2082</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79"/>
      <c r="Q35" s="1958"/>
      <c r="R35" s="195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3"/>
      <c r="B38" s="1994"/>
      <c r="C38" s="1994"/>
      <c r="D38" s="1994"/>
      <c r="E38" s="1994"/>
      <c r="F38" s="1958"/>
      <c r="G38" s="1958"/>
      <c r="H38" s="1959"/>
      <c r="I38" s="1986"/>
      <c r="J38" s="1987"/>
      <c r="K38" s="1987"/>
      <c r="L38" s="1987"/>
      <c r="M38" s="1987"/>
      <c r="N38" s="1987"/>
      <c r="O38" s="1987"/>
      <c r="P38" s="1988"/>
      <c r="Q38" s="1988"/>
      <c r="R38" s="1988"/>
      <c r="S38" s="1989"/>
      <c r="T38" s="2043"/>
      <c r="U38" s="1987"/>
      <c r="V38" s="1987"/>
      <c r="W38" s="1987"/>
      <c r="X38" s="1988"/>
      <c r="Y38" s="1988"/>
      <c r="Z38" s="1988"/>
      <c r="AA38" s="1989"/>
    </row>
    <row r="39" spans="1:27" ht="12" customHeight="1" x14ac:dyDescent="0.2">
      <c r="A39" s="1963" t="s">
        <v>552</v>
      </c>
      <c r="B39" s="1964"/>
      <c r="C39" s="72"/>
      <c r="D39" s="69"/>
      <c r="E39" s="69"/>
      <c r="F39" s="79"/>
      <c r="G39" s="69"/>
      <c r="H39" s="56"/>
      <c r="I39" s="1963" t="s">
        <v>552</v>
      </c>
      <c r="J39" s="1964"/>
      <c r="K39" s="1964"/>
      <c r="L39" s="1964"/>
      <c r="M39" s="1964"/>
      <c r="N39" s="67"/>
      <c r="O39" s="72"/>
      <c r="P39" s="72"/>
      <c r="Q39" s="78"/>
      <c r="R39" s="72"/>
      <c r="S39" s="56"/>
      <c r="T39" s="72" t="s">
        <v>552</v>
      </c>
      <c r="U39" s="51"/>
      <c r="V39" s="72"/>
      <c r="W39" s="50"/>
      <c r="X39" s="78"/>
      <c r="Y39" s="45"/>
      <c r="Z39" s="45"/>
      <c r="AA39" s="46"/>
    </row>
    <row r="40" spans="1:27" ht="13.5" customHeight="1" x14ac:dyDescent="0.2">
      <c r="A40" s="1971"/>
      <c r="B40" s="1972"/>
      <c r="C40" s="1973"/>
      <c r="D40" s="1973"/>
      <c r="E40" s="1973"/>
      <c r="F40" s="1974"/>
      <c r="G40" s="1974"/>
      <c r="H40" s="1975"/>
      <c r="I40" s="1996"/>
      <c r="J40" s="1997"/>
      <c r="K40" s="1997"/>
      <c r="L40" s="1997"/>
      <c r="M40" s="1997"/>
      <c r="N40" s="1997"/>
      <c r="O40" s="1997"/>
      <c r="P40" s="1997"/>
      <c r="Q40" s="1997"/>
      <c r="R40" s="1997"/>
      <c r="S40" s="1998"/>
      <c r="T40" s="1996"/>
      <c r="U40" s="2059"/>
      <c r="V40" s="1997"/>
      <c r="W40" s="1997"/>
      <c r="X40" s="1997"/>
      <c r="Y40" s="1997"/>
      <c r="Z40" s="1997"/>
      <c r="AA40" s="1998"/>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5"/>
      <c r="B42" s="1977"/>
      <c r="C42" s="1978"/>
      <c r="D42" s="1976"/>
      <c r="E42" s="1977"/>
      <c r="F42" s="1977"/>
      <c r="G42" s="1977"/>
      <c r="H42" s="1978"/>
      <c r="I42" s="1960"/>
      <c r="J42" s="1961"/>
      <c r="K42" s="1961"/>
      <c r="L42" s="1961"/>
      <c r="M42" s="1961"/>
      <c r="N42" s="1961"/>
      <c r="O42" s="1962"/>
      <c r="P42" s="1995"/>
      <c r="Q42" s="1961"/>
      <c r="R42" s="1961"/>
      <c r="S42" s="1962"/>
      <c r="T42" s="1960"/>
      <c r="U42" s="1961"/>
      <c r="V42" s="1961"/>
      <c r="W42" s="1962"/>
      <c r="X42" s="1995"/>
      <c r="Y42" s="1961"/>
      <c r="Z42" s="1961"/>
      <c r="AA42" s="1962"/>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90"/>
      <c r="B44" s="1991"/>
      <c r="C44" s="1991"/>
      <c r="D44" s="1991"/>
      <c r="E44" s="1991"/>
      <c r="F44" s="1991"/>
      <c r="G44" s="1991"/>
      <c r="H44" s="1992"/>
      <c r="I44" s="1965"/>
      <c r="J44" s="1966"/>
      <c r="K44" s="1966"/>
      <c r="L44" s="1966"/>
      <c r="M44" s="1966"/>
      <c r="N44" s="1966"/>
      <c r="O44" s="1966"/>
      <c r="P44" s="1966"/>
      <c r="Q44" s="1966"/>
      <c r="R44" s="1966"/>
      <c r="S44" s="1967"/>
      <c r="T44" s="1965"/>
      <c r="U44" s="1984"/>
      <c r="V44" s="1984"/>
      <c r="W44" s="1984"/>
      <c r="X44" s="1984"/>
      <c r="Y44" s="1984"/>
      <c r="Z44" s="1966"/>
      <c r="AA44" s="1967"/>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9" t="s">
        <v>1709</v>
      </c>
    </row>
    <row r="23" spans="1:5" x14ac:dyDescent="0.2">
      <c r="A23" s="168"/>
      <c r="B23" s="162" t="s">
        <v>1969</v>
      </c>
      <c r="D23" s="167" t="s">
        <v>658</v>
      </c>
      <c r="E23" s="1859"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69" t="s">
        <v>1125</v>
      </c>
      <c r="B35" s="2069"/>
      <c r="C35" s="2069"/>
      <c r="D35" s="2069"/>
      <c r="E35" s="206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6" t="s">
        <v>715</v>
      </c>
      <c r="B40" s="2066"/>
      <c r="C40" s="2066"/>
      <c r="D40" s="2066"/>
      <c r="E40" s="2066"/>
    </row>
    <row r="41" spans="1:5" x14ac:dyDescent="0.2">
      <c r="A41" s="2067" t="s">
        <v>1706</v>
      </c>
      <c r="B41" s="2067"/>
      <c r="C41" s="2067"/>
      <c r="D41" s="2067"/>
      <c r="E41" s="2067"/>
    </row>
    <row r="42" spans="1:5" ht="12.75" customHeight="1" x14ac:dyDescent="0.2">
      <c r="A42" s="2068" t="s">
        <v>1080</v>
      </c>
      <c r="B42" s="2068"/>
      <c r="C42" s="2068"/>
      <c r="D42" s="2068"/>
      <c r="E42" s="2068"/>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0" colorId="8" zoomScale="110" zoomScaleNormal="110" workbookViewId="0">
      <selection activeCell="A3" sqref="A3:B3"/>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0" t="s">
        <v>1230</v>
      </c>
      <c r="B2" s="2070"/>
      <c r="C2" s="2070"/>
      <c r="D2" s="2070"/>
      <c r="E2" s="2070"/>
      <c r="F2" s="2070"/>
      <c r="G2" s="2070"/>
      <c r="H2" s="2070"/>
      <c r="I2" s="2070"/>
      <c r="J2" s="2070"/>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4" t="s">
        <v>1731</v>
      </c>
      <c r="B35" s="2085"/>
      <c r="C35" s="2085"/>
      <c r="D35" s="2085"/>
      <c r="E35" s="2086"/>
      <c r="F35" s="2086"/>
      <c r="G35" s="2086"/>
      <c r="H35" s="2086"/>
      <c r="I35" s="2086"/>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4" t="s">
        <v>331</v>
      </c>
      <c r="B47" s="2087"/>
      <c r="C47" s="2087"/>
      <c r="D47" s="2087"/>
      <c r="E47" s="2088"/>
      <c r="F47" s="2088"/>
      <c r="G47" s="2088"/>
      <c r="H47" s="2088"/>
      <c r="I47" s="2088"/>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2077</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2082</v>
      </c>
      <c r="C53" s="179">
        <v>22</v>
      </c>
      <c r="D53" s="247" t="s">
        <v>1537</v>
      </c>
      <c r="E53" s="248"/>
      <c r="F53" s="249"/>
      <c r="G53" s="249" t="s">
        <v>1536</v>
      </c>
      <c r="H53" s="250">
        <v>33239</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1" t="s">
        <v>2111</v>
      </c>
      <c r="C57" s="2092"/>
      <c r="D57" s="2092"/>
      <c r="E57" s="2092"/>
      <c r="F57" s="2092"/>
      <c r="G57" s="2092"/>
      <c r="H57" s="2092"/>
      <c r="I57" s="2092"/>
      <c r="J57" s="2093"/>
    </row>
    <row r="58" spans="1:10" s="181" customFormat="1" x14ac:dyDescent="0.2">
      <c r="A58" s="253"/>
      <c r="B58" s="2094"/>
      <c r="C58" s="2095"/>
      <c r="D58" s="2095"/>
      <c r="E58" s="2095"/>
      <c r="F58" s="2095"/>
      <c r="G58" s="2095"/>
      <c r="H58" s="2095"/>
      <c r="I58" s="2095"/>
      <c r="J58" s="2096"/>
    </row>
    <row r="59" spans="1:10" s="181" customFormat="1" x14ac:dyDescent="0.2">
      <c r="A59" s="253"/>
      <c r="B59" s="2094"/>
      <c r="C59" s="2095"/>
      <c r="D59" s="2095"/>
      <c r="E59" s="2095"/>
      <c r="F59" s="2095"/>
      <c r="G59" s="2095"/>
      <c r="H59" s="2095"/>
      <c r="I59" s="2095"/>
      <c r="J59" s="2096"/>
    </row>
    <row r="60" spans="1:10" s="181" customFormat="1" x14ac:dyDescent="0.2">
      <c r="A60" s="253"/>
      <c r="B60" s="2094"/>
      <c r="C60" s="2095"/>
      <c r="D60" s="2095"/>
      <c r="E60" s="2095"/>
      <c r="F60" s="2095"/>
      <c r="G60" s="2095"/>
      <c r="H60" s="2095"/>
      <c r="I60" s="2095"/>
      <c r="J60" s="2096"/>
    </row>
    <row r="61" spans="1:10" s="181" customFormat="1" x14ac:dyDescent="0.2">
      <c r="A61" s="253"/>
      <c r="B61" s="2094"/>
      <c r="C61" s="2095"/>
      <c r="D61" s="2095"/>
      <c r="E61" s="2095"/>
      <c r="F61" s="2095"/>
      <c r="G61" s="2095"/>
      <c r="H61" s="2095"/>
      <c r="I61" s="2095"/>
      <c r="J61" s="2096"/>
    </row>
    <row r="62" spans="1:10" s="181" customFormat="1" x14ac:dyDescent="0.2">
      <c r="A62" s="253"/>
      <c r="B62" s="2094"/>
      <c r="C62" s="2095"/>
      <c r="D62" s="2095"/>
      <c r="E62" s="2095"/>
      <c r="F62" s="2095"/>
      <c r="G62" s="2095"/>
      <c r="H62" s="2095"/>
      <c r="I62" s="2095"/>
      <c r="J62" s="2096"/>
    </row>
    <row r="63" spans="1:10" s="181" customFormat="1" x14ac:dyDescent="0.2">
      <c r="A63" s="253"/>
      <c r="B63" s="2094"/>
      <c r="C63" s="2095"/>
      <c r="D63" s="2095"/>
      <c r="E63" s="2095"/>
      <c r="F63" s="2095"/>
      <c r="G63" s="2095"/>
      <c r="H63" s="2095"/>
      <c r="I63" s="2095"/>
      <c r="J63" s="2096"/>
    </row>
    <row r="64" spans="1:10" s="181" customFormat="1" x14ac:dyDescent="0.2">
      <c r="A64" s="253"/>
      <c r="B64" s="2094"/>
      <c r="C64" s="2095"/>
      <c r="D64" s="2095"/>
      <c r="E64" s="2095"/>
      <c r="F64" s="2095"/>
      <c r="G64" s="2095"/>
      <c r="H64" s="2095"/>
      <c r="I64" s="2095"/>
      <c r="J64" s="2096"/>
    </row>
    <row r="65" spans="1:10" s="181" customFormat="1" x14ac:dyDescent="0.2">
      <c r="A65" s="253"/>
      <c r="B65" s="2094"/>
      <c r="C65" s="2095"/>
      <c r="D65" s="2095"/>
      <c r="E65" s="2095"/>
      <c r="F65" s="2095"/>
      <c r="G65" s="2095"/>
      <c r="H65" s="2095"/>
      <c r="I65" s="2095"/>
      <c r="J65" s="2096"/>
    </row>
    <row r="66" spans="1:10" s="181" customFormat="1" x14ac:dyDescent="0.2">
      <c r="A66" s="253"/>
      <c r="B66" s="2094"/>
      <c r="C66" s="2095"/>
      <c r="D66" s="2095"/>
      <c r="E66" s="2095"/>
      <c r="F66" s="2095"/>
      <c r="G66" s="2095"/>
      <c r="H66" s="2095"/>
      <c r="I66" s="2095"/>
      <c r="J66" s="2096"/>
    </row>
    <row r="67" spans="1:10" s="181" customFormat="1" ht="9" customHeight="1" x14ac:dyDescent="0.2">
      <c r="A67" s="254"/>
      <c r="B67" s="2097"/>
      <c r="C67" s="2098"/>
      <c r="D67" s="2098"/>
      <c r="E67" s="2098"/>
      <c r="F67" s="2098"/>
      <c r="G67" s="2098"/>
      <c r="H67" s="2098"/>
      <c r="I67" s="2098"/>
      <c r="J67" s="209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4" t="s">
        <v>1390</v>
      </c>
      <c r="B70" s="2087"/>
      <c r="C70" s="2087"/>
      <c r="D70" s="2087"/>
      <c r="E70" s="2088"/>
      <c r="F70" s="2088"/>
      <c r="G70" s="2088"/>
      <c r="H70" s="2088"/>
      <c r="I70" s="2088"/>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9" t="s">
        <v>1387</v>
      </c>
      <c r="B83" s="2089"/>
      <c r="C83" s="2089"/>
      <c r="D83" s="2090"/>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1"/>
      <c r="C102" s="2072"/>
      <c r="D102" s="2072"/>
      <c r="E102" s="2072"/>
      <c r="F102" s="2072"/>
      <c r="G102" s="2072"/>
      <c r="H102" s="2072"/>
      <c r="I102" s="2073"/>
    </row>
    <row r="103" spans="1:9" s="181" customFormat="1" ht="11.25" customHeight="1" x14ac:dyDescent="0.2">
      <c r="A103" s="316"/>
      <c r="B103" s="2074"/>
      <c r="C103" s="2075"/>
      <c r="D103" s="2075"/>
      <c r="E103" s="2075"/>
      <c r="F103" s="2075"/>
      <c r="G103" s="2075"/>
      <c r="H103" s="2075"/>
      <c r="I103" s="2076"/>
    </row>
    <row r="104" spans="1:9" s="181" customFormat="1" ht="11.25" customHeight="1" x14ac:dyDescent="0.2">
      <c r="A104" s="316"/>
      <c r="B104" s="2074"/>
      <c r="C104" s="2075"/>
      <c r="D104" s="2075"/>
      <c r="E104" s="2075"/>
      <c r="F104" s="2075"/>
      <c r="G104" s="2075"/>
      <c r="H104" s="2075"/>
      <c r="I104" s="2076"/>
    </row>
    <row r="105" spans="1:9" s="181" customFormat="1" x14ac:dyDescent="0.2">
      <c r="A105" s="316"/>
      <c r="B105" s="2074"/>
      <c r="C105" s="2075"/>
      <c r="D105" s="2075"/>
      <c r="E105" s="2075"/>
      <c r="F105" s="2075"/>
      <c r="G105" s="2075"/>
      <c r="H105" s="2075"/>
      <c r="I105" s="2076"/>
    </row>
    <row r="106" spans="1:9" s="181" customFormat="1" ht="11.25" customHeight="1" x14ac:dyDescent="0.2">
      <c r="A106" s="316"/>
      <c r="B106" s="2074"/>
      <c r="C106" s="2075"/>
      <c r="D106" s="2075"/>
      <c r="E106" s="2075"/>
      <c r="F106" s="2075"/>
      <c r="G106" s="2075"/>
      <c r="H106" s="2075"/>
      <c r="I106" s="2076"/>
    </row>
    <row r="107" spans="1:9" s="181" customFormat="1" ht="11.25" customHeight="1" x14ac:dyDescent="0.2">
      <c r="A107" s="316"/>
      <c r="B107" s="2074"/>
      <c r="C107" s="2075"/>
      <c r="D107" s="2075"/>
      <c r="E107" s="2075"/>
      <c r="F107" s="2075"/>
      <c r="G107" s="2075"/>
      <c r="H107" s="2075"/>
      <c r="I107" s="2076"/>
    </row>
    <row r="108" spans="1:9" s="181" customFormat="1" ht="11.25" customHeight="1" x14ac:dyDescent="0.2">
      <c r="A108" s="316"/>
      <c r="B108" s="2074"/>
      <c r="C108" s="2075"/>
      <c r="D108" s="2075"/>
      <c r="E108" s="2075"/>
      <c r="F108" s="2075"/>
      <c r="G108" s="2075"/>
      <c r="H108" s="2075"/>
      <c r="I108" s="2076"/>
    </row>
    <row r="109" spans="1:9" s="181" customFormat="1" ht="11.25" customHeight="1" x14ac:dyDescent="0.2">
      <c r="A109" s="316"/>
      <c r="B109" s="2074"/>
      <c r="C109" s="2075"/>
      <c r="D109" s="2075"/>
      <c r="E109" s="2075"/>
      <c r="F109" s="2075"/>
      <c r="G109" s="2075"/>
      <c r="H109" s="2075"/>
      <c r="I109" s="2076"/>
    </row>
    <row r="110" spans="1:9" s="181" customFormat="1" ht="11.25" customHeight="1" x14ac:dyDescent="0.2">
      <c r="A110" s="316"/>
      <c r="B110" s="2074"/>
      <c r="C110" s="2075"/>
      <c r="D110" s="2075"/>
      <c r="E110" s="2075"/>
      <c r="F110" s="2075"/>
      <c r="G110" s="2075"/>
      <c r="H110" s="2075"/>
      <c r="I110" s="2076"/>
    </row>
    <row r="111" spans="1:9" s="181" customFormat="1" ht="11.25" customHeight="1" x14ac:dyDescent="0.2">
      <c r="A111" s="316"/>
      <c r="B111" s="2074"/>
      <c r="C111" s="2075"/>
      <c r="D111" s="2075"/>
      <c r="E111" s="2075"/>
      <c r="F111" s="2075"/>
      <c r="G111" s="2075"/>
      <c r="H111" s="2075"/>
      <c r="I111" s="2076"/>
    </row>
    <row r="112" spans="1:9" s="181" customFormat="1" ht="11.25" customHeight="1" x14ac:dyDescent="0.2">
      <c r="A112" s="316"/>
      <c r="B112" s="2077"/>
      <c r="C112" s="2078"/>
      <c r="D112" s="2078"/>
      <c r="E112" s="2078"/>
      <c r="F112" s="2078"/>
      <c r="G112" s="2078"/>
      <c r="H112" s="2078"/>
      <c r="I112" s="207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0" t="str">
        <f>COVER!T13</f>
        <v>EDER, CASELLA &amp; CO.</v>
      </c>
      <c r="D114" s="2080"/>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1" t="s">
        <v>1397</v>
      </c>
      <c r="D117" s="2082"/>
      <c r="E117" s="2083"/>
      <c r="F117" s="2083"/>
      <c r="G117" s="2083"/>
      <c r="H117" s="2083"/>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2022</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6" right="0.16" top="0.39" bottom="0.33" header="0.19" footer="0.17"/>
  <pageSetup scale="77"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A3" sqref="A3:B3"/>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0" t="s">
        <v>404</v>
      </c>
      <c r="B1" s="2100"/>
      <c r="C1" s="2100"/>
      <c r="D1" s="2100"/>
      <c r="E1" s="2100"/>
      <c r="F1" s="2100"/>
      <c r="G1" s="2100"/>
      <c r="H1" s="2100"/>
      <c r="I1" s="2100"/>
      <c r="J1" s="2100"/>
      <c r="K1" s="2100"/>
      <c r="L1" s="2100"/>
      <c r="M1" s="2100"/>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345220153</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2.1854999999999999E-2</v>
      </c>
      <c r="E10" s="356" t="s">
        <v>1062</v>
      </c>
      <c r="F10" s="355">
        <v>4.7939999999999997E-3</v>
      </c>
      <c r="G10" s="356" t="s">
        <v>1062</v>
      </c>
      <c r="H10" s="355">
        <v>1.475E-3</v>
      </c>
      <c r="I10" s="356" t="s">
        <v>1063</v>
      </c>
      <c r="J10" s="1754">
        <f>ROUND(D10+F10+H10,5)</f>
        <v>2.8119999999999999E-2</v>
      </c>
      <c r="K10" s="222"/>
      <c r="L10" s="355">
        <v>4.6799999999999999E-4</v>
      </c>
      <c r="M10" s="222"/>
    </row>
    <row r="11" spans="1:14" ht="7.5" customHeight="1" x14ac:dyDescent="0.2">
      <c r="B11" s="222"/>
      <c r="C11" s="222"/>
      <c r="D11" s="2110" t="str">
        <f>IF(SUM(J10)&lt;=0.0999999,"","Enter the Tax Rates by moving the decimal two places to the left.")</f>
        <v/>
      </c>
      <c r="E11" s="2111"/>
      <c r="F11" s="2111"/>
      <c r="G11" s="2111"/>
      <c r="H11" s="2111"/>
      <c r="I11" s="2111"/>
      <c r="J11" s="211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13902433</v>
      </c>
      <c r="E16" s="356"/>
      <c r="F16" s="1755">
        <f>SUM('Acct Summary 7-8'!C17,'Acct Summary 7-8'!D17,'Acct Summary 7-8'!F17)</f>
        <v>11452004</v>
      </c>
      <c r="G16" s="356"/>
      <c r="H16" s="1755">
        <f>SUM(D16-F16)</f>
        <v>2450429</v>
      </c>
      <c r="I16" s="222"/>
      <c r="J16" s="1755">
        <f>SUM('Acct Summary 7-8'!C81,'Acct Summary 7-8'!D81,'Acct Summary 7-8'!F81,'Acct Summary 7-8'!I81)</f>
        <v>17051634</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2082</v>
      </c>
      <c r="C31" s="367" t="s">
        <v>607</v>
      </c>
      <c r="D31" s="237" t="s">
        <v>1132</v>
      </c>
      <c r="E31" s="222"/>
      <c r="F31" s="222"/>
      <c r="G31" s="363"/>
      <c r="H31" s="1757">
        <f>IF(B31="X",(J7*0.069),IF(B32="X",(J7*0.138),"Enter x in a.or b."))</f>
        <v>23820190.557000004</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4135000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1"/>
      <c r="C54" s="2102"/>
      <c r="D54" s="2102"/>
      <c r="E54" s="2102"/>
      <c r="F54" s="2102"/>
      <c r="G54" s="2102"/>
      <c r="H54" s="2102"/>
      <c r="I54" s="2102"/>
      <c r="J54" s="2102"/>
      <c r="K54" s="2102"/>
      <c r="L54" s="2103"/>
      <c r="M54" s="380"/>
    </row>
    <row r="55" spans="1:13" ht="12.75" customHeight="1" x14ac:dyDescent="0.2">
      <c r="B55" s="2104"/>
      <c r="C55" s="2105"/>
      <c r="D55" s="2105"/>
      <c r="E55" s="2105"/>
      <c r="F55" s="2105"/>
      <c r="G55" s="2105"/>
      <c r="H55" s="2105"/>
      <c r="I55" s="2105"/>
      <c r="J55" s="2105"/>
      <c r="K55" s="2105"/>
      <c r="L55" s="2106"/>
      <c r="M55" s="380"/>
    </row>
    <row r="56" spans="1:13" ht="12.75" customHeight="1" x14ac:dyDescent="0.2">
      <c r="B56" s="2104"/>
      <c r="C56" s="2105"/>
      <c r="D56" s="2105"/>
      <c r="E56" s="2105"/>
      <c r="F56" s="2105"/>
      <c r="G56" s="2105"/>
      <c r="H56" s="2105"/>
      <c r="I56" s="2105"/>
      <c r="J56" s="2105"/>
      <c r="K56" s="2105"/>
      <c r="L56" s="2106"/>
      <c r="M56" s="222"/>
    </row>
    <row r="57" spans="1:13" ht="12.75" customHeight="1" x14ac:dyDescent="0.2">
      <c r="B57" s="2104"/>
      <c r="C57" s="2105"/>
      <c r="D57" s="2105"/>
      <c r="E57" s="2105"/>
      <c r="F57" s="2105"/>
      <c r="G57" s="2105"/>
      <c r="H57" s="2105"/>
      <c r="I57" s="2105"/>
      <c r="J57" s="2105"/>
      <c r="K57" s="2105"/>
      <c r="L57" s="2106"/>
      <c r="M57" s="222"/>
    </row>
    <row r="58" spans="1:13" x14ac:dyDescent="0.2">
      <c r="B58" s="2107"/>
      <c r="C58" s="2108"/>
      <c r="D58" s="2108"/>
      <c r="E58" s="2108"/>
      <c r="F58" s="2108"/>
      <c r="G58" s="2108"/>
      <c r="H58" s="2108"/>
      <c r="I58" s="2108"/>
      <c r="J58" s="2108"/>
      <c r="K58" s="2108"/>
      <c r="L58" s="210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2"/>
      <c r="D61" s="211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A3" sqref="A3:R3"/>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5"/>
      <c r="B1" s="2116"/>
      <c r="C1" s="2116"/>
      <c r="D1" s="384"/>
      <c r="E1" s="384"/>
      <c r="F1" s="384"/>
      <c r="G1" s="384"/>
      <c r="H1" s="384"/>
      <c r="I1" s="384"/>
      <c r="J1" s="384"/>
      <c r="K1" s="384"/>
      <c r="L1" s="384"/>
      <c r="M1" s="384"/>
      <c r="N1" s="384"/>
      <c r="O1" s="2115"/>
      <c r="P1" s="2116"/>
      <c r="Q1" s="2116"/>
    </row>
    <row r="2" spans="1:18" ht="15" x14ac:dyDescent="0.2">
      <c r="A2" s="2119" t="s">
        <v>577</v>
      </c>
      <c r="B2" s="2119"/>
      <c r="C2" s="2119"/>
      <c r="D2" s="2119"/>
      <c r="E2" s="2119"/>
      <c r="F2" s="2119"/>
      <c r="G2" s="2119"/>
      <c r="H2" s="2119"/>
      <c r="I2" s="2119"/>
      <c r="J2" s="2119"/>
      <c r="K2" s="2119"/>
      <c r="L2" s="2119"/>
      <c r="M2" s="2119"/>
      <c r="N2" s="2119"/>
      <c r="O2" s="2119"/>
      <c r="P2" s="2119"/>
      <c r="Q2" s="2119"/>
      <c r="R2" s="2119"/>
    </row>
    <row r="3" spans="1:18" ht="12.75" x14ac:dyDescent="0.2">
      <c r="A3" s="2120" t="s">
        <v>1480</v>
      </c>
      <c r="B3" s="2120"/>
      <c r="C3" s="2120"/>
      <c r="D3" s="2120"/>
      <c r="E3" s="2120"/>
      <c r="F3" s="2120"/>
      <c r="G3" s="2120"/>
      <c r="H3" s="2120"/>
      <c r="I3" s="2120"/>
      <c r="J3" s="2120"/>
      <c r="K3" s="2120"/>
      <c r="L3" s="2120"/>
      <c r="M3" s="2120"/>
      <c r="N3" s="2120"/>
      <c r="O3" s="2120"/>
      <c r="P3" s="2120"/>
      <c r="Q3" s="2120"/>
      <c r="R3" s="2120"/>
    </row>
    <row r="4" spans="1:18" x14ac:dyDescent="0.2">
      <c r="A4" s="2121" t="s">
        <v>1635</v>
      </c>
      <c r="B4" s="2121"/>
      <c r="C4" s="2121"/>
      <c r="D4" s="2121"/>
      <c r="E4" s="2121"/>
      <c r="F4" s="2121"/>
      <c r="G4" s="2121"/>
      <c r="H4" s="2121"/>
      <c r="I4" s="2121"/>
      <c r="J4" s="2121"/>
      <c r="K4" s="2121"/>
      <c r="L4" s="2121"/>
      <c r="M4" s="2121"/>
      <c r="N4" s="2121"/>
      <c r="O4" s="2121"/>
      <c r="P4" s="2121"/>
      <c r="Q4" s="2121"/>
      <c r="R4" s="212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Richmond-Burton CHSD 157</v>
      </c>
      <c r="E7" s="391"/>
      <c r="G7" s="252"/>
      <c r="H7" s="387"/>
      <c r="I7" s="387"/>
      <c r="J7" s="387"/>
      <c r="K7" s="387"/>
      <c r="L7" s="329"/>
      <c r="M7" s="329"/>
      <c r="N7" s="329"/>
      <c r="O7" s="329"/>
      <c r="P7" s="329"/>
    </row>
    <row r="8" spans="1:18" ht="12.75" x14ac:dyDescent="0.2">
      <c r="A8" s="329"/>
      <c r="B8" s="329"/>
      <c r="C8" s="389" t="s">
        <v>1187</v>
      </c>
      <c r="D8" s="392">
        <f>COVER!A13</f>
        <v>44063157016</v>
      </c>
      <c r="E8" s="393"/>
      <c r="G8" s="329"/>
      <c r="H8" s="329"/>
      <c r="I8" s="329"/>
      <c r="J8" s="329"/>
      <c r="K8" s="329"/>
      <c r="L8" s="329"/>
      <c r="M8" s="329"/>
      <c r="N8" s="329"/>
      <c r="O8" s="329"/>
      <c r="P8" s="329"/>
    </row>
    <row r="9" spans="1:18" ht="12.75" x14ac:dyDescent="0.2">
      <c r="A9" s="329"/>
      <c r="B9" s="329"/>
      <c r="C9" s="389" t="s">
        <v>737</v>
      </c>
      <c r="D9" s="394" t="str">
        <f>COVER!A15</f>
        <v>MCHENRY</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17051634</v>
      </c>
      <c r="I12" s="404"/>
      <c r="J12" s="404"/>
      <c r="K12" s="405">
        <f>TRUNC((H12/H13*100000),5)/100000</f>
        <v>1.2265215734999999</v>
      </c>
      <c r="L12" s="406"/>
      <c r="M12" s="360" t="s">
        <v>1206</v>
      </c>
      <c r="N12" s="360"/>
      <c r="O12" s="407">
        <v>0.35</v>
      </c>
      <c r="P12" s="218"/>
      <c r="Q12" s="218"/>
    </row>
    <row r="13" spans="1:18" s="408" customFormat="1" ht="12.75" x14ac:dyDescent="0.2">
      <c r="A13" s="218"/>
      <c r="B13" s="401"/>
      <c r="C13" s="2117" t="s">
        <v>1391</v>
      </c>
      <c r="D13" s="2118"/>
      <c r="E13" s="218"/>
      <c r="F13" s="409" t="s">
        <v>826</v>
      </c>
      <c r="G13" s="402"/>
      <c r="H13" s="403">
        <f>SUM('Acct Summary 7-8'!C8+'Acct Summary 7-8'!D8+'Acct Summary 7-8'!F8+'Acct Summary 7-8'!I8)+H14</f>
        <v>13902433</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11452004</v>
      </c>
      <c r="I17" s="404"/>
      <c r="J17" s="416"/>
      <c r="K17" s="405">
        <f>TRUNC((H17/H18*100000),5)/100000</f>
        <v>0.82374099550000002</v>
      </c>
      <c r="L17" s="406"/>
      <c r="M17" s="417" t="s">
        <v>1233</v>
      </c>
      <c r="O17" s="418" t="str">
        <f>IF(AND(O16="2", J20 &gt; 2),"1",IF(AND(O16 = "1", J20 &gt; 2),"2",IF(AND(O16="1", J20 &gt;1),"1","0")))</f>
        <v>0</v>
      </c>
      <c r="P17" s="218"/>
    </row>
    <row r="18" spans="1:18" s="408" customFormat="1" ht="11.25" x14ac:dyDescent="0.2">
      <c r="A18" s="218"/>
      <c r="B18" s="401"/>
      <c r="C18" s="2117" t="s">
        <v>1384</v>
      </c>
      <c r="D18" s="2118"/>
      <c r="E18" s="218"/>
      <c r="F18" s="419" t="s">
        <v>827</v>
      </c>
      <c r="G18" s="402"/>
      <c r="H18" s="403">
        <f>SUM('Acct Summary 7-8'!C8+'Acct Summary 7-8'!D8+'Acct Summary 7-8'!F8+'Acct Summary 7-8'!I8)+H19</f>
        <v>13902433</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4" t="s">
        <v>1479</v>
      </c>
      <c r="D24" s="2114"/>
      <c r="E24" s="218"/>
      <c r="F24" s="218" t="s">
        <v>465</v>
      </c>
      <c r="G24" s="402"/>
      <c r="H24" s="403">
        <f>SUM('Assets-Liab 5-6'!C4+'Assets-Liab 5-6'!D4+'Assets-Liab 5-6'!F4+'Assets-Liab 5-6'!I4+'Assets-Liab 5-6'!C5+'Assets-Liab 5-6'!D5+'Assets-Liab 5-6'!F5+'Assets-Liab 5-6'!I5)</f>
        <v>17051634</v>
      </c>
      <c r="I24" s="422"/>
      <c r="J24" s="422"/>
      <c r="K24" s="423">
        <f>TRUNC(((H24/H25*100000)/100000),2)</f>
        <v>536.02</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31811.122220000001</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8251452.0970099997</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4135000</v>
      </c>
      <c r="I32" s="420"/>
      <c r="J32" s="420"/>
      <c r="K32" s="423">
        <f>TRUNC(100-((((H32/H33*100))*100)/100),2)</f>
        <v>82.64</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23820190.557000004</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41"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B050"/>
  </sheetPr>
  <dimension ref="A1:N44"/>
  <sheetViews>
    <sheetView showGridLines="0" defaultGridColor="0" colorId="8" zoomScale="110" zoomScaleNormal="110" workbookViewId="0">
      <pane ySplit="2" topLeftCell="A15" activePane="bottomLeft" state="frozen"/>
      <selection activeCell="A3" sqref="A3:B3"/>
      <selection pane="bottomLeft" activeCell="A3" sqref="A3:B3"/>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2"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3"/>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4" t="s">
        <v>1030</v>
      </c>
      <c r="B3" s="2125"/>
      <c r="C3" s="1581"/>
      <c r="D3" s="1582"/>
      <c r="E3" s="1582"/>
      <c r="F3" s="1582"/>
      <c r="G3" s="1582"/>
      <c r="H3" s="1582"/>
      <c r="I3" s="1582"/>
      <c r="J3" s="1582"/>
      <c r="K3" s="1582"/>
      <c r="L3" s="1582"/>
      <c r="M3" s="1583"/>
      <c r="N3" s="1584"/>
    </row>
    <row r="4" spans="1:14" ht="13.5" customHeight="1" x14ac:dyDescent="0.2">
      <c r="A4" s="463" t="s">
        <v>1750</v>
      </c>
      <c r="B4" s="464"/>
      <c r="C4" s="465">
        <v>10847779</v>
      </c>
      <c r="D4" s="466">
        <v>1225552</v>
      </c>
      <c r="E4" s="466">
        <v>48907</v>
      </c>
      <c r="F4" s="466">
        <v>638698</v>
      </c>
      <c r="G4" s="466">
        <v>539247</v>
      </c>
      <c r="H4" s="466">
        <v>134930</v>
      </c>
      <c r="I4" s="466">
        <v>843120</v>
      </c>
      <c r="J4" s="467">
        <v>0</v>
      </c>
      <c r="K4" s="466">
        <v>0</v>
      </c>
      <c r="L4" s="466">
        <v>93222</v>
      </c>
      <c r="M4" s="468"/>
      <c r="N4" s="469"/>
    </row>
    <row r="5" spans="1:14" x14ac:dyDescent="0.2">
      <c r="A5" s="463" t="s">
        <v>1049</v>
      </c>
      <c r="B5" s="470">
        <v>120</v>
      </c>
      <c r="C5" s="465">
        <v>2798131</v>
      </c>
      <c r="D5" s="466">
        <v>316126</v>
      </c>
      <c r="E5" s="466">
        <v>12615</v>
      </c>
      <c r="F5" s="466">
        <v>164749</v>
      </c>
      <c r="G5" s="466">
        <v>139096</v>
      </c>
      <c r="H5" s="466">
        <v>34804</v>
      </c>
      <c r="I5" s="466">
        <v>217479</v>
      </c>
      <c r="J5" s="467">
        <v>0</v>
      </c>
      <c r="K5" s="471">
        <v>0</v>
      </c>
      <c r="L5" s="472"/>
      <c r="M5" s="468"/>
      <c r="N5" s="469"/>
    </row>
    <row r="6" spans="1:14" ht="13.5" customHeight="1" x14ac:dyDescent="0.2">
      <c r="A6" s="473" t="s">
        <v>437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287</v>
      </c>
      <c r="B8" s="470">
        <v>150</v>
      </c>
      <c r="C8" s="476">
        <v>0</v>
      </c>
      <c r="D8" s="467">
        <v>0</v>
      </c>
      <c r="E8" s="467">
        <v>0</v>
      </c>
      <c r="F8" s="467">
        <v>0</v>
      </c>
      <c r="G8" s="478">
        <v>0</v>
      </c>
      <c r="H8" s="467">
        <v>0</v>
      </c>
      <c r="I8" s="474">
        <v>0</v>
      </c>
      <c r="J8" s="474">
        <v>0</v>
      </c>
      <c r="K8" s="479">
        <v>0</v>
      </c>
      <c r="L8" s="480"/>
      <c r="M8" s="468"/>
      <c r="N8" s="469"/>
    </row>
    <row r="9" spans="1:14" ht="13.5" customHeight="1" x14ac:dyDescent="0.2">
      <c r="A9" s="473" t="s">
        <v>288</v>
      </c>
      <c r="B9" s="470">
        <v>160</v>
      </c>
      <c r="C9" s="476">
        <v>0</v>
      </c>
      <c r="D9" s="467">
        <v>0</v>
      </c>
      <c r="E9" s="467">
        <v>0</v>
      </c>
      <c r="F9" s="467">
        <v>0</v>
      </c>
      <c r="G9" s="467">
        <v>0</v>
      </c>
      <c r="H9" s="478">
        <v>0</v>
      </c>
      <c r="I9" s="467">
        <v>0</v>
      </c>
      <c r="J9" s="467">
        <v>0</v>
      </c>
      <c r="K9" s="467">
        <v>0</v>
      </c>
      <c r="L9" s="467"/>
      <c r="M9" s="468"/>
      <c r="N9" s="469"/>
    </row>
    <row r="10" spans="1:14" ht="13.5" customHeight="1" x14ac:dyDescent="0.2">
      <c r="A10" s="473" t="s">
        <v>1048</v>
      </c>
      <c r="B10" s="470">
        <v>170</v>
      </c>
      <c r="C10" s="465">
        <v>0</v>
      </c>
      <c r="D10" s="466">
        <v>0</v>
      </c>
      <c r="E10" s="467">
        <v>0</v>
      </c>
      <c r="F10" s="466">
        <v>0</v>
      </c>
      <c r="G10" s="478">
        <v>0</v>
      </c>
      <c r="H10" s="481">
        <v>0</v>
      </c>
      <c r="I10" s="467">
        <v>0</v>
      </c>
      <c r="J10" s="467">
        <v>0</v>
      </c>
      <c r="K10" s="481">
        <v>0</v>
      </c>
      <c r="L10" s="481"/>
      <c r="M10" s="469"/>
      <c r="N10" s="469"/>
    </row>
    <row r="11" spans="1:14" ht="13.5" customHeight="1" x14ac:dyDescent="0.2">
      <c r="A11" s="473" t="s">
        <v>289</v>
      </c>
      <c r="B11" s="470">
        <v>180</v>
      </c>
      <c r="C11" s="476">
        <v>0</v>
      </c>
      <c r="D11" s="467">
        <v>0</v>
      </c>
      <c r="E11" s="467">
        <v>0</v>
      </c>
      <c r="F11" s="467">
        <v>0</v>
      </c>
      <c r="G11" s="467">
        <v>0</v>
      </c>
      <c r="H11" s="467">
        <v>0</v>
      </c>
      <c r="I11" s="478">
        <v>0</v>
      </c>
      <c r="J11" s="478">
        <v>0</v>
      </c>
      <c r="K11" s="467">
        <v>0</v>
      </c>
      <c r="L11" s="467"/>
      <c r="M11" s="469"/>
      <c r="N11" s="469"/>
    </row>
    <row r="12" spans="1:14" ht="13.5" customHeight="1" x14ac:dyDescent="0.2">
      <c r="A12" s="473" t="s">
        <v>439</v>
      </c>
      <c r="B12" s="470">
        <v>190</v>
      </c>
      <c r="C12" s="465">
        <v>0</v>
      </c>
      <c r="D12" s="466">
        <v>0</v>
      </c>
      <c r="E12" s="466">
        <v>0</v>
      </c>
      <c r="F12" s="466">
        <v>0</v>
      </c>
      <c r="G12" s="466">
        <v>0</v>
      </c>
      <c r="H12" s="466">
        <v>0</v>
      </c>
      <c r="I12" s="466">
        <v>0</v>
      </c>
      <c r="J12" s="467">
        <v>0</v>
      </c>
      <c r="K12" s="466">
        <v>0</v>
      </c>
      <c r="L12" s="466"/>
      <c r="M12" s="469"/>
      <c r="N12" s="469"/>
    </row>
    <row r="13" spans="1:14" ht="13.5" customHeight="1" thickBot="1" x14ac:dyDescent="0.25">
      <c r="A13" s="1758" t="s">
        <v>665</v>
      </c>
      <c r="B13" s="1731"/>
      <c r="C13" s="1759">
        <f>SUM(C4:C12)</f>
        <v>13645910</v>
      </c>
      <c r="D13" s="1759">
        <f t="shared" ref="D13:L13" si="0">SUM(D4:D12)</f>
        <v>1541678</v>
      </c>
      <c r="E13" s="1759">
        <f t="shared" si="0"/>
        <v>61522</v>
      </c>
      <c r="F13" s="1759">
        <f t="shared" si="0"/>
        <v>803447</v>
      </c>
      <c r="G13" s="1759">
        <f t="shared" si="0"/>
        <v>678343</v>
      </c>
      <c r="H13" s="1759">
        <f t="shared" si="0"/>
        <v>169734</v>
      </c>
      <c r="I13" s="1759">
        <f t="shared" si="0"/>
        <v>1060599</v>
      </c>
      <c r="J13" s="1759">
        <f t="shared" si="0"/>
        <v>0</v>
      </c>
      <c r="K13" s="1759">
        <f t="shared" si="0"/>
        <v>0</v>
      </c>
      <c r="L13" s="1759">
        <f t="shared" si="0"/>
        <v>93222</v>
      </c>
      <c r="M13" s="468"/>
      <c r="N13" s="469"/>
    </row>
    <row r="14" spans="1:14" ht="18" customHeight="1" thickTop="1" x14ac:dyDescent="0.2">
      <c r="A14" s="2126" t="s">
        <v>149</v>
      </c>
      <c r="B14" s="2127"/>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81500</v>
      </c>
      <c r="N16" s="484"/>
    </row>
    <row r="17" spans="1:14" s="485" customFormat="1" ht="12.75" customHeight="1" x14ac:dyDescent="0.2">
      <c r="A17" s="482" t="s">
        <v>1470</v>
      </c>
      <c r="B17" s="483">
        <v>230</v>
      </c>
      <c r="C17" s="477"/>
      <c r="D17" s="477"/>
      <c r="E17" s="477"/>
      <c r="F17" s="477"/>
      <c r="G17" s="477"/>
      <c r="H17" s="477"/>
      <c r="I17" s="477"/>
      <c r="J17" s="477"/>
      <c r="K17" s="477"/>
      <c r="L17" s="477"/>
      <c r="M17" s="467">
        <v>25403896</v>
      </c>
      <c r="N17" s="484"/>
    </row>
    <row r="18" spans="1:14" s="485" customFormat="1" ht="12.75" customHeight="1" x14ac:dyDescent="0.2">
      <c r="A18" s="482" t="s">
        <v>1471</v>
      </c>
      <c r="B18" s="483">
        <v>240</v>
      </c>
      <c r="C18" s="477"/>
      <c r="D18" s="477"/>
      <c r="E18" s="477"/>
      <c r="F18" s="477"/>
      <c r="G18" s="477"/>
      <c r="H18" s="477"/>
      <c r="I18" s="477"/>
      <c r="J18" s="477"/>
      <c r="K18" s="477"/>
      <c r="L18" s="477"/>
      <c r="M18" s="467">
        <v>1528226</v>
      </c>
      <c r="N18" s="484"/>
    </row>
    <row r="19" spans="1:14" s="485" customFormat="1" ht="12.75" customHeight="1" x14ac:dyDescent="0.2">
      <c r="A19" s="482" t="s">
        <v>1472</v>
      </c>
      <c r="B19" s="483">
        <v>250</v>
      </c>
      <c r="C19" s="477"/>
      <c r="D19" s="477"/>
      <c r="E19" s="477"/>
      <c r="F19" s="477"/>
      <c r="G19" s="477"/>
      <c r="H19" s="477"/>
      <c r="I19" s="477"/>
      <c r="J19" s="477"/>
      <c r="K19" s="477"/>
      <c r="L19" s="477"/>
      <c r="M19" s="467">
        <v>5280806</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61522</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4073478</v>
      </c>
    </row>
    <row r="23" spans="1:14" ht="13.5" customHeight="1" thickBot="1" x14ac:dyDescent="0.25">
      <c r="A23" s="1758" t="s">
        <v>664</v>
      </c>
      <c r="B23" s="1763"/>
      <c r="C23" s="468"/>
      <c r="D23" s="468"/>
      <c r="E23" s="468"/>
      <c r="F23" s="468"/>
      <c r="G23" s="468"/>
      <c r="H23" s="468"/>
      <c r="I23" s="468"/>
      <c r="J23" s="468"/>
      <c r="K23" s="468"/>
      <c r="L23" s="468"/>
      <c r="M23" s="1710">
        <f>SUM(M15:M22)</f>
        <v>32294428</v>
      </c>
      <c r="N23" s="1710">
        <f>SUM(N21:N22)</f>
        <v>4135000</v>
      </c>
    </row>
    <row r="24" spans="1:14" ht="18" customHeight="1" thickTop="1" x14ac:dyDescent="0.2">
      <c r="A24" s="2128" t="s">
        <v>619</v>
      </c>
      <c r="B24" s="2129"/>
      <c r="C24" s="1590"/>
      <c r="D24" s="1587"/>
      <c r="E24" s="1587"/>
      <c r="F24" s="1587"/>
      <c r="G24" s="1587"/>
      <c r="H24" s="1587"/>
      <c r="I24" s="1587"/>
      <c r="J24" s="1587"/>
      <c r="K24" s="1587"/>
      <c r="L24" s="1587"/>
      <c r="M24" s="1586"/>
      <c r="N24" s="1591"/>
    </row>
    <row r="25" spans="1:14" x14ac:dyDescent="0.2">
      <c r="A25" s="473" t="s">
        <v>666</v>
      </c>
      <c r="B25" s="470">
        <v>410</v>
      </c>
      <c r="C25" s="478">
        <v>0</v>
      </c>
      <c r="D25" s="478">
        <v>0</v>
      </c>
      <c r="E25" s="478">
        <v>0</v>
      </c>
      <c r="F25" s="478">
        <v>0</v>
      </c>
      <c r="G25" s="478">
        <v>0</v>
      </c>
      <c r="H25" s="479">
        <v>0</v>
      </c>
      <c r="I25" s="468"/>
      <c r="J25" s="478">
        <v>0</v>
      </c>
      <c r="K25" s="478">
        <v>0</v>
      </c>
      <c r="L25" s="468"/>
      <c r="M25" s="468"/>
      <c r="N25" s="468"/>
    </row>
    <row r="26" spans="1:14" x14ac:dyDescent="0.2">
      <c r="A26" s="473" t="s">
        <v>667</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7">
        <v>0</v>
      </c>
      <c r="D27" s="467">
        <v>0</v>
      </c>
      <c r="E27" s="467">
        <v>0</v>
      </c>
      <c r="F27" s="467">
        <v>0</v>
      </c>
      <c r="G27" s="467">
        <v>0</v>
      </c>
      <c r="H27" s="467">
        <v>0</v>
      </c>
      <c r="I27" s="467">
        <v>0</v>
      </c>
      <c r="J27" s="467">
        <v>0</v>
      </c>
      <c r="K27" s="467">
        <v>0</v>
      </c>
      <c r="L27" s="468"/>
      <c r="M27" s="468"/>
      <c r="N27" s="468"/>
    </row>
    <row r="28" spans="1:14" ht="13.5" customHeight="1" x14ac:dyDescent="0.2">
      <c r="A28" s="473" t="s">
        <v>669</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670</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7">
        <v>0</v>
      </c>
      <c r="D30" s="474">
        <v>0</v>
      </c>
      <c r="E30" s="467">
        <v>0</v>
      </c>
      <c r="F30" s="467">
        <v>0</v>
      </c>
      <c r="G30" s="467">
        <v>0</v>
      </c>
      <c r="H30" s="467">
        <v>0</v>
      </c>
      <c r="I30" s="467">
        <v>0</v>
      </c>
      <c r="J30" s="467">
        <v>0</v>
      </c>
      <c r="K30" s="478">
        <v>0</v>
      </c>
      <c r="L30" s="468"/>
      <c r="M30" s="468"/>
      <c r="N30" s="468"/>
    </row>
    <row r="31" spans="1:14" ht="13.5" customHeight="1" x14ac:dyDescent="0.2">
      <c r="A31" s="473" t="s">
        <v>672</v>
      </c>
      <c r="B31" s="470">
        <v>480</v>
      </c>
      <c r="C31" s="466">
        <v>0</v>
      </c>
      <c r="D31" s="467">
        <v>0</v>
      </c>
      <c r="E31" s="467">
        <v>0</v>
      </c>
      <c r="F31" s="466">
        <v>0</v>
      </c>
      <c r="G31" s="467">
        <v>0</v>
      </c>
      <c r="H31" s="467">
        <v>0</v>
      </c>
      <c r="I31" s="467">
        <v>0</v>
      </c>
      <c r="J31" s="467">
        <v>0</v>
      </c>
      <c r="K31" s="467">
        <v>0</v>
      </c>
      <c r="L31" s="468"/>
      <c r="M31" s="468"/>
      <c r="N31" s="468"/>
    </row>
    <row r="32" spans="1:14" ht="13.5" customHeight="1" x14ac:dyDescent="0.2">
      <c r="A32" s="490" t="s">
        <v>673</v>
      </c>
      <c r="B32" s="491">
        <v>490</v>
      </c>
      <c r="C32" s="492">
        <v>0</v>
      </c>
      <c r="D32" s="492">
        <v>0</v>
      </c>
      <c r="E32" s="474">
        <v>0</v>
      </c>
      <c r="F32" s="474">
        <v>0</v>
      </c>
      <c r="G32" s="474">
        <v>0</v>
      </c>
      <c r="H32" s="474">
        <v>0</v>
      </c>
      <c r="I32" s="474">
        <v>0</v>
      </c>
      <c r="J32" s="474">
        <v>0</v>
      </c>
      <c r="K32" s="479">
        <v>0</v>
      </c>
      <c r="L32" s="468"/>
      <c r="M32" s="468"/>
      <c r="N32" s="468"/>
    </row>
    <row r="33" spans="1:14" ht="13.5" customHeight="1" x14ac:dyDescent="0.2">
      <c r="A33" s="493" t="s">
        <v>321</v>
      </c>
      <c r="B33" s="491">
        <v>493</v>
      </c>
      <c r="C33" s="467">
        <v>0</v>
      </c>
      <c r="D33" s="467">
        <v>0</v>
      </c>
      <c r="E33" s="467">
        <v>0</v>
      </c>
      <c r="F33" s="467">
        <v>0</v>
      </c>
      <c r="G33" s="467">
        <v>0</v>
      </c>
      <c r="H33" s="467">
        <v>0</v>
      </c>
      <c r="I33" s="467">
        <v>0</v>
      </c>
      <c r="J33" s="467">
        <v>0</v>
      </c>
      <c r="K33" s="467">
        <v>0</v>
      </c>
      <c r="L33" s="467">
        <v>93222</v>
      </c>
      <c r="M33" s="468"/>
      <c r="N33" s="469"/>
    </row>
    <row r="34" spans="1:14" ht="13.5" customHeight="1" thickBot="1" x14ac:dyDescent="0.25">
      <c r="A34" s="1760" t="s">
        <v>675</v>
      </c>
      <c r="B34" s="1761"/>
      <c r="C34" s="1762">
        <f>SUM(C25:C33)</f>
        <v>0</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93222</v>
      </c>
      <c r="M34" s="468"/>
      <c r="N34" s="480"/>
    </row>
    <row r="35" spans="1:14" ht="18" customHeight="1" thickTop="1" x14ac:dyDescent="0.2">
      <c r="A35" s="2130" t="s">
        <v>550</v>
      </c>
      <c r="B35" s="2131"/>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4135000</v>
      </c>
    </row>
    <row r="37" spans="1:14" ht="13.5" thickBot="1" x14ac:dyDescent="0.25">
      <c r="A37" s="1758" t="s">
        <v>674</v>
      </c>
      <c r="B37" s="1763"/>
      <c r="C37" s="477"/>
      <c r="D37" s="477"/>
      <c r="E37" s="477"/>
      <c r="F37" s="477"/>
      <c r="G37" s="477"/>
      <c r="H37" s="477"/>
      <c r="I37" s="477"/>
      <c r="J37" s="477"/>
      <c r="K37" s="477"/>
      <c r="L37" s="480"/>
      <c r="M37" s="468"/>
      <c r="N37" s="1710">
        <f>SUM(N36:N36)</f>
        <v>4135000</v>
      </c>
    </row>
    <row r="38" spans="1:14" s="329" customFormat="1" ht="13.5" customHeight="1" thickTop="1" x14ac:dyDescent="0.2">
      <c r="A38" s="496" t="s">
        <v>440</v>
      </c>
      <c r="B38" s="483">
        <v>714</v>
      </c>
      <c r="C38" s="466"/>
      <c r="D38" s="466"/>
      <c r="E38" s="466"/>
      <c r="F38" s="466"/>
      <c r="G38" s="466">
        <v>9627</v>
      </c>
      <c r="H38" s="466"/>
      <c r="I38" s="466"/>
      <c r="J38" s="467"/>
      <c r="K38" s="466"/>
      <c r="L38" s="481"/>
      <c r="M38" s="497"/>
      <c r="N38" s="497"/>
    </row>
    <row r="39" spans="1:14" s="329" customFormat="1" ht="13.5" customHeight="1" x14ac:dyDescent="0.2">
      <c r="A39" s="496" t="s">
        <v>360</v>
      </c>
      <c r="B39" s="483">
        <v>730</v>
      </c>
      <c r="C39" s="466">
        <v>13645910</v>
      </c>
      <c r="D39" s="466">
        <v>1541678</v>
      </c>
      <c r="E39" s="466">
        <v>61522</v>
      </c>
      <c r="F39" s="466">
        <v>803447</v>
      </c>
      <c r="G39" s="466">
        <v>668716</v>
      </c>
      <c r="H39" s="466">
        <v>169734</v>
      </c>
      <c r="I39" s="466">
        <v>1060599</v>
      </c>
      <c r="J39" s="467">
        <v>0</v>
      </c>
      <c r="K39" s="466">
        <v>0</v>
      </c>
      <c r="L39" s="466">
        <v>0</v>
      </c>
      <c r="M39" s="497"/>
      <c r="N39" s="497"/>
    </row>
    <row r="40" spans="1:14" s="329" customFormat="1" ht="13.5" customHeight="1" x14ac:dyDescent="0.2">
      <c r="A40" s="498" t="s">
        <v>150</v>
      </c>
      <c r="B40" s="499"/>
      <c r="C40" s="500"/>
      <c r="D40" s="500"/>
      <c r="E40" s="500"/>
      <c r="F40" s="500"/>
      <c r="G40" s="500"/>
      <c r="H40" s="500"/>
      <c r="I40" s="500"/>
      <c r="J40" s="500"/>
      <c r="K40" s="500"/>
      <c r="L40" s="500"/>
      <c r="M40" s="467">
        <v>32294428</v>
      </c>
      <c r="N40" s="497"/>
    </row>
    <row r="41" spans="1:14" ht="13.5" customHeight="1" thickBot="1" x14ac:dyDescent="0.25">
      <c r="A41" s="1758" t="s">
        <v>676</v>
      </c>
      <c r="B41" s="1728"/>
      <c r="C41" s="1710">
        <f>(SUM(C34,C37,C38,C39))</f>
        <v>13645910</v>
      </c>
      <c r="D41" s="1710">
        <f t="shared" ref="D41:L41" si="2">SUM(D34,D37,D38:D39)</f>
        <v>1541678</v>
      </c>
      <c r="E41" s="1710">
        <f t="shared" si="2"/>
        <v>61522</v>
      </c>
      <c r="F41" s="1710">
        <f t="shared" si="2"/>
        <v>803447</v>
      </c>
      <c r="G41" s="1710">
        <f t="shared" si="2"/>
        <v>678343</v>
      </c>
      <c r="H41" s="1710">
        <f t="shared" si="2"/>
        <v>169734</v>
      </c>
      <c r="I41" s="1710">
        <f t="shared" si="2"/>
        <v>1060599</v>
      </c>
      <c r="J41" s="1710">
        <f t="shared" si="2"/>
        <v>0</v>
      </c>
      <c r="K41" s="1710">
        <f t="shared" si="2"/>
        <v>0</v>
      </c>
      <c r="L41" s="1710">
        <f t="shared" si="2"/>
        <v>93222</v>
      </c>
      <c r="M41" s="1710">
        <f>SUM(M40)</f>
        <v>32294428</v>
      </c>
      <c r="N41" s="1710">
        <f>SUM(N37)</f>
        <v>4135000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99" bottom="0" header="0.51"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B050"/>
  </sheetPr>
  <dimension ref="A1:M87"/>
  <sheetViews>
    <sheetView showGridLines="0" defaultGridColor="0" colorId="8" zoomScale="110" zoomScaleNormal="110" zoomScaleSheetLayoutView="100" workbookViewId="0">
      <pane ySplit="2" topLeftCell="A57" activePane="bottomLeft" state="frozenSplit"/>
      <selection activeCell="A3" sqref="A3:B3"/>
      <selection pane="bottomLeft" activeCell="A3" sqref="A3:B3"/>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0"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1"/>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2" t="s">
        <v>1237</v>
      </c>
      <c r="B3" s="2153"/>
      <c r="C3" s="1595"/>
      <c r="D3" s="1596"/>
      <c r="E3" s="1596"/>
      <c r="F3" s="1596"/>
      <c r="G3" s="1596"/>
      <c r="H3" s="1596"/>
      <c r="I3" s="1596"/>
      <c r="J3" s="1596"/>
      <c r="K3" s="1597"/>
      <c r="L3" s="506"/>
    </row>
    <row r="4" spans="1:13" ht="15.75" customHeight="1" x14ac:dyDescent="0.2">
      <c r="A4" s="1954" t="s">
        <v>1579</v>
      </c>
      <c r="B4" s="1955">
        <v>1000</v>
      </c>
      <c r="C4" s="1764">
        <f>'Revenues 9-14'!C109</f>
        <v>8632899</v>
      </c>
      <c r="D4" s="1764">
        <f>'Revenues 9-14'!D109</f>
        <v>1595883</v>
      </c>
      <c r="E4" s="1764">
        <f>'Revenues 9-14'!E109</f>
        <v>1722949</v>
      </c>
      <c r="F4" s="1764">
        <f>'Revenues 9-14'!F109</f>
        <v>1109835</v>
      </c>
      <c r="G4" s="1764">
        <f>'Revenues 9-14'!G109</f>
        <v>394120</v>
      </c>
      <c r="H4" s="1764">
        <f>'Revenues 9-14'!H109</f>
        <v>12066</v>
      </c>
      <c r="I4" s="1764">
        <f>'Revenues 9-14'!I109</f>
        <v>166172</v>
      </c>
      <c r="J4" s="1764">
        <f>'Revenues 9-14'!J109</f>
        <v>0</v>
      </c>
      <c r="K4" s="1764">
        <f>'Revenues 9-14'!K109</f>
        <v>0</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1606467</v>
      </c>
      <c r="D6" s="1765">
        <f>'Revenues 9-14'!D173</f>
        <v>0</v>
      </c>
      <c r="E6" s="1765">
        <f>'Revenues 9-14'!E173</f>
        <v>0</v>
      </c>
      <c r="F6" s="1765">
        <f>'Revenues 9-14'!F173</f>
        <v>632252</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158925</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10398291</v>
      </c>
      <c r="D8" s="1710">
        <f t="shared" ref="D8:K8" si="0">SUM(D4:D7)</f>
        <v>1595883</v>
      </c>
      <c r="E8" s="1710">
        <f t="shared" si="0"/>
        <v>1722949</v>
      </c>
      <c r="F8" s="1710">
        <f t="shared" si="0"/>
        <v>1742087</v>
      </c>
      <c r="G8" s="1710">
        <f t="shared" si="0"/>
        <v>394120</v>
      </c>
      <c r="H8" s="1710">
        <f t="shared" si="0"/>
        <v>12066</v>
      </c>
      <c r="I8" s="1710">
        <f t="shared" si="0"/>
        <v>166172</v>
      </c>
      <c r="J8" s="1710">
        <f t="shared" si="0"/>
        <v>0</v>
      </c>
      <c r="K8" s="1710">
        <f t="shared" si="0"/>
        <v>0</v>
      </c>
      <c r="L8" s="347"/>
    </row>
    <row r="9" spans="1:13" ht="15.75" thickTop="1" x14ac:dyDescent="0.2">
      <c r="A9" s="514" t="s">
        <v>1752</v>
      </c>
      <c r="B9" s="515">
        <v>3998</v>
      </c>
      <c r="C9" s="481">
        <v>3498850</v>
      </c>
      <c r="D9" s="516">
        <v>0</v>
      </c>
      <c r="E9" s="481">
        <v>0</v>
      </c>
      <c r="F9" s="481">
        <v>0</v>
      </c>
      <c r="G9" s="517">
        <v>0</v>
      </c>
      <c r="H9" s="481">
        <v>0</v>
      </c>
      <c r="I9" s="509" t="s">
        <v>1231</v>
      </c>
      <c r="J9" s="478">
        <v>0</v>
      </c>
      <c r="K9" s="481">
        <v>0</v>
      </c>
      <c r="L9" s="347"/>
    </row>
    <row r="10" spans="1:13" s="519" customFormat="1" ht="13.5" thickBot="1" x14ac:dyDescent="0.25">
      <c r="A10" s="1758" t="s">
        <v>1235</v>
      </c>
      <c r="B10" s="1731"/>
      <c r="C10" s="1710">
        <f>SUM(C8:C9)</f>
        <v>13897141</v>
      </c>
      <c r="D10" s="1710">
        <f t="shared" ref="D10:K10" si="1">SUM(D8:D9)</f>
        <v>1595883</v>
      </c>
      <c r="E10" s="1710">
        <f t="shared" si="1"/>
        <v>1722949</v>
      </c>
      <c r="F10" s="1710">
        <f t="shared" si="1"/>
        <v>1742087</v>
      </c>
      <c r="G10" s="1710">
        <f t="shared" si="1"/>
        <v>394120</v>
      </c>
      <c r="H10" s="1710">
        <f t="shared" si="1"/>
        <v>12066</v>
      </c>
      <c r="I10" s="1710">
        <f t="shared" si="1"/>
        <v>166172</v>
      </c>
      <c r="J10" s="1710">
        <f t="shared" si="1"/>
        <v>0</v>
      </c>
      <c r="K10" s="1710">
        <f t="shared" si="1"/>
        <v>0</v>
      </c>
      <c r="L10" s="518"/>
    </row>
    <row r="11" spans="1:13" s="519" customFormat="1" ht="16.7" customHeight="1" thickTop="1" x14ac:dyDescent="0.2">
      <c r="A11" s="2126" t="s">
        <v>1238</v>
      </c>
      <c r="B11" s="2127"/>
      <c r="C11" s="1592"/>
      <c r="D11" s="1593"/>
      <c r="E11" s="1593"/>
      <c r="F11" s="1593"/>
      <c r="G11" s="1593"/>
      <c r="H11" s="1593"/>
      <c r="I11" s="1593"/>
      <c r="J11" s="1593"/>
      <c r="K11" s="1594"/>
      <c r="L11" s="518"/>
    </row>
    <row r="12" spans="1:13" ht="15.75" customHeight="1" x14ac:dyDescent="0.2">
      <c r="A12" s="1598" t="s">
        <v>476</v>
      </c>
      <c r="B12" s="1600">
        <v>1000</v>
      </c>
      <c r="C12" s="1764">
        <f>'Expenditures 15-22'!K33</f>
        <v>5570684</v>
      </c>
      <c r="D12" s="520" t="s">
        <v>1231</v>
      </c>
      <c r="E12" s="468" t="s">
        <v>1231</v>
      </c>
      <c r="F12" s="468" t="s">
        <v>1231</v>
      </c>
      <c r="G12" s="1764">
        <f>'Expenditures 15-22'!K229</f>
        <v>108985</v>
      </c>
      <c r="H12" s="521"/>
      <c r="I12" s="468" t="s">
        <v>1231</v>
      </c>
      <c r="J12" s="468" t="s">
        <v>1231</v>
      </c>
      <c r="K12" s="521" t="s">
        <v>1231</v>
      </c>
      <c r="L12" s="347"/>
    </row>
    <row r="13" spans="1:13" ht="15.75" customHeight="1" x14ac:dyDescent="0.2">
      <c r="A13" s="1598" t="s">
        <v>477</v>
      </c>
      <c r="B13" s="1600">
        <v>2000</v>
      </c>
      <c r="C13" s="1765">
        <f>'Expenditures 15-22'!K74</f>
        <v>2792258</v>
      </c>
      <c r="D13" s="1765">
        <f>'Expenditures 15-22'!K129</f>
        <v>1228574</v>
      </c>
      <c r="E13" s="469" t="s">
        <v>1231</v>
      </c>
      <c r="F13" s="1765">
        <f>'Expenditures 15-22'!K184</f>
        <v>1786053</v>
      </c>
      <c r="G13" s="1765">
        <f>'Expenditures 15-22'!K279</f>
        <v>264622</v>
      </c>
      <c r="H13" s="1765">
        <f>'Expenditures 15-22'!K303</f>
        <v>0</v>
      </c>
      <c r="I13" s="468" t="s">
        <v>1231</v>
      </c>
      <c r="J13" s="1765">
        <f>'Expenditures 15-22'!K330</f>
        <v>0</v>
      </c>
      <c r="K13" s="1769">
        <f>'Expenditures 15-22'!K352</f>
        <v>0</v>
      </c>
      <c r="L13" s="347"/>
    </row>
    <row r="14" spans="1:13" ht="15.75" customHeight="1" x14ac:dyDescent="0.2">
      <c r="A14" s="1598" t="s">
        <v>469</v>
      </c>
      <c r="B14" s="1600">
        <v>3000</v>
      </c>
      <c r="C14" s="1765">
        <f>'Expenditures 15-22'!K75</f>
        <v>0</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74435</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1860389</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8437377</v>
      </c>
      <c r="D17" s="1710">
        <f t="shared" si="2"/>
        <v>1228574</v>
      </c>
      <c r="E17" s="1710">
        <f t="shared" si="2"/>
        <v>1860389</v>
      </c>
      <c r="F17" s="1710">
        <f t="shared" si="2"/>
        <v>1786053</v>
      </c>
      <c r="G17" s="1710">
        <f t="shared" si="2"/>
        <v>373607</v>
      </c>
      <c r="H17" s="1710">
        <f t="shared" si="2"/>
        <v>0</v>
      </c>
      <c r="I17" s="468"/>
      <c r="J17" s="1710">
        <f>SUM(J12:J16)</f>
        <v>0</v>
      </c>
      <c r="K17" s="1710">
        <f>SUM(K12:K16)</f>
        <v>0</v>
      </c>
      <c r="L17" s="347"/>
    </row>
    <row r="18" spans="1:12" ht="15" customHeight="1" thickTop="1" x14ac:dyDescent="0.2">
      <c r="A18" s="1766" t="s">
        <v>1753</v>
      </c>
      <c r="B18" s="1767">
        <v>4180</v>
      </c>
      <c r="C18" s="1764">
        <f t="shared" ref="C18:H18" si="3">C9</f>
        <v>3498850</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11936227</v>
      </c>
      <c r="D19" s="1710">
        <f t="shared" si="4"/>
        <v>1228574</v>
      </c>
      <c r="E19" s="1710">
        <f t="shared" si="4"/>
        <v>1860389</v>
      </c>
      <c r="F19" s="1710">
        <f t="shared" si="4"/>
        <v>1786053</v>
      </c>
      <c r="G19" s="1710">
        <f t="shared" si="4"/>
        <v>373607</v>
      </c>
      <c r="H19" s="1710">
        <f t="shared" si="4"/>
        <v>0</v>
      </c>
      <c r="I19" s="468"/>
      <c r="J19" s="1710">
        <f>SUM(J17:J18)</f>
        <v>0</v>
      </c>
      <c r="K19" s="1710">
        <f>SUM(K17:K18)</f>
        <v>0</v>
      </c>
      <c r="L19" s="347"/>
    </row>
    <row r="20" spans="1:12" ht="16.5" thickTop="1" thickBot="1" x14ac:dyDescent="0.25">
      <c r="A20" s="2142" t="s">
        <v>1754</v>
      </c>
      <c r="B20" s="2143"/>
      <c r="C20" s="1768">
        <f>C8-C17</f>
        <v>1960914</v>
      </c>
      <c r="D20" s="1768">
        <f t="shared" ref="D20:K20" si="5">D8-D17</f>
        <v>367309</v>
      </c>
      <c r="E20" s="1768">
        <f t="shared" si="5"/>
        <v>-137440</v>
      </c>
      <c r="F20" s="1768">
        <f t="shared" si="5"/>
        <v>-43966</v>
      </c>
      <c r="G20" s="1768">
        <f t="shared" si="5"/>
        <v>20513</v>
      </c>
      <c r="H20" s="1768">
        <f t="shared" si="5"/>
        <v>12066</v>
      </c>
      <c r="I20" s="1768">
        <f t="shared" si="5"/>
        <v>166172</v>
      </c>
      <c r="J20" s="1768">
        <f t="shared" si="5"/>
        <v>0</v>
      </c>
      <c r="K20" s="1768">
        <f t="shared" si="5"/>
        <v>0</v>
      </c>
      <c r="L20" s="347"/>
    </row>
    <row r="21" spans="1:12" ht="16.7" customHeight="1" thickTop="1" x14ac:dyDescent="0.2">
      <c r="A21" s="2154" t="s">
        <v>616</v>
      </c>
      <c r="B21" s="2155"/>
      <c r="C21" s="1592"/>
      <c r="D21" s="1593"/>
      <c r="E21" s="1593"/>
      <c r="F21" s="1593"/>
      <c r="G21" s="1593"/>
      <c r="H21" s="1593"/>
      <c r="I21" s="1593"/>
      <c r="J21" s="1593"/>
      <c r="K21" s="1594"/>
      <c r="L21" s="524"/>
    </row>
    <row r="22" spans="1:12" ht="15.75" customHeight="1" collapsed="1" x14ac:dyDescent="0.2">
      <c r="A22" s="2150" t="s">
        <v>617</v>
      </c>
      <c r="B22" s="2151"/>
      <c r="C22" s="477"/>
      <c r="D22" s="477"/>
      <c r="E22" s="477"/>
      <c r="F22" s="477"/>
      <c r="G22" s="477"/>
      <c r="H22" s="477"/>
      <c r="I22" s="477"/>
      <c r="J22" s="477"/>
      <c r="K22" s="477"/>
      <c r="L22" s="347"/>
    </row>
    <row r="23" spans="1:12" s="485" customFormat="1" ht="15.75" customHeight="1" x14ac:dyDescent="0.2">
      <c r="A23" s="2146" t="s">
        <v>311</v>
      </c>
      <c r="B23" s="2147"/>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v>0</v>
      </c>
      <c r="D25" s="467">
        <v>0</v>
      </c>
      <c r="E25" s="467">
        <v>0</v>
      </c>
      <c r="F25" s="467">
        <v>0</v>
      </c>
      <c r="G25" s="467">
        <v>0</v>
      </c>
      <c r="H25" s="467">
        <v>0</v>
      </c>
      <c r="I25" s="477"/>
      <c r="J25" s="467">
        <v>0</v>
      </c>
      <c r="K25" s="467">
        <v>0</v>
      </c>
      <c r="L25" s="524"/>
    </row>
    <row r="26" spans="1:12" s="485" customFormat="1" ht="13.5" customHeight="1" x14ac:dyDescent="0.2">
      <c r="A26" s="1511" t="s">
        <v>193</v>
      </c>
      <c r="B26" s="483">
        <v>7120</v>
      </c>
      <c r="C26" s="467">
        <v>0</v>
      </c>
      <c r="D26" s="467">
        <v>0</v>
      </c>
      <c r="E26" s="467">
        <v>0</v>
      </c>
      <c r="F26" s="467">
        <v>0</v>
      </c>
      <c r="G26" s="467">
        <v>0</v>
      </c>
      <c r="H26" s="467">
        <v>0</v>
      </c>
      <c r="I26" s="477"/>
      <c r="J26" s="467">
        <v>0</v>
      </c>
      <c r="K26" s="467">
        <v>0</v>
      </c>
      <c r="L26" s="524"/>
    </row>
    <row r="27" spans="1:12" s="485" customFormat="1" ht="13.5" customHeight="1" x14ac:dyDescent="0.2">
      <c r="A27" s="1511" t="s">
        <v>194</v>
      </c>
      <c r="B27" s="483">
        <v>7130</v>
      </c>
      <c r="C27" s="467">
        <v>0</v>
      </c>
      <c r="D27" s="467">
        <v>0</v>
      </c>
      <c r="E27" s="526"/>
      <c r="F27" s="467">
        <v>0</v>
      </c>
      <c r="G27" s="480"/>
      <c r="H27" s="480"/>
      <c r="I27" s="480"/>
      <c r="J27" s="480"/>
      <c r="K27" s="480"/>
      <c r="L27" s="524"/>
    </row>
    <row r="28" spans="1:12" s="485" customFormat="1" ht="13.5" customHeight="1" x14ac:dyDescent="0.2">
      <c r="A28" s="1511" t="s">
        <v>1465</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511" t="s">
        <v>312</v>
      </c>
      <c r="B29" s="483">
        <v>7150</v>
      </c>
      <c r="C29" s="475"/>
      <c r="D29" s="467">
        <v>0</v>
      </c>
      <c r="E29" s="475"/>
      <c r="F29" s="475"/>
      <c r="G29" s="475"/>
      <c r="H29" s="475"/>
      <c r="I29" s="475"/>
      <c r="J29" s="475"/>
      <c r="K29" s="475"/>
      <c r="L29" s="524"/>
    </row>
    <row r="30" spans="1:12" s="485" customFormat="1" ht="26.25" x14ac:dyDescent="0.2">
      <c r="A30" s="1511" t="s">
        <v>1897</v>
      </c>
      <c r="B30" s="527">
        <v>7160</v>
      </c>
      <c r="C30" s="477"/>
      <c r="D30" s="467">
        <v>0</v>
      </c>
      <c r="E30" s="477"/>
      <c r="F30" s="477"/>
      <c r="G30" s="477"/>
      <c r="H30" s="477"/>
      <c r="I30" s="477"/>
      <c r="J30" s="477"/>
      <c r="K30" s="477"/>
      <c r="L30" s="524"/>
    </row>
    <row r="31" spans="1:12" s="485" customFormat="1" ht="26.25" x14ac:dyDescent="0.2">
      <c r="A31" s="1511" t="s">
        <v>1901</v>
      </c>
      <c r="B31" s="527">
        <v>7170</v>
      </c>
      <c r="C31" s="477"/>
      <c r="D31" s="477"/>
      <c r="E31" s="474">
        <v>0</v>
      </c>
      <c r="F31" s="477"/>
      <c r="G31" s="477"/>
      <c r="H31" s="477"/>
      <c r="I31" s="477"/>
      <c r="J31" s="477"/>
      <c r="K31" s="477"/>
      <c r="L31" s="524"/>
    </row>
    <row r="32" spans="1:12" s="485" customFormat="1" ht="15.75" customHeight="1" x14ac:dyDescent="0.2">
      <c r="A32" s="2148" t="s">
        <v>1038</v>
      </c>
      <c r="B32" s="2149"/>
      <c r="C32" s="477"/>
      <c r="D32" s="477"/>
      <c r="E32" s="475"/>
      <c r="F32" s="477"/>
      <c r="G32" s="477"/>
      <c r="H32" s="477"/>
      <c r="I32" s="477"/>
      <c r="J32" s="477"/>
      <c r="K32" s="477"/>
      <c r="L32" s="524"/>
    </row>
    <row r="33" spans="1:12" s="485" customFormat="1" x14ac:dyDescent="0.2">
      <c r="A33" s="1511" t="s">
        <v>432</v>
      </c>
      <c r="B33" s="525">
        <v>7210</v>
      </c>
      <c r="C33" s="467">
        <v>0</v>
      </c>
      <c r="D33" s="467">
        <v>0</v>
      </c>
      <c r="E33" s="467">
        <v>0</v>
      </c>
      <c r="F33" s="467">
        <v>0</v>
      </c>
      <c r="G33" s="477"/>
      <c r="H33" s="467">
        <v>0</v>
      </c>
      <c r="I33" s="467">
        <v>0</v>
      </c>
      <c r="J33" s="467">
        <v>0</v>
      </c>
      <c r="K33" s="467">
        <v>0</v>
      </c>
      <c r="L33" s="524"/>
    </row>
    <row r="34" spans="1:12" s="485" customFormat="1" x14ac:dyDescent="0.2">
      <c r="A34" s="1511" t="s">
        <v>1058</v>
      </c>
      <c r="B34" s="525">
        <v>7220</v>
      </c>
      <c r="C34" s="467">
        <v>0</v>
      </c>
      <c r="D34" s="467">
        <v>0</v>
      </c>
      <c r="E34" s="467">
        <v>0</v>
      </c>
      <c r="F34" s="467">
        <v>0</v>
      </c>
      <c r="G34" s="477"/>
      <c r="H34" s="478">
        <v>0</v>
      </c>
      <c r="I34" s="478">
        <v>0</v>
      </c>
      <c r="J34" s="478">
        <v>0</v>
      </c>
      <c r="K34" s="478">
        <v>0</v>
      </c>
      <c r="L34" s="524"/>
    </row>
    <row r="35" spans="1:12" s="485" customFormat="1" x14ac:dyDescent="0.2">
      <c r="A35" s="1511" t="s">
        <v>1047</v>
      </c>
      <c r="B35" s="525">
        <v>7230</v>
      </c>
      <c r="C35" s="467">
        <v>0</v>
      </c>
      <c r="D35" s="467">
        <v>0</v>
      </c>
      <c r="E35" s="467">
        <v>0</v>
      </c>
      <c r="F35" s="467">
        <v>0</v>
      </c>
      <c r="G35" s="480"/>
      <c r="H35" s="467">
        <v>0</v>
      </c>
      <c r="I35" s="467">
        <v>0</v>
      </c>
      <c r="J35" s="467">
        <v>0</v>
      </c>
      <c r="K35" s="467">
        <v>0</v>
      </c>
      <c r="L35" s="524"/>
    </row>
    <row r="36" spans="1:12" s="485" customFormat="1" ht="15" x14ac:dyDescent="0.2">
      <c r="A36" s="1511" t="s">
        <v>1757</v>
      </c>
      <c r="B36" s="525">
        <v>7300</v>
      </c>
      <c r="C36" s="467">
        <v>500</v>
      </c>
      <c r="D36" s="467">
        <v>0</v>
      </c>
      <c r="E36" s="467">
        <v>0</v>
      </c>
      <c r="F36" s="467">
        <v>0</v>
      </c>
      <c r="G36" s="467">
        <v>0</v>
      </c>
      <c r="H36" s="467">
        <v>0</v>
      </c>
      <c r="I36" s="475"/>
      <c r="J36" s="467">
        <v>0</v>
      </c>
      <c r="K36" s="467">
        <v>0</v>
      </c>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v>0</v>
      </c>
      <c r="D42" s="467">
        <v>0</v>
      </c>
      <c r="E42" s="467">
        <v>0</v>
      </c>
      <c r="F42" s="467">
        <v>0</v>
      </c>
      <c r="G42" s="467">
        <v>0</v>
      </c>
      <c r="H42" s="467">
        <v>0</v>
      </c>
      <c r="I42" s="480"/>
      <c r="J42" s="480"/>
      <c r="K42" s="467">
        <v>0</v>
      </c>
      <c r="L42" s="524"/>
    </row>
    <row r="43" spans="1:12" s="485" customFormat="1" ht="13.5" customHeight="1" x14ac:dyDescent="0.2">
      <c r="A43" s="1511" t="s">
        <v>391</v>
      </c>
      <c r="B43" s="483">
        <v>7990</v>
      </c>
      <c r="C43" s="467">
        <v>0</v>
      </c>
      <c r="D43" s="467">
        <v>0</v>
      </c>
      <c r="E43" s="467">
        <v>187000</v>
      </c>
      <c r="F43" s="467">
        <v>0</v>
      </c>
      <c r="G43" s="467">
        <v>0</v>
      </c>
      <c r="H43" s="467">
        <v>0</v>
      </c>
      <c r="I43" s="467">
        <v>0</v>
      </c>
      <c r="J43" s="467">
        <v>0</v>
      </c>
      <c r="K43" s="467">
        <v>0</v>
      </c>
      <c r="L43" s="524"/>
    </row>
    <row r="44" spans="1:12" s="485" customFormat="1" ht="13.5" customHeight="1" thickBot="1" x14ac:dyDescent="0.25">
      <c r="A44" s="2156" t="s">
        <v>392</v>
      </c>
      <c r="B44" s="2157"/>
      <c r="C44" s="1725">
        <f>SUM(C24:C43)</f>
        <v>500</v>
      </c>
      <c r="D44" s="1725">
        <f t="shared" ref="D44:K44" si="6">SUM(D24:D43)</f>
        <v>0</v>
      </c>
      <c r="E44" s="1725">
        <f t="shared" si="6"/>
        <v>187000</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50" t="s">
        <v>110</v>
      </c>
      <c r="B45" s="2151"/>
      <c r="C45" s="528"/>
      <c r="D45" s="528"/>
      <c r="E45" s="528"/>
      <c r="F45" s="528"/>
      <c r="G45" s="528"/>
      <c r="H45" s="528"/>
      <c r="I45" s="528"/>
      <c r="J45" s="528"/>
      <c r="K45" s="528"/>
      <c r="L45" s="347"/>
    </row>
    <row r="46" spans="1:12" s="485" customFormat="1" ht="15.75" customHeight="1" x14ac:dyDescent="0.2">
      <c r="A46" s="2158" t="s">
        <v>111</v>
      </c>
      <c r="B46" s="2159"/>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v>0</v>
      </c>
      <c r="D49" s="467">
        <v>0</v>
      </c>
      <c r="E49" s="480"/>
      <c r="F49" s="467">
        <v>0</v>
      </c>
      <c r="G49" s="480"/>
      <c r="H49" s="480"/>
      <c r="I49" s="477"/>
      <c r="J49" s="480"/>
      <c r="K49" s="477"/>
      <c r="L49" s="524"/>
    </row>
    <row r="50" spans="1:12" s="485" customFormat="1" x14ac:dyDescent="0.2">
      <c r="A50" s="1512" t="s">
        <v>1465</v>
      </c>
      <c r="B50" s="483">
        <v>8140</v>
      </c>
      <c r="C50" s="467">
        <v>0</v>
      </c>
      <c r="D50" s="467">
        <v>0</v>
      </c>
      <c r="E50" s="467">
        <v>0</v>
      </c>
      <c r="F50" s="467">
        <v>0</v>
      </c>
      <c r="G50" s="467">
        <v>0</v>
      </c>
      <c r="H50" s="467">
        <v>0</v>
      </c>
      <c r="I50" s="477"/>
      <c r="J50" s="467">
        <v>0</v>
      </c>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v>0</v>
      </c>
      <c r="D54" s="530">
        <v>0</v>
      </c>
      <c r="E54" s="477"/>
      <c r="F54" s="477"/>
      <c r="G54" s="477"/>
      <c r="H54" s="530">
        <v>0</v>
      </c>
      <c r="I54" s="477"/>
      <c r="J54" s="477"/>
      <c r="K54" s="475"/>
      <c r="L54" s="524"/>
    </row>
    <row r="55" spans="1:12" s="485" customFormat="1" ht="14.25" thickTop="1" thickBot="1" x14ac:dyDescent="0.25">
      <c r="A55" s="1513" t="s">
        <v>717</v>
      </c>
      <c r="B55" s="483">
        <v>8420</v>
      </c>
      <c r="C55" s="531">
        <v>0</v>
      </c>
      <c r="D55" s="531">
        <v>0</v>
      </c>
      <c r="E55" s="477"/>
      <c r="F55" s="477"/>
      <c r="G55" s="477"/>
      <c r="H55" s="530">
        <v>0</v>
      </c>
      <c r="I55" s="477"/>
      <c r="J55" s="477"/>
      <c r="K55" s="477"/>
      <c r="L55" s="524"/>
    </row>
    <row r="56" spans="1:12" s="485" customFormat="1" ht="14.25" thickTop="1" thickBot="1" x14ac:dyDescent="0.25">
      <c r="A56" s="1512" t="s">
        <v>602</v>
      </c>
      <c r="B56" s="483">
        <v>8430</v>
      </c>
      <c r="C56" s="531">
        <v>0</v>
      </c>
      <c r="D56" s="531">
        <v>0</v>
      </c>
      <c r="E56" s="477"/>
      <c r="F56" s="477"/>
      <c r="G56" s="477"/>
      <c r="H56" s="530">
        <v>0</v>
      </c>
      <c r="I56" s="477"/>
      <c r="J56" s="477"/>
      <c r="K56" s="477"/>
      <c r="L56" s="524"/>
    </row>
    <row r="57" spans="1:12" s="485" customFormat="1" ht="14.25" thickTop="1" thickBot="1" x14ac:dyDescent="0.25">
      <c r="A57" s="1513" t="s">
        <v>599</v>
      </c>
      <c r="B57" s="483">
        <v>8440</v>
      </c>
      <c r="C57" s="531">
        <v>0</v>
      </c>
      <c r="D57" s="531">
        <v>0</v>
      </c>
      <c r="E57" s="477"/>
      <c r="F57" s="477"/>
      <c r="G57" s="477"/>
      <c r="H57" s="530">
        <v>0</v>
      </c>
      <c r="I57" s="477"/>
      <c r="J57" s="477"/>
      <c r="K57" s="477"/>
      <c r="L57" s="524"/>
    </row>
    <row r="58" spans="1:12" s="485" customFormat="1" ht="14.25" thickTop="1" thickBot="1" x14ac:dyDescent="0.25">
      <c r="A58" s="1512" t="s">
        <v>600</v>
      </c>
      <c r="B58" s="483">
        <v>8510</v>
      </c>
      <c r="C58" s="531">
        <v>0</v>
      </c>
      <c r="D58" s="531">
        <v>0</v>
      </c>
      <c r="E58" s="477"/>
      <c r="F58" s="477"/>
      <c r="G58" s="477"/>
      <c r="H58" s="530">
        <v>0</v>
      </c>
      <c r="I58" s="477"/>
      <c r="J58" s="477"/>
      <c r="K58" s="477"/>
      <c r="L58" s="524"/>
    </row>
    <row r="59" spans="1:12" s="485" customFormat="1" ht="14.25" thickTop="1" thickBot="1" x14ac:dyDescent="0.25">
      <c r="A59" s="1514" t="s">
        <v>718</v>
      </c>
      <c r="B59" s="483">
        <v>8520</v>
      </c>
      <c r="C59" s="531">
        <v>0</v>
      </c>
      <c r="D59" s="531">
        <v>0</v>
      </c>
      <c r="E59" s="477"/>
      <c r="F59" s="477"/>
      <c r="G59" s="477"/>
      <c r="H59" s="530">
        <v>0</v>
      </c>
      <c r="I59" s="477"/>
      <c r="J59" s="477"/>
      <c r="K59" s="477"/>
      <c r="L59" s="524"/>
    </row>
    <row r="60" spans="1:12" s="485" customFormat="1" ht="14.25" thickTop="1" thickBot="1" x14ac:dyDescent="0.25">
      <c r="A60" s="1512" t="s">
        <v>601</v>
      </c>
      <c r="B60" s="483">
        <v>8530</v>
      </c>
      <c r="C60" s="531">
        <v>0</v>
      </c>
      <c r="D60" s="531">
        <v>0</v>
      </c>
      <c r="E60" s="477"/>
      <c r="F60" s="477"/>
      <c r="G60" s="477"/>
      <c r="H60" s="530">
        <v>0</v>
      </c>
      <c r="I60" s="477"/>
      <c r="J60" s="477"/>
      <c r="K60" s="477"/>
      <c r="L60" s="524"/>
    </row>
    <row r="61" spans="1:12" s="485" customFormat="1" ht="14.25" thickTop="1" thickBot="1" x14ac:dyDescent="0.25">
      <c r="A61" s="1513" t="s">
        <v>767</v>
      </c>
      <c r="B61" s="483">
        <v>8540</v>
      </c>
      <c r="C61" s="531">
        <v>0</v>
      </c>
      <c r="D61" s="531">
        <v>0</v>
      </c>
      <c r="E61" s="477"/>
      <c r="F61" s="477"/>
      <c r="G61" s="477"/>
      <c r="H61" s="530">
        <v>0</v>
      </c>
      <c r="I61" s="477"/>
      <c r="J61" s="477"/>
      <c r="K61" s="477"/>
      <c r="L61" s="524"/>
    </row>
    <row r="62" spans="1:12" s="485" customFormat="1" ht="13.5" customHeight="1" thickTop="1" thickBot="1" x14ac:dyDescent="0.25">
      <c r="A62" s="1512" t="s">
        <v>768</v>
      </c>
      <c r="B62" s="483">
        <v>8610</v>
      </c>
      <c r="C62" s="531">
        <v>0</v>
      </c>
      <c r="D62" s="531">
        <v>0</v>
      </c>
      <c r="E62" s="477"/>
      <c r="F62" s="477"/>
      <c r="G62" s="477"/>
      <c r="H62" s="477"/>
      <c r="I62" s="477"/>
      <c r="J62" s="477"/>
      <c r="K62" s="477"/>
      <c r="L62" s="524"/>
    </row>
    <row r="63" spans="1:12" s="485" customFormat="1" ht="14.25" thickTop="1" thickBot="1" x14ac:dyDescent="0.25">
      <c r="A63" s="1513" t="s">
        <v>719</v>
      </c>
      <c r="B63" s="483">
        <v>8620</v>
      </c>
      <c r="C63" s="531">
        <v>0</v>
      </c>
      <c r="D63" s="531">
        <v>0</v>
      </c>
      <c r="E63" s="477"/>
      <c r="F63" s="477"/>
      <c r="G63" s="477"/>
      <c r="H63" s="477"/>
      <c r="I63" s="477"/>
      <c r="J63" s="477"/>
      <c r="K63" s="477"/>
      <c r="L63" s="524"/>
    </row>
    <row r="64" spans="1:12" s="485" customFormat="1" ht="13.5" customHeight="1" thickTop="1" thickBot="1" x14ac:dyDescent="0.25">
      <c r="A64" s="1512" t="s">
        <v>769</v>
      </c>
      <c r="B64" s="483">
        <v>8630</v>
      </c>
      <c r="C64" s="531">
        <v>0</v>
      </c>
      <c r="D64" s="531">
        <v>0</v>
      </c>
      <c r="E64" s="477"/>
      <c r="F64" s="477"/>
      <c r="G64" s="477"/>
      <c r="H64" s="477"/>
      <c r="I64" s="477"/>
      <c r="J64" s="477"/>
      <c r="K64" s="477"/>
      <c r="L64" s="524"/>
    </row>
    <row r="65" spans="1:12" s="485" customFormat="1" ht="14.25" thickTop="1" thickBot="1" x14ac:dyDescent="0.25">
      <c r="A65" s="1513" t="s">
        <v>770</v>
      </c>
      <c r="B65" s="483">
        <v>8640</v>
      </c>
      <c r="C65" s="531">
        <v>0</v>
      </c>
      <c r="D65" s="531">
        <v>0</v>
      </c>
      <c r="E65" s="477"/>
      <c r="F65" s="477"/>
      <c r="G65" s="477"/>
      <c r="H65" s="477"/>
      <c r="I65" s="477"/>
      <c r="J65" s="477"/>
      <c r="K65" s="477"/>
      <c r="L65" s="524"/>
    </row>
    <row r="66" spans="1:12" s="485" customFormat="1" ht="14.25" thickTop="1" thickBot="1" x14ac:dyDescent="0.25">
      <c r="A66" s="1512" t="s">
        <v>771</v>
      </c>
      <c r="B66" s="483">
        <v>8710</v>
      </c>
      <c r="C66" s="531">
        <v>0</v>
      </c>
      <c r="D66" s="531">
        <v>0</v>
      </c>
      <c r="E66" s="477"/>
      <c r="F66" s="477"/>
      <c r="G66" s="477"/>
      <c r="H66" s="477"/>
      <c r="I66" s="477"/>
      <c r="J66" s="477"/>
      <c r="K66" s="477"/>
      <c r="L66" s="524"/>
    </row>
    <row r="67" spans="1:12" s="485" customFormat="1" ht="14.25" thickTop="1" thickBot="1" x14ac:dyDescent="0.25">
      <c r="A67" s="1513" t="s">
        <v>720</v>
      </c>
      <c r="B67" s="483">
        <v>8720</v>
      </c>
      <c r="C67" s="531">
        <v>0</v>
      </c>
      <c r="D67" s="531">
        <v>0</v>
      </c>
      <c r="E67" s="477"/>
      <c r="F67" s="477"/>
      <c r="G67" s="477"/>
      <c r="H67" s="477"/>
      <c r="I67" s="477"/>
      <c r="J67" s="477"/>
      <c r="K67" s="477"/>
      <c r="L67" s="524"/>
    </row>
    <row r="68" spans="1:12" s="485" customFormat="1" ht="14.25" thickTop="1" thickBot="1" x14ac:dyDescent="0.25">
      <c r="A68" s="1514" t="s">
        <v>772</v>
      </c>
      <c r="B68" s="483">
        <v>8730</v>
      </c>
      <c r="C68" s="531">
        <v>0</v>
      </c>
      <c r="D68" s="531">
        <v>0</v>
      </c>
      <c r="E68" s="477"/>
      <c r="F68" s="477"/>
      <c r="G68" s="477"/>
      <c r="H68" s="477"/>
      <c r="I68" s="477"/>
      <c r="J68" s="477"/>
      <c r="K68" s="477"/>
      <c r="L68" s="524"/>
    </row>
    <row r="69" spans="1:12" s="485" customFormat="1" ht="14.25" thickTop="1" thickBot="1" x14ac:dyDescent="0.25">
      <c r="A69" s="1513" t="s">
        <v>773</v>
      </c>
      <c r="B69" s="483">
        <v>8740</v>
      </c>
      <c r="C69" s="531">
        <v>0</v>
      </c>
      <c r="D69" s="531">
        <v>0</v>
      </c>
      <c r="E69" s="477"/>
      <c r="F69" s="477"/>
      <c r="G69" s="477"/>
      <c r="H69" s="477"/>
      <c r="I69" s="477"/>
      <c r="J69" s="477"/>
      <c r="K69" s="477"/>
      <c r="L69" s="524"/>
    </row>
    <row r="70" spans="1:12" s="485" customFormat="1" ht="14.25" thickTop="1" thickBot="1" x14ac:dyDescent="0.25">
      <c r="A70" s="1512" t="s">
        <v>774</v>
      </c>
      <c r="B70" s="483">
        <v>8810</v>
      </c>
      <c r="C70" s="531">
        <v>0</v>
      </c>
      <c r="D70" s="531">
        <v>0</v>
      </c>
      <c r="E70" s="477"/>
      <c r="F70" s="477"/>
      <c r="G70" s="477"/>
      <c r="H70" s="477"/>
      <c r="I70" s="477"/>
      <c r="J70" s="477"/>
      <c r="K70" s="477"/>
      <c r="L70" s="524"/>
    </row>
    <row r="71" spans="1:12" s="485" customFormat="1" ht="14.25" thickTop="1" thickBot="1" x14ac:dyDescent="0.25">
      <c r="A71" s="1512" t="s">
        <v>778</v>
      </c>
      <c r="B71" s="483">
        <v>8820</v>
      </c>
      <c r="C71" s="531">
        <v>0</v>
      </c>
      <c r="D71" s="531">
        <v>0</v>
      </c>
      <c r="E71" s="477"/>
      <c r="F71" s="477"/>
      <c r="G71" s="477"/>
      <c r="H71" s="477"/>
      <c r="I71" s="477"/>
      <c r="J71" s="477"/>
      <c r="K71" s="477"/>
      <c r="L71" s="524"/>
    </row>
    <row r="72" spans="1:12" s="485" customFormat="1" ht="14.25" thickTop="1" thickBot="1" x14ac:dyDescent="0.25">
      <c r="A72" s="1512" t="s">
        <v>775</v>
      </c>
      <c r="B72" s="483">
        <v>8830</v>
      </c>
      <c r="C72" s="531">
        <v>0</v>
      </c>
      <c r="D72" s="531">
        <v>0</v>
      </c>
      <c r="E72" s="477"/>
      <c r="F72" s="477"/>
      <c r="G72" s="477"/>
      <c r="H72" s="477"/>
      <c r="I72" s="477"/>
      <c r="J72" s="477"/>
      <c r="K72" s="477"/>
      <c r="L72" s="524"/>
    </row>
    <row r="73" spans="1:12" s="485" customFormat="1" ht="14.25" thickTop="1" thickBot="1" x14ac:dyDescent="0.25">
      <c r="A73" s="1512" t="s">
        <v>776</v>
      </c>
      <c r="B73" s="483">
        <v>8840</v>
      </c>
      <c r="C73" s="531">
        <v>0</v>
      </c>
      <c r="D73" s="531">
        <v>0</v>
      </c>
      <c r="E73" s="477"/>
      <c r="F73" s="477"/>
      <c r="G73" s="477"/>
      <c r="H73" s="477"/>
      <c r="I73" s="477"/>
      <c r="J73" s="477"/>
      <c r="K73" s="480"/>
      <c r="L73" s="524"/>
    </row>
    <row r="74" spans="1:12" s="485" customFormat="1" ht="14.25" thickTop="1" thickBot="1" x14ac:dyDescent="0.25">
      <c r="A74" s="1512" t="s">
        <v>393</v>
      </c>
      <c r="B74" s="483">
        <v>8910</v>
      </c>
      <c r="C74" s="531">
        <v>0</v>
      </c>
      <c r="D74" s="531">
        <v>0</v>
      </c>
      <c r="E74" s="480"/>
      <c r="F74" s="530">
        <v>0</v>
      </c>
      <c r="G74" s="530">
        <v>0</v>
      </c>
      <c r="H74" s="530">
        <v>0</v>
      </c>
      <c r="I74" s="480"/>
      <c r="J74" s="480"/>
      <c r="K74" s="530">
        <v>0</v>
      </c>
      <c r="L74" s="524"/>
    </row>
    <row r="75" spans="1:12" s="485" customFormat="1" ht="14.25" thickTop="1" thickBot="1" x14ac:dyDescent="0.25">
      <c r="A75" s="1515" t="s">
        <v>459</v>
      </c>
      <c r="B75" s="483">
        <v>8990</v>
      </c>
      <c r="C75" s="531">
        <v>0</v>
      </c>
      <c r="D75" s="531">
        <v>187000</v>
      </c>
      <c r="E75" s="530">
        <v>0</v>
      </c>
      <c r="F75" s="532">
        <v>0</v>
      </c>
      <c r="G75" s="532">
        <v>0</v>
      </c>
      <c r="H75" s="532">
        <v>0</v>
      </c>
      <c r="I75" s="530">
        <v>0</v>
      </c>
      <c r="J75" s="530">
        <v>0</v>
      </c>
      <c r="K75" s="532">
        <v>0</v>
      </c>
      <c r="L75" s="524"/>
    </row>
    <row r="76" spans="1:12" s="485" customFormat="1" ht="14.25" thickTop="1" thickBot="1" x14ac:dyDescent="0.25">
      <c r="A76" s="2132" t="s">
        <v>460</v>
      </c>
      <c r="B76" s="2133"/>
      <c r="C76" s="1725">
        <f t="shared" ref="C76:K76" si="7">SUM(C47:C75)</f>
        <v>0</v>
      </c>
      <c r="D76" s="1725">
        <f t="shared" si="7"/>
        <v>187000</v>
      </c>
      <c r="E76" s="1725">
        <f t="shared" si="7"/>
        <v>0</v>
      </c>
      <c r="F76" s="1725">
        <f t="shared" si="7"/>
        <v>0</v>
      </c>
      <c r="G76" s="1725">
        <f t="shared" si="7"/>
        <v>0</v>
      </c>
      <c r="H76" s="1725">
        <f t="shared" si="7"/>
        <v>0</v>
      </c>
      <c r="I76" s="1725">
        <f t="shared" si="7"/>
        <v>0</v>
      </c>
      <c r="J76" s="1725">
        <f t="shared" si="7"/>
        <v>0</v>
      </c>
      <c r="K76" s="1725">
        <f t="shared" si="7"/>
        <v>0</v>
      </c>
      <c r="L76" s="524"/>
    </row>
    <row r="77" spans="1:12" ht="14.25" thickTop="1" thickBot="1" x14ac:dyDescent="0.25">
      <c r="A77" s="2134" t="s">
        <v>1239</v>
      </c>
      <c r="B77" s="2135"/>
      <c r="C77" s="1725">
        <f t="shared" ref="C77:K77" si="8">C44-C76</f>
        <v>500</v>
      </c>
      <c r="D77" s="1725">
        <f t="shared" si="8"/>
        <v>-187000</v>
      </c>
      <c r="E77" s="1725">
        <f t="shared" si="8"/>
        <v>187000</v>
      </c>
      <c r="F77" s="1725">
        <f t="shared" si="8"/>
        <v>0</v>
      </c>
      <c r="G77" s="1725">
        <f t="shared" si="8"/>
        <v>0</v>
      </c>
      <c r="H77" s="1725">
        <f t="shared" si="8"/>
        <v>0</v>
      </c>
      <c r="I77" s="1725">
        <f t="shared" si="8"/>
        <v>0</v>
      </c>
      <c r="J77" s="1725">
        <f t="shared" si="8"/>
        <v>0</v>
      </c>
      <c r="K77" s="1725">
        <f t="shared" si="8"/>
        <v>0</v>
      </c>
      <c r="L77" s="347"/>
    </row>
    <row r="78" spans="1:12" ht="21.75" customHeight="1" thickTop="1" thickBot="1" x14ac:dyDescent="0.25">
      <c r="A78" s="2138" t="s">
        <v>618</v>
      </c>
      <c r="B78" s="2139"/>
      <c r="C78" s="1724">
        <f t="shared" ref="C78:K78" si="9">C20+C77</f>
        <v>1961414</v>
      </c>
      <c r="D78" s="1724">
        <f t="shared" si="9"/>
        <v>180309</v>
      </c>
      <c r="E78" s="1724">
        <f t="shared" si="9"/>
        <v>49560</v>
      </c>
      <c r="F78" s="1724">
        <f t="shared" si="9"/>
        <v>-43966</v>
      </c>
      <c r="G78" s="1724">
        <f t="shared" si="9"/>
        <v>20513</v>
      </c>
      <c r="H78" s="1724">
        <f t="shared" si="9"/>
        <v>12066</v>
      </c>
      <c r="I78" s="1724">
        <f t="shared" si="9"/>
        <v>166172</v>
      </c>
      <c r="J78" s="1724">
        <f t="shared" si="9"/>
        <v>0</v>
      </c>
      <c r="K78" s="1724">
        <f t="shared" si="9"/>
        <v>0</v>
      </c>
      <c r="L78" s="533"/>
    </row>
    <row r="79" spans="1:12" ht="13.5" thickTop="1" x14ac:dyDescent="0.2">
      <c r="A79" s="1516" t="s">
        <v>2073</v>
      </c>
      <c r="B79" s="534"/>
      <c r="C79" s="478">
        <v>11684496</v>
      </c>
      <c r="D79" s="535">
        <v>1361369</v>
      </c>
      <c r="E79" s="535">
        <v>11962</v>
      </c>
      <c r="F79" s="535">
        <v>847413</v>
      </c>
      <c r="G79" s="535">
        <v>657830</v>
      </c>
      <c r="H79" s="535">
        <v>157668</v>
      </c>
      <c r="I79" s="535">
        <v>894427</v>
      </c>
      <c r="J79" s="535">
        <v>0</v>
      </c>
      <c r="K79" s="535">
        <v>0</v>
      </c>
      <c r="L79" s="347"/>
    </row>
    <row r="80" spans="1:12" x14ac:dyDescent="0.2">
      <c r="A80" s="2144" t="s">
        <v>1898</v>
      </c>
      <c r="B80" s="2145"/>
      <c r="C80" s="467"/>
      <c r="D80" s="467"/>
      <c r="E80" s="467"/>
      <c r="F80" s="467"/>
      <c r="G80" s="467"/>
      <c r="H80" s="467"/>
      <c r="I80" s="467"/>
      <c r="J80" s="467"/>
      <c r="K80" s="467"/>
      <c r="L80" s="347"/>
    </row>
    <row r="81" spans="1:12" ht="13.5" thickBot="1" x14ac:dyDescent="0.25">
      <c r="A81" s="2136" t="s">
        <v>2074</v>
      </c>
      <c r="B81" s="2137"/>
      <c r="C81" s="1710">
        <f>(SUM(C78:C80))</f>
        <v>13645910</v>
      </c>
      <c r="D81" s="1710">
        <f>SUM(D78:D80)</f>
        <v>1541678</v>
      </c>
      <c r="E81" s="1710">
        <f t="shared" ref="E81:K81" si="10">SUM(E78:E80)</f>
        <v>61522</v>
      </c>
      <c r="F81" s="1710">
        <f t="shared" si="10"/>
        <v>803447</v>
      </c>
      <c r="G81" s="1710">
        <f t="shared" si="10"/>
        <v>678343</v>
      </c>
      <c r="H81" s="1710">
        <f t="shared" si="10"/>
        <v>169734</v>
      </c>
      <c r="I81" s="1710">
        <f t="shared" si="10"/>
        <v>1060599</v>
      </c>
      <c r="J81" s="1710">
        <f t="shared" si="10"/>
        <v>0</v>
      </c>
      <c r="K81" s="1710">
        <f t="shared" si="10"/>
        <v>0</v>
      </c>
      <c r="L81" s="347"/>
    </row>
    <row r="82" spans="1:12" ht="0.75" customHeight="1" thickTop="1" thickBot="1" x14ac:dyDescent="0.25">
      <c r="A82" s="536" t="s">
        <v>361</v>
      </c>
      <c r="B82" s="537"/>
      <c r="C82" s="538">
        <f>(C81-C79)</f>
        <v>1961414</v>
      </c>
      <c r="D82" s="538">
        <f t="shared" ref="D82:K82" si="11">(D81-D79)</f>
        <v>180309</v>
      </c>
      <c r="E82" s="538">
        <f t="shared" si="11"/>
        <v>49560</v>
      </c>
      <c r="F82" s="538">
        <f t="shared" si="11"/>
        <v>-43966</v>
      </c>
      <c r="G82" s="538">
        <f t="shared" si="11"/>
        <v>20513</v>
      </c>
      <c r="H82" s="538">
        <f t="shared" si="11"/>
        <v>12066</v>
      </c>
      <c r="I82" s="538">
        <f t="shared" si="11"/>
        <v>166172</v>
      </c>
      <c r="J82" s="538">
        <f t="shared" si="11"/>
        <v>0</v>
      </c>
      <c r="K82" s="538">
        <f t="shared" si="11"/>
        <v>0</v>
      </c>
    </row>
    <row r="83" spans="1:12" ht="14.25" hidden="1" thickTop="1" thickBot="1" x14ac:dyDescent="0.25">
      <c r="A83" s="539" t="s">
        <v>362</v>
      </c>
      <c r="B83" s="464"/>
      <c r="C83" s="540">
        <f>C82/C81</f>
        <v>0.14373640160311771</v>
      </c>
      <c r="D83" s="540">
        <f t="shared" ref="D83:K83" si="12">D82/D81</f>
        <v>0.11695632940211899</v>
      </c>
      <c r="E83" s="540">
        <f t="shared" si="12"/>
        <v>0.80556548876824552</v>
      </c>
      <c r="F83" s="540">
        <f t="shared" si="12"/>
        <v>-5.4721717798435987E-2</v>
      </c>
      <c r="G83" s="540">
        <f t="shared" si="12"/>
        <v>3.0239863903659358E-2</v>
      </c>
      <c r="H83" s="540">
        <f t="shared" si="12"/>
        <v>7.1087701933613773E-2</v>
      </c>
      <c r="I83" s="540">
        <f t="shared" si="12"/>
        <v>0.15667750016735826</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93" bottom="0.48" header="0.42"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00B050"/>
  </sheetPr>
  <dimension ref="A1:L286"/>
  <sheetViews>
    <sheetView showGridLines="0" defaultGridColor="0" colorId="8" zoomScale="110" zoomScaleNormal="110" zoomScaleSheetLayoutView="75" workbookViewId="0">
      <pane ySplit="2" topLeftCell="A243" activePane="bottomLeft" state="frozen"/>
      <selection activeCell="A3" sqref="A3:B3"/>
      <selection pane="bottomLeft" activeCell="C270" sqref="C270"/>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0" t="s">
        <v>1905</v>
      </c>
      <c r="B1" s="452"/>
      <c r="C1" s="453" t="s">
        <v>445</v>
      </c>
      <c r="D1" s="453" t="s">
        <v>446</v>
      </c>
      <c r="E1" s="453" t="s">
        <v>447</v>
      </c>
      <c r="F1" s="453" t="s">
        <v>448</v>
      </c>
      <c r="G1" s="453" t="s">
        <v>449</v>
      </c>
      <c r="H1" s="453" t="s">
        <v>450</v>
      </c>
      <c r="I1" s="453" t="s">
        <v>451</v>
      </c>
      <c r="J1" s="453" t="s">
        <v>452</v>
      </c>
      <c r="K1" s="453" t="s">
        <v>780</v>
      </c>
    </row>
    <row r="2" spans="1:12" ht="36" x14ac:dyDescent="0.2">
      <c r="A2" s="2141"/>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7658787</v>
      </c>
      <c r="D5" s="481">
        <v>1584669</v>
      </c>
      <c r="E5" s="466">
        <v>1722106</v>
      </c>
      <c r="F5" s="548">
        <v>510110</v>
      </c>
      <c r="G5" s="466">
        <v>118956</v>
      </c>
      <c r="H5" s="466">
        <v>0</v>
      </c>
      <c r="I5" s="466">
        <v>157870</v>
      </c>
      <c r="J5" s="467">
        <v>0</v>
      </c>
      <c r="K5" s="466">
        <v>0</v>
      </c>
    </row>
    <row r="6" spans="1:12" ht="15" x14ac:dyDescent="0.2">
      <c r="A6" s="463" t="s">
        <v>1761</v>
      </c>
      <c r="B6" s="470">
        <v>1130</v>
      </c>
      <c r="C6" s="466">
        <v>0</v>
      </c>
      <c r="D6" s="466">
        <v>0</v>
      </c>
      <c r="E6" s="475"/>
      <c r="F6" s="475"/>
      <c r="G6" s="468"/>
      <c r="H6" s="468"/>
      <c r="I6" s="468"/>
      <c r="J6" s="468"/>
      <c r="K6" s="468"/>
    </row>
    <row r="7" spans="1:12" x14ac:dyDescent="0.2">
      <c r="A7" s="463" t="s">
        <v>112</v>
      </c>
      <c r="B7" s="549">
        <v>1140</v>
      </c>
      <c r="C7" s="466">
        <v>105928</v>
      </c>
      <c r="D7" s="466">
        <v>0</v>
      </c>
      <c r="E7" s="468"/>
      <c r="F7" s="467">
        <v>0</v>
      </c>
      <c r="G7" s="467">
        <v>0</v>
      </c>
      <c r="H7" s="467">
        <v>0</v>
      </c>
      <c r="I7" s="468"/>
      <c r="J7" s="468"/>
      <c r="K7" s="468"/>
    </row>
    <row r="8" spans="1:12" x14ac:dyDescent="0.2">
      <c r="A8" s="463" t="s">
        <v>433</v>
      </c>
      <c r="B8" s="470">
        <v>1150</v>
      </c>
      <c r="C8" s="475"/>
      <c r="D8" s="475"/>
      <c r="E8" s="477"/>
      <c r="F8" s="477"/>
      <c r="G8" s="481">
        <v>142765</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6"/>
      <c r="E10" s="526"/>
      <c r="F10" s="469"/>
      <c r="G10" s="468"/>
      <c r="H10" s="468"/>
      <c r="I10" s="468"/>
      <c r="J10" s="468"/>
      <c r="K10" s="468"/>
    </row>
    <row r="11" spans="1:12" x14ac:dyDescent="0.2">
      <c r="A11" s="473" t="s">
        <v>434</v>
      </c>
      <c r="B11" s="550">
        <v>1190</v>
      </c>
      <c r="C11" s="551">
        <v>0</v>
      </c>
      <c r="D11" s="466">
        <v>0</v>
      </c>
      <c r="E11" s="466">
        <v>0</v>
      </c>
      <c r="F11" s="466">
        <v>0</v>
      </c>
      <c r="G11" s="466">
        <v>0</v>
      </c>
      <c r="H11" s="466">
        <v>0</v>
      </c>
      <c r="I11" s="466">
        <v>0</v>
      </c>
      <c r="J11" s="467">
        <v>0</v>
      </c>
      <c r="K11" s="466">
        <v>0</v>
      </c>
      <c r="L11" s="552"/>
    </row>
    <row r="12" spans="1:12" ht="12.75" customHeight="1" thickBot="1" x14ac:dyDescent="0.25">
      <c r="A12" s="1727" t="s">
        <v>29</v>
      </c>
      <c r="B12" s="1728"/>
      <c r="C12" s="1729">
        <f t="shared" ref="C12:K12" si="0">SUM(C5:C11)</f>
        <v>7764715</v>
      </c>
      <c r="D12" s="1729">
        <f t="shared" si="0"/>
        <v>1584669</v>
      </c>
      <c r="E12" s="1729">
        <f t="shared" si="0"/>
        <v>1722106</v>
      </c>
      <c r="F12" s="1729">
        <f t="shared" si="0"/>
        <v>510110</v>
      </c>
      <c r="G12" s="1729">
        <f t="shared" si="0"/>
        <v>261721</v>
      </c>
      <c r="H12" s="1729">
        <f t="shared" si="0"/>
        <v>0</v>
      </c>
      <c r="I12" s="1729">
        <f t="shared" si="0"/>
        <v>157870</v>
      </c>
      <c r="J12" s="1729">
        <f t="shared" si="0"/>
        <v>0</v>
      </c>
      <c r="K12" s="1710">
        <f t="shared" si="0"/>
        <v>0</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97</v>
      </c>
      <c r="B15" s="470">
        <v>1220</v>
      </c>
      <c r="C15" s="551">
        <v>0</v>
      </c>
      <c r="D15" s="466">
        <v>0</v>
      </c>
      <c r="E15" s="466">
        <v>0</v>
      </c>
      <c r="F15" s="466">
        <v>0</v>
      </c>
      <c r="G15" s="466">
        <v>0</v>
      </c>
      <c r="H15" s="466">
        <v>0</v>
      </c>
      <c r="I15" s="466">
        <v>0</v>
      </c>
      <c r="J15" s="467">
        <v>0</v>
      </c>
      <c r="K15" s="466">
        <v>0</v>
      </c>
    </row>
    <row r="16" spans="1:12" ht="15" customHeight="1" x14ac:dyDescent="0.2">
      <c r="A16" s="463" t="s">
        <v>1762</v>
      </c>
      <c r="B16" s="549">
        <v>1230</v>
      </c>
      <c r="C16" s="551">
        <v>0</v>
      </c>
      <c r="D16" s="466">
        <v>0</v>
      </c>
      <c r="E16" s="466">
        <v>0</v>
      </c>
      <c r="F16" s="466">
        <v>0</v>
      </c>
      <c r="G16" s="466">
        <v>126742</v>
      </c>
      <c r="H16" s="466">
        <v>0</v>
      </c>
      <c r="I16" s="466">
        <v>0</v>
      </c>
      <c r="J16" s="467">
        <v>0</v>
      </c>
      <c r="K16" s="466">
        <v>0</v>
      </c>
    </row>
    <row r="17" spans="1:11" ht="12.75" customHeight="1" x14ac:dyDescent="0.2">
      <c r="A17" s="463" t="s">
        <v>840</v>
      </c>
      <c r="B17" s="470">
        <v>1290</v>
      </c>
      <c r="C17" s="551">
        <v>0</v>
      </c>
      <c r="D17" s="466">
        <v>0</v>
      </c>
      <c r="E17" s="466">
        <v>0</v>
      </c>
      <c r="F17" s="466">
        <v>0</v>
      </c>
      <c r="G17" s="466">
        <v>0</v>
      </c>
      <c r="H17" s="466">
        <v>0</v>
      </c>
      <c r="I17" s="466">
        <v>0</v>
      </c>
      <c r="J17" s="467">
        <v>0</v>
      </c>
      <c r="K17" s="466">
        <v>0</v>
      </c>
    </row>
    <row r="18" spans="1:11" ht="12.75" customHeight="1" thickBot="1" x14ac:dyDescent="0.25">
      <c r="A18" s="1730" t="s">
        <v>558</v>
      </c>
      <c r="B18" s="1731"/>
      <c r="C18" s="1732">
        <f>SUM(C14:C17)</f>
        <v>0</v>
      </c>
      <c r="D18" s="1732">
        <f t="shared" ref="D18:K18" si="1">SUM(D14:D17)</f>
        <v>0</v>
      </c>
      <c r="E18" s="1732">
        <f t="shared" si="1"/>
        <v>0</v>
      </c>
      <c r="F18" s="1732">
        <f t="shared" si="1"/>
        <v>0</v>
      </c>
      <c r="G18" s="1732">
        <f t="shared" si="1"/>
        <v>126742</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v>0</v>
      </c>
      <c r="D20" s="468"/>
      <c r="E20" s="468"/>
      <c r="F20" s="468"/>
      <c r="G20" s="468"/>
      <c r="H20" s="468"/>
      <c r="I20" s="468"/>
      <c r="J20" s="468"/>
      <c r="K20" s="468"/>
    </row>
    <row r="21" spans="1:11" ht="12.75" customHeight="1" x14ac:dyDescent="0.2">
      <c r="A21" s="463" t="s">
        <v>887</v>
      </c>
      <c r="B21" s="470">
        <v>1312</v>
      </c>
      <c r="C21" s="551">
        <v>41409</v>
      </c>
      <c r="D21" s="468"/>
      <c r="E21" s="468"/>
      <c r="F21" s="468"/>
      <c r="G21" s="468"/>
      <c r="H21" s="468"/>
      <c r="I21" s="468"/>
      <c r="J21" s="468"/>
      <c r="K21" s="468"/>
    </row>
    <row r="22" spans="1:11" ht="12.75" customHeight="1" x14ac:dyDescent="0.2">
      <c r="A22" s="463" t="s">
        <v>1134</v>
      </c>
      <c r="B22" s="470">
        <v>1313</v>
      </c>
      <c r="C22" s="551">
        <v>0</v>
      </c>
      <c r="D22" s="468"/>
      <c r="E22" s="468"/>
      <c r="F22" s="468"/>
      <c r="G22" s="468"/>
      <c r="H22" s="468"/>
      <c r="I22" s="468"/>
      <c r="J22" s="468"/>
      <c r="K22" s="468"/>
    </row>
    <row r="23" spans="1:11" ht="12.75" customHeight="1" x14ac:dyDescent="0.2">
      <c r="A23" s="463" t="s">
        <v>1135</v>
      </c>
      <c r="B23" s="470">
        <v>1314</v>
      </c>
      <c r="C23" s="489">
        <v>0</v>
      </c>
      <c r="D23" s="468"/>
      <c r="E23" s="468"/>
      <c r="F23" s="468"/>
      <c r="G23" s="468"/>
      <c r="H23" s="468"/>
      <c r="I23" s="468"/>
      <c r="J23" s="468"/>
      <c r="K23" s="468"/>
    </row>
    <row r="24" spans="1:11" ht="12.75" customHeight="1" x14ac:dyDescent="0.2">
      <c r="A24" s="463" t="s">
        <v>1085</v>
      </c>
      <c r="B24" s="470">
        <v>1321</v>
      </c>
      <c r="C24" s="551">
        <v>0</v>
      </c>
      <c r="D24" s="468"/>
      <c r="E24" s="468"/>
      <c r="F24" s="468"/>
      <c r="G24" s="468"/>
      <c r="H24" s="468"/>
      <c r="I24" s="468"/>
      <c r="J24" s="468"/>
      <c r="K24" s="468"/>
    </row>
    <row r="25" spans="1:11" ht="12.75" customHeight="1" x14ac:dyDescent="0.2">
      <c r="A25" s="463" t="s">
        <v>888</v>
      </c>
      <c r="B25" s="470">
        <v>1322</v>
      </c>
      <c r="C25" s="551">
        <v>0</v>
      </c>
      <c r="D25" s="468"/>
      <c r="E25" s="468"/>
      <c r="F25" s="468"/>
      <c r="G25" s="468"/>
      <c r="H25" s="468"/>
      <c r="I25" s="468"/>
      <c r="J25" s="468"/>
      <c r="K25" s="468"/>
    </row>
    <row r="26" spans="1:11" ht="12.75" customHeight="1" x14ac:dyDescent="0.2">
      <c r="A26" s="463" t="s">
        <v>1163</v>
      </c>
      <c r="B26" s="470">
        <v>1323</v>
      </c>
      <c r="C26" s="551">
        <v>0</v>
      </c>
      <c r="D26" s="468"/>
      <c r="E26" s="468"/>
      <c r="F26" s="468"/>
      <c r="G26" s="468"/>
      <c r="H26" s="468"/>
      <c r="I26" s="468"/>
      <c r="J26" s="468"/>
      <c r="K26" s="468"/>
    </row>
    <row r="27" spans="1:11" ht="12.75" customHeight="1" x14ac:dyDescent="0.2">
      <c r="A27" s="463" t="s">
        <v>1081</v>
      </c>
      <c r="B27" s="470">
        <v>1324</v>
      </c>
      <c r="C27" s="489">
        <v>0</v>
      </c>
      <c r="D27" s="468"/>
      <c r="E27" s="468"/>
      <c r="F27" s="468"/>
      <c r="G27" s="468"/>
      <c r="H27" s="468"/>
      <c r="I27" s="468"/>
      <c r="J27" s="468"/>
      <c r="K27" s="468"/>
    </row>
    <row r="28" spans="1:11" ht="12.75" customHeight="1" x14ac:dyDescent="0.2">
      <c r="A28" s="463" t="s">
        <v>1082</v>
      </c>
      <c r="B28" s="470">
        <v>1331</v>
      </c>
      <c r="C28" s="551">
        <v>0</v>
      </c>
      <c r="D28" s="468"/>
      <c r="E28" s="468"/>
      <c r="F28" s="468"/>
      <c r="G28" s="468"/>
      <c r="H28" s="468"/>
      <c r="I28" s="468"/>
      <c r="J28" s="468"/>
      <c r="K28" s="468"/>
    </row>
    <row r="29" spans="1:11" ht="12.75" customHeight="1" x14ac:dyDescent="0.2">
      <c r="A29" s="463" t="s">
        <v>889</v>
      </c>
      <c r="B29" s="470">
        <v>1332</v>
      </c>
      <c r="C29" s="551">
        <v>0</v>
      </c>
      <c r="D29" s="468"/>
      <c r="E29" s="468"/>
      <c r="F29" s="468"/>
      <c r="G29" s="468"/>
      <c r="H29" s="468"/>
      <c r="I29" s="468"/>
      <c r="J29" s="468"/>
      <c r="K29" s="468"/>
    </row>
    <row r="30" spans="1:11" ht="12.75" customHeight="1" x14ac:dyDescent="0.2">
      <c r="A30" s="463" t="s">
        <v>1084</v>
      </c>
      <c r="B30" s="470">
        <v>1333</v>
      </c>
      <c r="C30" s="551">
        <v>0</v>
      </c>
      <c r="D30" s="468"/>
      <c r="E30" s="468"/>
      <c r="F30" s="468"/>
      <c r="G30" s="468"/>
      <c r="H30" s="468"/>
      <c r="I30" s="468"/>
      <c r="J30" s="468"/>
      <c r="K30" s="468"/>
    </row>
    <row r="31" spans="1:11" ht="12.75" customHeight="1" x14ac:dyDescent="0.2">
      <c r="A31" s="463" t="s">
        <v>1083</v>
      </c>
      <c r="B31" s="470">
        <v>1334</v>
      </c>
      <c r="C31" s="489">
        <v>0</v>
      </c>
      <c r="D31" s="468"/>
      <c r="E31" s="468"/>
      <c r="F31" s="468"/>
      <c r="G31" s="468"/>
      <c r="H31" s="468"/>
      <c r="I31" s="468"/>
      <c r="J31" s="468"/>
      <c r="K31" s="468"/>
    </row>
    <row r="32" spans="1:11" ht="12.75" customHeight="1" x14ac:dyDescent="0.2">
      <c r="A32" s="463" t="s">
        <v>515</v>
      </c>
      <c r="B32" s="470">
        <v>1341</v>
      </c>
      <c r="C32" s="551">
        <v>19527</v>
      </c>
      <c r="D32" s="468"/>
      <c r="E32" s="468"/>
      <c r="F32" s="468"/>
      <c r="G32" s="468"/>
      <c r="H32" s="468"/>
      <c r="I32" s="468"/>
      <c r="J32" s="468"/>
      <c r="K32" s="468"/>
    </row>
    <row r="33" spans="1:11" ht="12.75" customHeight="1" x14ac:dyDescent="0.2">
      <c r="A33" s="463" t="s">
        <v>890</v>
      </c>
      <c r="B33" s="470">
        <v>1342</v>
      </c>
      <c r="C33" s="551">
        <v>0</v>
      </c>
      <c r="D33" s="468"/>
      <c r="E33" s="468"/>
      <c r="F33" s="468"/>
      <c r="G33" s="468"/>
      <c r="H33" s="468"/>
      <c r="I33" s="468"/>
      <c r="J33" s="468"/>
      <c r="K33" s="468"/>
    </row>
    <row r="34" spans="1:11" ht="12.75" customHeight="1" x14ac:dyDescent="0.2">
      <c r="A34" s="463" t="s">
        <v>516</v>
      </c>
      <c r="B34" s="470">
        <v>1343</v>
      </c>
      <c r="C34" s="551">
        <v>0</v>
      </c>
      <c r="D34" s="468"/>
      <c r="E34" s="468"/>
      <c r="F34" s="468"/>
      <c r="G34" s="468"/>
      <c r="H34" s="468"/>
      <c r="I34" s="468"/>
      <c r="J34" s="468"/>
      <c r="K34" s="468"/>
    </row>
    <row r="35" spans="1:11" ht="12.75" customHeight="1" x14ac:dyDescent="0.2">
      <c r="A35" s="463" t="s">
        <v>514</v>
      </c>
      <c r="B35" s="470">
        <v>1344</v>
      </c>
      <c r="C35" s="489">
        <v>0</v>
      </c>
      <c r="D35" s="468"/>
      <c r="E35" s="468"/>
      <c r="F35" s="468"/>
      <c r="G35" s="468"/>
      <c r="H35" s="468"/>
      <c r="I35" s="468"/>
      <c r="J35" s="468"/>
      <c r="K35" s="468"/>
    </row>
    <row r="36" spans="1:11" ht="12.75" customHeight="1" x14ac:dyDescent="0.2">
      <c r="A36" s="463" t="s">
        <v>886</v>
      </c>
      <c r="B36" s="470">
        <v>1351</v>
      </c>
      <c r="C36" s="551">
        <v>0</v>
      </c>
      <c r="D36" s="468"/>
      <c r="E36" s="468"/>
      <c r="F36" s="468"/>
      <c r="G36" s="468"/>
      <c r="H36" s="468"/>
      <c r="I36" s="468"/>
      <c r="J36" s="468"/>
      <c r="K36" s="468"/>
    </row>
    <row r="37" spans="1:11" ht="12.75" customHeight="1" x14ac:dyDescent="0.2">
      <c r="A37" s="463" t="s">
        <v>891</v>
      </c>
      <c r="B37" s="470">
        <v>1352</v>
      </c>
      <c r="C37" s="551">
        <v>0</v>
      </c>
      <c r="D37" s="468"/>
      <c r="E37" s="468"/>
      <c r="F37" s="468"/>
      <c r="G37" s="468"/>
      <c r="H37" s="468"/>
      <c r="I37" s="468"/>
      <c r="J37" s="468"/>
      <c r="K37" s="468"/>
    </row>
    <row r="38" spans="1:11" ht="12.75" customHeight="1" x14ac:dyDescent="0.2">
      <c r="A38" s="463" t="s">
        <v>614</v>
      </c>
      <c r="B38" s="470">
        <v>1353</v>
      </c>
      <c r="C38" s="551">
        <v>0</v>
      </c>
      <c r="D38" s="468"/>
      <c r="E38" s="468"/>
      <c r="F38" s="468"/>
      <c r="G38" s="468"/>
      <c r="H38" s="468"/>
      <c r="I38" s="468"/>
      <c r="J38" s="468"/>
      <c r="K38" s="468"/>
    </row>
    <row r="39" spans="1:11" ht="12.75" customHeight="1" x14ac:dyDescent="0.2">
      <c r="A39" s="1517" t="s">
        <v>615</v>
      </c>
      <c r="B39" s="556">
        <v>1354</v>
      </c>
      <c r="C39" s="489">
        <v>0</v>
      </c>
      <c r="D39" s="468"/>
      <c r="E39" s="468"/>
      <c r="F39" s="468"/>
      <c r="G39" s="468"/>
      <c r="H39" s="468"/>
      <c r="I39" s="468"/>
      <c r="J39" s="468"/>
      <c r="K39" s="468"/>
    </row>
    <row r="40" spans="1:11" ht="12.75" customHeight="1" thickBot="1" x14ac:dyDescent="0.25">
      <c r="A40" s="1730" t="s">
        <v>559</v>
      </c>
      <c r="B40" s="1731"/>
      <c r="C40" s="1710">
        <f>SUM(C20:C39)</f>
        <v>60936</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v>0</v>
      </c>
      <c r="G42" s="468"/>
      <c r="H42" s="468"/>
      <c r="I42" s="468"/>
      <c r="J42" s="468"/>
      <c r="K42" s="468"/>
    </row>
    <row r="43" spans="1:11" ht="12.75" customHeight="1" x14ac:dyDescent="0.2">
      <c r="A43" s="463" t="s">
        <v>892</v>
      </c>
      <c r="B43" s="470">
        <v>1412</v>
      </c>
      <c r="C43" s="468"/>
      <c r="D43" s="468"/>
      <c r="E43" s="468"/>
      <c r="F43" s="466">
        <v>557863</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8" t="s">
        <v>62</v>
      </c>
      <c r="B51" s="557">
        <v>1431</v>
      </c>
      <c r="C51" s="468"/>
      <c r="D51" s="468"/>
      <c r="E51" s="468"/>
      <c r="F51" s="466">
        <v>0</v>
      </c>
      <c r="G51" s="468"/>
      <c r="H51" s="468"/>
      <c r="I51" s="468"/>
      <c r="J51" s="468"/>
      <c r="K51" s="468"/>
    </row>
    <row r="52" spans="1:11" ht="12.75" customHeight="1" x14ac:dyDescent="0.2">
      <c r="A52" s="1518" t="s">
        <v>1168</v>
      </c>
      <c r="B52" s="557">
        <v>1432</v>
      </c>
      <c r="C52" s="468"/>
      <c r="D52" s="468"/>
      <c r="E52" s="468"/>
      <c r="F52" s="466">
        <v>0</v>
      </c>
      <c r="G52" s="468"/>
      <c r="H52" s="468"/>
      <c r="I52" s="468"/>
      <c r="J52" s="468"/>
      <c r="K52" s="468"/>
    </row>
    <row r="53" spans="1:11" ht="12.75" customHeight="1" x14ac:dyDescent="0.2">
      <c r="A53" s="1518" t="s">
        <v>63</v>
      </c>
      <c r="B53" s="557">
        <v>1433</v>
      </c>
      <c r="C53" s="468"/>
      <c r="D53" s="468"/>
      <c r="E53" s="468"/>
      <c r="F53" s="466">
        <v>0</v>
      </c>
      <c r="G53" s="468"/>
      <c r="H53" s="468"/>
      <c r="I53" s="468"/>
      <c r="J53" s="468"/>
      <c r="K53" s="468"/>
    </row>
    <row r="54" spans="1:11" ht="12.75" customHeight="1" x14ac:dyDescent="0.2">
      <c r="A54" s="1518" t="s">
        <v>64</v>
      </c>
      <c r="B54" s="557">
        <v>1434</v>
      </c>
      <c r="C54" s="468"/>
      <c r="D54" s="468"/>
      <c r="E54" s="468"/>
      <c r="F54" s="467">
        <v>0</v>
      </c>
      <c r="G54" s="468"/>
      <c r="H54" s="468"/>
      <c r="I54" s="468"/>
      <c r="J54" s="468"/>
      <c r="K54" s="468"/>
    </row>
    <row r="55" spans="1:11" ht="12.75" customHeight="1" x14ac:dyDescent="0.2">
      <c r="A55" s="1518" t="s">
        <v>65</v>
      </c>
      <c r="B55" s="557">
        <v>1441</v>
      </c>
      <c r="C55" s="468"/>
      <c r="D55" s="468"/>
      <c r="E55" s="468"/>
      <c r="F55" s="466">
        <v>0</v>
      </c>
      <c r="G55" s="468"/>
      <c r="H55" s="468"/>
      <c r="I55" s="468"/>
      <c r="J55" s="468"/>
      <c r="K55" s="468"/>
    </row>
    <row r="56" spans="1:11" ht="12.75" customHeight="1" x14ac:dyDescent="0.2">
      <c r="A56" s="1518" t="s">
        <v>1169</v>
      </c>
      <c r="B56" s="557">
        <v>1442</v>
      </c>
      <c r="C56" s="468"/>
      <c r="D56" s="468"/>
      <c r="E56" s="468"/>
      <c r="F56" s="466">
        <v>0</v>
      </c>
      <c r="G56" s="468"/>
      <c r="H56" s="468"/>
      <c r="I56" s="468"/>
      <c r="J56" s="468"/>
      <c r="K56" s="468"/>
    </row>
    <row r="57" spans="1:11" ht="12.75" customHeight="1" x14ac:dyDescent="0.2">
      <c r="A57" s="1518" t="s">
        <v>510</v>
      </c>
      <c r="B57" s="557">
        <v>1443</v>
      </c>
      <c r="C57" s="468"/>
      <c r="D57" s="468"/>
      <c r="E57" s="468"/>
      <c r="F57" s="466">
        <v>0</v>
      </c>
      <c r="G57" s="468"/>
      <c r="H57" s="468"/>
      <c r="I57" s="468"/>
      <c r="J57" s="468"/>
      <c r="K57" s="468"/>
    </row>
    <row r="58" spans="1:11" ht="12.75" customHeight="1" x14ac:dyDescent="0.2">
      <c r="A58" s="1518" t="s">
        <v>67</v>
      </c>
      <c r="B58" s="557">
        <v>1444</v>
      </c>
      <c r="C58" s="468"/>
      <c r="D58" s="468"/>
      <c r="E58" s="468"/>
      <c r="F58" s="466">
        <v>0</v>
      </c>
      <c r="G58" s="468"/>
      <c r="H58" s="468"/>
      <c r="I58" s="468"/>
      <c r="J58" s="468"/>
      <c r="K58" s="468"/>
    </row>
    <row r="59" spans="1:11" ht="12.75" customHeight="1" x14ac:dyDescent="0.2">
      <c r="A59" s="1518" t="s">
        <v>933</v>
      </c>
      <c r="B59" s="557">
        <v>1451</v>
      </c>
      <c r="C59" s="468"/>
      <c r="D59" s="468"/>
      <c r="E59" s="468"/>
      <c r="F59" s="466">
        <v>0</v>
      </c>
      <c r="G59" s="468"/>
      <c r="H59" s="468"/>
      <c r="I59" s="468"/>
      <c r="J59" s="468"/>
      <c r="K59" s="468"/>
    </row>
    <row r="60" spans="1:11" ht="12.75" customHeight="1" x14ac:dyDescent="0.2">
      <c r="A60" s="1518" t="s">
        <v>1170</v>
      </c>
      <c r="B60" s="557">
        <v>1452</v>
      </c>
      <c r="C60" s="468"/>
      <c r="D60" s="468"/>
      <c r="E60" s="468"/>
      <c r="F60" s="466">
        <v>0</v>
      </c>
      <c r="G60" s="468"/>
      <c r="H60" s="468"/>
      <c r="I60" s="468"/>
      <c r="J60" s="468"/>
      <c r="K60" s="468"/>
    </row>
    <row r="61" spans="1:11" ht="12.75" customHeight="1" x14ac:dyDescent="0.2">
      <c r="A61" s="563" t="s">
        <v>934</v>
      </c>
      <c r="B61" s="557">
        <v>1453</v>
      </c>
      <c r="C61" s="468"/>
      <c r="D61" s="468"/>
      <c r="E61" s="468"/>
      <c r="F61" s="466">
        <v>0</v>
      </c>
      <c r="G61" s="468"/>
      <c r="H61" s="468"/>
      <c r="I61" s="468"/>
      <c r="J61" s="468"/>
      <c r="K61" s="468"/>
    </row>
    <row r="62" spans="1:11" ht="12.75" customHeight="1" x14ac:dyDescent="0.2">
      <c r="A62" s="1519" t="s">
        <v>935</v>
      </c>
      <c r="B62" s="558">
        <v>1454</v>
      </c>
      <c r="C62" s="468"/>
      <c r="D62" s="468"/>
      <c r="E62" s="468"/>
      <c r="F62" s="467">
        <v>0</v>
      </c>
      <c r="G62" s="468"/>
      <c r="H62" s="468"/>
      <c r="I62" s="468"/>
      <c r="J62" s="468"/>
      <c r="K62" s="468"/>
    </row>
    <row r="63" spans="1:11" ht="12.75" customHeight="1" thickBot="1" x14ac:dyDescent="0.25">
      <c r="A63" s="1730" t="s">
        <v>506</v>
      </c>
      <c r="B63" s="1731"/>
      <c r="C63" s="468"/>
      <c r="D63" s="468"/>
      <c r="E63" s="468"/>
      <c r="F63" s="1710">
        <f>SUM(F42:F62)</f>
        <v>557863</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96827</v>
      </c>
      <c r="D65" s="466">
        <v>10194</v>
      </c>
      <c r="E65" s="466">
        <v>843</v>
      </c>
      <c r="F65" s="467">
        <v>3836</v>
      </c>
      <c r="G65" s="466">
        <v>5657</v>
      </c>
      <c r="H65" s="466">
        <v>1321</v>
      </c>
      <c r="I65" s="466">
        <v>8302</v>
      </c>
      <c r="J65" s="467">
        <v>0</v>
      </c>
      <c r="K65" s="466">
        <v>0</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730" t="s">
        <v>507</v>
      </c>
      <c r="B67" s="1731"/>
      <c r="C67" s="1710">
        <f>SUM(C65:C66)</f>
        <v>96827</v>
      </c>
      <c r="D67" s="1710">
        <f t="shared" ref="D67:K67" si="2">SUM(D65:D66)</f>
        <v>10194</v>
      </c>
      <c r="E67" s="1710">
        <f t="shared" si="2"/>
        <v>843</v>
      </c>
      <c r="F67" s="1710">
        <f t="shared" si="2"/>
        <v>3836</v>
      </c>
      <c r="G67" s="1710">
        <f t="shared" si="2"/>
        <v>5657</v>
      </c>
      <c r="H67" s="1710">
        <f t="shared" si="2"/>
        <v>1321</v>
      </c>
      <c r="I67" s="1710">
        <f t="shared" si="2"/>
        <v>8302</v>
      </c>
      <c r="J67" s="1710">
        <f t="shared" si="2"/>
        <v>0</v>
      </c>
      <c r="K67" s="1710">
        <f t="shared" si="2"/>
        <v>0</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236132</v>
      </c>
      <c r="D69" s="468"/>
      <c r="E69" s="468"/>
      <c r="F69" s="468"/>
      <c r="G69" s="468"/>
      <c r="H69" s="468"/>
      <c r="I69" s="468"/>
      <c r="J69" s="468"/>
      <c r="K69" s="468"/>
    </row>
    <row r="70" spans="1:11" ht="12.75" customHeight="1" x14ac:dyDescent="0.2">
      <c r="A70" s="463" t="s">
        <v>1054</v>
      </c>
      <c r="B70" s="470">
        <v>1612</v>
      </c>
      <c r="C70" s="551">
        <v>0</v>
      </c>
      <c r="D70" s="468"/>
      <c r="E70" s="468"/>
      <c r="F70" s="468"/>
      <c r="G70" s="468"/>
      <c r="H70" s="468"/>
      <c r="I70" s="468"/>
      <c r="J70" s="468"/>
      <c r="K70" s="468"/>
    </row>
    <row r="71" spans="1:11" ht="12.75" customHeight="1" x14ac:dyDescent="0.2">
      <c r="A71" s="463" t="s">
        <v>291</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1055</v>
      </c>
      <c r="B73" s="470">
        <v>1620</v>
      </c>
      <c r="C73" s="551">
        <v>0</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30" t="s">
        <v>569</v>
      </c>
      <c r="B75" s="1731"/>
      <c r="C75" s="1710">
        <f>SUM(C69:C74)</f>
        <v>236132</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39180</v>
      </c>
      <c r="D77" s="466">
        <v>0</v>
      </c>
      <c r="E77" s="468"/>
      <c r="F77" s="468"/>
      <c r="G77" s="468"/>
      <c r="H77" s="468"/>
      <c r="I77" s="468"/>
      <c r="J77" s="468"/>
      <c r="K77" s="468"/>
    </row>
    <row r="78" spans="1:11" ht="12.75" customHeight="1" x14ac:dyDescent="0.2">
      <c r="A78" s="463" t="s">
        <v>78</v>
      </c>
      <c r="B78" s="470">
        <v>1719</v>
      </c>
      <c r="C78" s="551">
        <v>0</v>
      </c>
      <c r="D78" s="466">
        <v>0</v>
      </c>
      <c r="E78" s="468"/>
      <c r="F78" s="468"/>
      <c r="G78" s="468"/>
      <c r="H78" s="468"/>
      <c r="I78" s="468"/>
      <c r="J78" s="468"/>
      <c r="K78" s="468"/>
    </row>
    <row r="79" spans="1:11" ht="12.75" customHeight="1" x14ac:dyDescent="0.2">
      <c r="A79" s="463" t="s">
        <v>571</v>
      </c>
      <c r="B79" s="470">
        <v>1720</v>
      </c>
      <c r="C79" s="551">
        <v>181090</v>
      </c>
      <c r="D79" s="466">
        <v>0</v>
      </c>
      <c r="E79" s="468"/>
      <c r="F79" s="468"/>
      <c r="G79" s="468"/>
      <c r="H79" s="468"/>
      <c r="I79" s="468"/>
      <c r="J79" s="468"/>
      <c r="K79" s="468"/>
    </row>
    <row r="80" spans="1:11" ht="12.75" customHeight="1" x14ac:dyDescent="0.2">
      <c r="A80" s="463" t="s">
        <v>572</v>
      </c>
      <c r="B80" s="470">
        <v>1730</v>
      </c>
      <c r="C80" s="551">
        <v>0</v>
      </c>
      <c r="D80" s="466">
        <v>0</v>
      </c>
      <c r="E80" s="468"/>
      <c r="F80" s="468"/>
      <c r="G80" s="468"/>
      <c r="H80" s="468"/>
      <c r="I80" s="468"/>
      <c r="J80" s="468"/>
      <c r="K80" s="468"/>
    </row>
    <row r="81" spans="1:11" ht="12.75" customHeight="1" x14ac:dyDescent="0.2">
      <c r="A81" s="463" t="s">
        <v>26</v>
      </c>
      <c r="B81" s="470">
        <v>1790</v>
      </c>
      <c r="C81" s="551">
        <v>188184</v>
      </c>
      <c r="D81" s="466">
        <v>0</v>
      </c>
      <c r="E81" s="468"/>
      <c r="F81" s="468"/>
      <c r="G81" s="468"/>
      <c r="H81" s="468"/>
      <c r="I81" s="468"/>
      <c r="J81" s="468"/>
      <c r="K81" s="468"/>
    </row>
    <row r="82" spans="1:11" ht="12.75" customHeight="1" thickBot="1" x14ac:dyDescent="0.25">
      <c r="A82" s="1730" t="s">
        <v>259</v>
      </c>
      <c r="B82" s="1731"/>
      <c r="C82" s="1729">
        <f>SUM(C77:C81)</f>
        <v>408454</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0</v>
      </c>
      <c r="D84" s="468"/>
      <c r="E84" s="468"/>
      <c r="F84" s="468"/>
      <c r="G84" s="468"/>
      <c r="H84" s="468"/>
      <c r="I84" s="468"/>
      <c r="J84" s="468"/>
      <c r="K84" s="468"/>
    </row>
    <row r="85" spans="1:11" ht="12.75" customHeight="1" x14ac:dyDescent="0.2">
      <c r="A85" s="463" t="s">
        <v>574</v>
      </c>
      <c r="B85" s="470">
        <v>1812</v>
      </c>
      <c r="C85" s="551">
        <v>0</v>
      </c>
      <c r="D85" s="468"/>
      <c r="E85" s="468"/>
      <c r="F85" s="468"/>
      <c r="G85" s="468"/>
      <c r="H85" s="468"/>
      <c r="I85" s="468"/>
      <c r="J85" s="468"/>
      <c r="K85" s="468"/>
    </row>
    <row r="86" spans="1:11" ht="12.75" customHeight="1" x14ac:dyDescent="0.2">
      <c r="A86" s="463" t="s">
        <v>1056</v>
      </c>
      <c r="B86" s="470">
        <v>1813</v>
      </c>
      <c r="C86" s="551">
        <v>0</v>
      </c>
      <c r="D86" s="468"/>
      <c r="E86" s="468"/>
      <c r="F86" s="468"/>
      <c r="G86" s="468"/>
      <c r="H86" s="468"/>
      <c r="I86" s="468"/>
      <c r="J86" s="468"/>
      <c r="K86" s="468"/>
    </row>
    <row r="87" spans="1:11" ht="12.75" customHeight="1" x14ac:dyDescent="0.2">
      <c r="A87" s="463" t="s">
        <v>79</v>
      </c>
      <c r="B87" s="470">
        <v>1819</v>
      </c>
      <c r="C87" s="551">
        <v>0</v>
      </c>
      <c r="D87" s="468"/>
      <c r="E87" s="468"/>
      <c r="F87" s="468"/>
      <c r="G87" s="468"/>
      <c r="H87" s="468"/>
      <c r="I87" s="468"/>
      <c r="J87" s="468"/>
      <c r="K87" s="468"/>
    </row>
    <row r="88" spans="1:11" ht="12.75" customHeight="1" x14ac:dyDescent="0.2">
      <c r="A88" s="463" t="s">
        <v>575</v>
      </c>
      <c r="B88" s="470">
        <v>1821</v>
      </c>
      <c r="C88" s="551">
        <v>0</v>
      </c>
      <c r="D88" s="468"/>
      <c r="E88" s="468"/>
      <c r="F88" s="468"/>
      <c r="G88" s="468"/>
      <c r="H88" s="468"/>
      <c r="I88" s="468"/>
      <c r="J88" s="468"/>
      <c r="K88" s="468"/>
    </row>
    <row r="89" spans="1:11" ht="12.75" customHeight="1" x14ac:dyDescent="0.2">
      <c r="A89" s="463" t="s">
        <v>738</v>
      </c>
      <c r="B89" s="470">
        <v>1822</v>
      </c>
      <c r="C89" s="551">
        <v>0</v>
      </c>
      <c r="D89" s="468"/>
      <c r="E89" s="468"/>
      <c r="F89" s="468"/>
      <c r="G89" s="468"/>
      <c r="H89" s="468"/>
      <c r="I89" s="468"/>
      <c r="J89" s="468"/>
      <c r="K89" s="468"/>
    </row>
    <row r="90" spans="1:11" ht="12.75" customHeight="1" x14ac:dyDescent="0.2">
      <c r="A90" s="463" t="s">
        <v>141</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786</v>
      </c>
      <c r="B92" s="470">
        <v>1890</v>
      </c>
      <c r="C92" s="551">
        <v>0</v>
      </c>
      <c r="D92" s="468"/>
      <c r="E92" s="468"/>
      <c r="F92" s="468"/>
      <c r="G92" s="468"/>
      <c r="H92" s="468"/>
      <c r="I92" s="468"/>
      <c r="J92" s="468"/>
      <c r="K92" s="468"/>
    </row>
    <row r="93" spans="1:11" ht="12.75" customHeight="1" thickBot="1" x14ac:dyDescent="0.25">
      <c r="A93" s="1730" t="s">
        <v>261</v>
      </c>
      <c r="B93" s="1731"/>
      <c r="C93" s="1710">
        <f>SUM(C84:C92)</f>
        <v>0</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v>0</v>
      </c>
      <c r="D95" s="551">
        <v>0</v>
      </c>
      <c r="E95" s="521"/>
      <c r="F95" s="521"/>
      <c r="G95" s="521"/>
      <c r="H95" s="521"/>
      <c r="I95" s="521"/>
      <c r="J95" s="521"/>
      <c r="K95" s="521"/>
    </row>
    <row r="96" spans="1:11" ht="12.75" customHeight="1" x14ac:dyDescent="0.2">
      <c r="A96" s="463" t="s">
        <v>409</v>
      </c>
      <c r="B96" s="470">
        <v>1920</v>
      </c>
      <c r="C96" s="551">
        <v>0</v>
      </c>
      <c r="D96" s="551">
        <v>0</v>
      </c>
      <c r="E96" s="479">
        <v>0</v>
      </c>
      <c r="F96" s="478">
        <v>0</v>
      </c>
      <c r="G96" s="478">
        <v>0</v>
      </c>
      <c r="H96" s="478">
        <v>10745</v>
      </c>
      <c r="I96" s="478">
        <v>0</v>
      </c>
      <c r="J96" s="478">
        <v>0</v>
      </c>
      <c r="K96" s="478">
        <v>0</v>
      </c>
    </row>
    <row r="97" spans="1:12" ht="12.75" customHeight="1" x14ac:dyDescent="0.2">
      <c r="A97" s="1517" t="s">
        <v>262</v>
      </c>
      <c r="B97" s="559">
        <v>1930</v>
      </c>
      <c r="C97" s="489">
        <v>0</v>
      </c>
      <c r="D97" s="467">
        <v>0</v>
      </c>
      <c r="E97" s="474">
        <v>0</v>
      </c>
      <c r="F97" s="467">
        <v>0</v>
      </c>
      <c r="G97" s="467">
        <v>0</v>
      </c>
      <c r="H97" s="467">
        <v>0</v>
      </c>
      <c r="I97" s="467">
        <v>0</v>
      </c>
      <c r="J97" s="467">
        <v>0</v>
      </c>
      <c r="K97" s="467">
        <v>0</v>
      </c>
    </row>
    <row r="98" spans="1:12" ht="12.75" customHeight="1" x14ac:dyDescent="0.2">
      <c r="A98" s="463" t="s">
        <v>198</v>
      </c>
      <c r="B98" s="470">
        <v>1940</v>
      </c>
      <c r="C98" s="489">
        <v>17343</v>
      </c>
      <c r="D98" s="466">
        <v>0</v>
      </c>
      <c r="E98" s="512"/>
      <c r="F98" s="466">
        <v>0</v>
      </c>
      <c r="G98" s="512"/>
      <c r="H98" s="512"/>
      <c r="I98" s="510"/>
      <c r="J98" s="512"/>
      <c r="K98" s="512"/>
    </row>
    <row r="99" spans="1:12" ht="12.75" customHeight="1" x14ac:dyDescent="0.2">
      <c r="A99" s="463" t="s">
        <v>875</v>
      </c>
      <c r="B99" s="470">
        <v>1950</v>
      </c>
      <c r="C99" s="489">
        <v>0</v>
      </c>
      <c r="D99" s="466">
        <v>0</v>
      </c>
      <c r="E99" s="466">
        <v>0</v>
      </c>
      <c r="F99" s="466">
        <v>0</v>
      </c>
      <c r="G99" s="466">
        <v>0</v>
      </c>
      <c r="H99" s="466">
        <v>0</v>
      </c>
      <c r="I99" s="468"/>
      <c r="J99" s="467">
        <v>0</v>
      </c>
      <c r="K99" s="466">
        <v>0</v>
      </c>
    </row>
    <row r="100" spans="1:12" ht="12.75" customHeight="1" x14ac:dyDescent="0.2">
      <c r="A100" s="463" t="s">
        <v>263</v>
      </c>
      <c r="B100" s="470">
        <v>1960</v>
      </c>
      <c r="C100" s="489">
        <v>0</v>
      </c>
      <c r="D100" s="489">
        <v>0</v>
      </c>
      <c r="E100" s="489">
        <v>0</v>
      </c>
      <c r="F100" s="489">
        <v>0</v>
      </c>
      <c r="G100" s="489">
        <v>0</v>
      </c>
      <c r="H100" s="489">
        <v>0</v>
      </c>
      <c r="I100" s="467">
        <v>0</v>
      </c>
      <c r="J100" s="489">
        <v>0</v>
      </c>
      <c r="K100" s="467">
        <v>0</v>
      </c>
    </row>
    <row r="101" spans="1:12" ht="12.75" customHeight="1" x14ac:dyDescent="0.2">
      <c r="A101" s="463" t="s">
        <v>264</v>
      </c>
      <c r="B101" s="470">
        <v>1970</v>
      </c>
      <c r="C101" s="489">
        <v>5985</v>
      </c>
      <c r="D101" s="526"/>
      <c r="E101" s="480"/>
      <c r="F101" s="526"/>
      <c r="G101" s="475"/>
      <c r="H101" s="526"/>
      <c r="I101" s="468"/>
      <c r="J101" s="475"/>
      <c r="K101" s="475"/>
    </row>
    <row r="102" spans="1:12" ht="12.75" customHeight="1" x14ac:dyDescent="0.2">
      <c r="A102" s="463" t="s">
        <v>265</v>
      </c>
      <c r="B102" s="470">
        <v>1980</v>
      </c>
      <c r="C102" s="489">
        <v>0</v>
      </c>
      <c r="D102" s="489">
        <v>0</v>
      </c>
      <c r="E102" s="489">
        <v>0</v>
      </c>
      <c r="F102" s="489">
        <v>0</v>
      </c>
      <c r="G102" s="489">
        <v>0</v>
      </c>
      <c r="H102" s="489">
        <v>0</v>
      </c>
      <c r="I102" s="467">
        <v>0</v>
      </c>
      <c r="J102" s="489">
        <v>0</v>
      </c>
      <c r="K102" s="467">
        <v>0</v>
      </c>
    </row>
    <row r="103" spans="1:12" ht="12.75" customHeight="1" x14ac:dyDescent="0.2">
      <c r="A103" s="463" t="s">
        <v>363</v>
      </c>
      <c r="B103" s="470">
        <v>1983</v>
      </c>
      <c r="C103" s="468"/>
      <c r="D103" s="468"/>
      <c r="E103" s="560">
        <v>0</v>
      </c>
      <c r="F103" s="468"/>
      <c r="G103" s="468"/>
      <c r="H103" s="489">
        <v>0</v>
      </c>
      <c r="I103" s="468"/>
      <c r="J103" s="510"/>
      <c r="K103" s="510"/>
    </row>
    <row r="104" spans="1:12" ht="12.75" customHeight="1" x14ac:dyDescent="0.2">
      <c r="A104" s="463" t="s">
        <v>885</v>
      </c>
      <c r="B104" s="470">
        <v>1991</v>
      </c>
      <c r="C104" s="489">
        <v>0</v>
      </c>
      <c r="D104" s="466">
        <v>0</v>
      </c>
      <c r="E104" s="481">
        <v>0</v>
      </c>
      <c r="F104" s="467">
        <v>0</v>
      </c>
      <c r="G104" s="467">
        <v>0</v>
      </c>
      <c r="H104" s="466">
        <v>0</v>
      </c>
      <c r="I104" s="468"/>
      <c r="J104" s="468"/>
      <c r="K104" s="468"/>
    </row>
    <row r="105" spans="1:12" ht="12.75" customHeight="1" x14ac:dyDescent="0.2">
      <c r="A105" s="463" t="s">
        <v>876</v>
      </c>
      <c r="B105" s="470">
        <v>1992</v>
      </c>
      <c r="C105" s="466">
        <v>0</v>
      </c>
      <c r="D105" s="561"/>
      <c r="E105" s="468"/>
      <c r="F105" s="468"/>
      <c r="G105" s="468"/>
      <c r="H105" s="510"/>
      <c r="I105" s="468"/>
      <c r="J105" s="468"/>
      <c r="K105" s="468"/>
    </row>
    <row r="106" spans="1:12" ht="12.75" customHeight="1" x14ac:dyDescent="0.2">
      <c r="A106" s="463" t="s">
        <v>1505</v>
      </c>
      <c r="B106" s="470">
        <v>1993</v>
      </c>
      <c r="C106" s="466">
        <v>0</v>
      </c>
      <c r="D106" s="489">
        <v>0</v>
      </c>
      <c r="E106" s="467">
        <v>0</v>
      </c>
      <c r="F106" s="467">
        <v>0</v>
      </c>
      <c r="G106" s="467">
        <v>0</v>
      </c>
      <c r="H106" s="467">
        <v>0</v>
      </c>
      <c r="I106" s="521"/>
      <c r="J106" s="467">
        <v>0</v>
      </c>
      <c r="K106" s="467">
        <v>0</v>
      </c>
    </row>
    <row r="107" spans="1:12" ht="12.75" customHeight="1" x14ac:dyDescent="0.2">
      <c r="A107" s="463" t="s">
        <v>80</v>
      </c>
      <c r="B107" s="470">
        <v>1999</v>
      </c>
      <c r="C107" s="551">
        <v>42507</v>
      </c>
      <c r="D107" s="466">
        <v>1020</v>
      </c>
      <c r="E107" s="466">
        <v>0</v>
      </c>
      <c r="F107" s="466">
        <v>38026</v>
      </c>
      <c r="G107" s="466">
        <v>0</v>
      </c>
      <c r="H107" s="466">
        <v>0</v>
      </c>
      <c r="I107" s="466">
        <v>0</v>
      </c>
      <c r="J107" s="467">
        <v>0</v>
      </c>
      <c r="K107" s="466">
        <v>0</v>
      </c>
    </row>
    <row r="108" spans="1:12" ht="12.75" customHeight="1" thickBot="1" x14ac:dyDescent="0.25">
      <c r="A108" s="1730" t="s">
        <v>508</v>
      </c>
      <c r="B108" s="1734"/>
      <c r="C108" s="1729">
        <f>SUM(C95:C107)</f>
        <v>65835</v>
      </c>
      <c r="D108" s="1729">
        <f t="shared" ref="D108:K108" si="3">SUM(D95:D107)</f>
        <v>1020</v>
      </c>
      <c r="E108" s="1729">
        <f t="shared" si="3"/>
        <v>0</v>
      </c>
      <c r="F108" s="1729">
        <f t="shared" si="3"/>
        <v>38026</v>
      </c>
      <c r="G108" s="1729">
        <f t="shared" si="3"/>
        <v>0</v>
      </c>
      <c r="H108" s="1729">
        <f t="shared" si="3"/>
        <v>10745</v>
      </c>
      <c r="I108" s="1729">
        <f t="shared" si="3"/>
        <v>0</v>
      </c>
      <c r="J108" s="1729">
        <f t="shared" si="3"/>
        <v>0</v>
      </c>
      <c r="K108" s="1710">
        <f t="shared" si="3"/>
        <v>0</v>
      </c>
    </row>
    <row r="109" spans="1:12" ht="14.25" thickTop="1" thickBot="1" x14ac:dyDescent="0.25">
      <c r="A109" s="1735" t="s">
        <v>266</v>
      </c>
      <c r="B109" s="1736" t="s">
        <v>591</v>
      </c>
      <c r="C109" s="1737">
        <f t="shared" ref="C109:K109" si="4">SUM(C12,C18,C40,C63,C67,C75,C82,C93,C108,)</f>
        <v>8632899</v>
      </c>
      <c r="D109" s="1737">
        <f t="shared" si="4"/>
        <v>1595883</v>
      </c>
      <c r="E109" s="1737">
        <f t="shared" si="4"/>
        <v>1722949</v>
      </c>
      <c r="F109" s="1737">
        <f t="shared" si="4"/>
        <v>1109835</v>
      </c>
      <c r="G109" s="1737">
        <f t="shared" si="4"/>
        <v>394120</v>
      </c>
      <c r="H109" s="1737">
        <f t="shared" si="4"/>
        <v>12066</v>
      </c>
      <c r="I109" s="1737">
        <f t="shared" si="4"/>
        <v>166172</v>
      </c>
      <c r="J109" s="1737">
        <f t="shared" si="4"/>
        <v>0</v>
      </c>
      <c r="K109" s="1724">
        <f t="shared" si="4"/>
        <v>0</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v>0</v>
      </c>
      <c r="D111" s="481">
        <v>0</v>
      </c>
      <c r="E111" s="561"/>
      <c r="F111" s="481">
        <v>0</v>
      </c>
      <c r="G111" s="481">
        <v>0</v>
      </c>
      <c r="H111" s="561"/>
      <c r="I111" s="468"/>
      <c r="J111" s="468"/>
      <c r="K111" s="468"/>
    </row>
    <row r="112" spans="1:12" ht="12.75" customHeight="1" x14ac:dyDescent="0.2">
      <c r="A112" s="463" t="s">
        <v>878</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1392804</v>
      </c>
      <c r="D117" s="481">
        <v>0</v>
      </c>
      <c r="E117" s="466">
        <v>0</v>
      </c>
      <c r="F117" s="481">
        <v>0</v>
      </c>
      <c r="G117" s="481">
        <v>0</v>
      </c>
      <c r="H117" s="466">
        <v>0</v>
      </c>
      <c r="I117" s="468"/>
      <c r="J117" s="467">
        <v>0</v>
      </c>
      <c r="K117" s="466">
        <v>0</v>
      </c>
    </row>
    <row r="118" spans="1:11" ht="12.75" customHeight="1" x14ac:dyDescent="0.2">
      <c r="A118" s="463" t="s">
        <v>1902</v>
      </c>
      <c r="B118" s="562">
        <v>3002</v>
      </c>
      <c r="C118" s="551">
        <v>0</v>
      </c>
      <c r="D118" s="466">
        <v>0</v>
      </c>
      <c r="E118" s="466">
        <v>0</v>
      </c>
      <c r="F118" s="466">
        <v>0</v>
      </c>
      <c r="G118" s="466">
        <v>0</v>
      </c>
      <c r="H118" s="466">
        <v>0</v>
      </c>
      <c r="I118" s="468"/>
      <c r="J118" s="467">
        <v>0</v>
      </c>
      <c r="K118" s="466">
        <v>0</v>
      </c>
    </row>
    <row r="119" spans="1:11" ht="12.75" customHeight="1" x14ac:dyDescent="0.2">
      <c r="A119" s="463" t="s">
        <v>1903</v>
      </c>
      <c r="B119" s="562">
        <v>3005</v>
      </c>
      <c r="C119" s="551">
        <v>0</v>
      </c>
      <c r="D119" s="466">
        <v>0</v>
      </c>
      <c r="E119" s="466">
        <v>0</v>
      </c>
      <c r="F119" s="466">
        <v>0</v>
      </c>
      <c r="G119" s="466">
        <v>0</v>
      </c>
      <c r="H119" s="466">
        <v>0</v>
      </c>
      <c r="I119" s="468"/>
      <c r="J119" s="467">
        <v>0</v>
      </c>
      <c r="K119" s="466">
        <v>0</v>
      </c>
    </row>
    <row r="120" spans="1:11" x14ac:dyDescent="0.2">
      <c r="A120" s="1518" t="s">
        <v>1904</v>
      </c>
      <c r="B120" s="564">
        <v>3099</v>
      </c>
      <c r="C120" s="551">
        <v>1500</v>
      </c>
      <c r="D120" s="466">
        <v>0</v>
      </c>
      <c r="E120" s="466">
        <v>0</v>
      </c>
      <c r="F120" s="466">
        <v>0</v>
      </c>
      <c r="G120" s="466">
        <v>0</v>
      </c>
      <c r="H120" s="466">
        <v>0</v>
      </c>
      <c r="I120" s="468"/>
      <c r="J120" s="467">
        <v>0</v>
      </c>
      <c r="K120" s="466">
        <v>0</v>
      </c>
    </row>
    <row r="121" spans="1:11" ht="12.6" customHeight="1" thickBot="1" x14ac:dyDescent="0.25">
      <c r="A121" s="1730" t="s">
        <v>509</v>
      </c>
      <c r="B121" s="1741"/>
      <c r="C121" s="1729">
        <f t="shared" ref="C121:H121" si="5">SUM(C117:C120)</f>
        <v>1394304</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v>62276</v>
      </c>
      <c r="D124" s="561"/>
      <c r="E124" s="468"/>
      <c r="F124" s="548">
        <v>0</v>
      </c>
      <c r="G124" s="468"/>
      <c r="H124" s="468"/>
      <c r="I124" s="468"/>
      <c r="J124" s="468"/>
      <c r="K124" s="468"/>
    </row>
    <row r="125" spans="1:11" ht="12.75" customHeight="1" x14ac:dyDescent="0.2">
      <c r="A125" s="463" t="s">
        <v>1521</v>
      </c>
      <c r="B125" s="562">
        <v>3105</v>
      </c>
      <c r="C125" s="466">
        <v>44030</v>
      </c>
      <c r="D125" s="561"/>
      <c r="E125" s="468"/>
      <c r="F125" s="466">
        <v>0</v>
      </c>
      <c r="G125" s="468"/>
      <c r="H125" s="468"/>
      <c r="I125" s="468"/>
      <c r="J125" s="468"/>
      <c r="K125" s="468"/>
    </row>
    <row r="126" spans="1:11" ht="12.75" customHeight="1" x14ac:dyDescent="0.2">
      <c r="A126" s="463" t="s">
        <v>922</v>
      </c>
      <c r="B126" s="562">
        <v>3110</v>
      </c>
      <c r="C126" s="551">
        <v>69497</v>
      </c>
      <c r="D126" s="466">
        <v>0</v>
      </c>
      <c r="E126" s="468"/>
      <c r="F126" s="466">
        <v>0</v>
      </c>
      <c r="G126" s="468"/>
      <c r="H126" s="468"/>
      <c r="I126" s="468"/>
      <c r="J126" s="468"/>
      <c r="K126" s="468"/>
    </row>
    <row r="127" spans="1:11" ht="12.75" customHeight="1" x14ac:dyDescent="0.2">
      <c r="A127" s="463" t="s">
        <v>107</v>
      </c>
      <c r="B127" s="562">
        <v>3120</v>
      </c>
      <c r="C127" s="466">
        <v>0</v>
      </c>
      <c r="D127" s="561"/>
      <c r="E127" s="468"/>
      <c r="F127" s="466">
        <v>0</v>
      </c>
      <c r="G127" s="468"/>
      <c r="H127" s="468"/>
      <c r="I127" s="468"/>
      <c r="J127" s="468"/>
      <c r="K127" s="468"/>
    </row>
    <row r="128" spans="1:11" ht="12.75" customHeight="1" x14ac:dyDescent="0.2">
      <c r="A128" s="463" t="s">
        <v>1522</v>
      </c>
      <c r="B128" s="562">
        <v>3130</v>
      </c>
      <c r="C128" s="466">
        <v>0</v>
      </c>
      <c r="D128" s="561"/>
      <c r="E128" s="468"/>
      <c r="F128" s="466">
        <v>0</v>
      </c>
      <c r="G128" s="468"/>
      <c r="H128" s="468"/>
      <c r="I128" s="468"/>
      <c r="J128" s="468"/>
      <c r="K128" s="468"/>
    </row>
    <row r="129" spans="1:11" ht="12.75" customHeight="1" x14ac:dyDescent="0.2">
      <c r="A129" s="463" t="s">
        <v>139</v>
      </c>
      <c r="B129" s="562">
        <v>3145</v>
      </c>
      <c r="C129" s="466">
        <v>2353</v>
      </c>
      <c r="D129" s="561"/>
      <c r="E129" s="468"/>
      <c r="F129" s="466">
        <v>0</v>
      </c>
      <c r="G129" s="468"/>
      <c r="H129" s="468"/>
      <c r="I129" s="468"/>
      <c r="J129" s="468"/>
      <c r="K129" s="468"/>
    </row>
    <row r="130" spans="1:11" ht="12.75" customHeight="1" x14ac:dyDescent="0.2">
      <c r="A130" s="463" t="s">
        <v>68</v>
      </c>
      <c r="B130" s="562">
        <v>3199</v>
      </c>
      <c r="C130" s="551">
        <v>0</v>
      </c>
      <c r="D130" s="467">
        <v>0</v>
      </c>
      <c r="E130" s="468"/>
      <c r="F130" s="466">
        <v>0</v>
      </c>
      <c r="G130" s="468"/>
      <c r="H130" s="468"/>
      <c r="I130" s="468"/>
      <c r="J130" s="468"/>
      <c r="K130" s="468"/>
    </row>
    <row r="131" spans="1:11" ht="12.75" customHeight="1" thickBot="1" x14ac:dyDescent="0.25">
      <c r="A131" s="1730" t="s">
        <v>1092</v>
      </c>
      <c r="B131" s="1742"/>
      <c r="C131" s="1729">
        <f>SUM(C124:C130)</f>
        <v>178156</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v>0</v>
      </c>
      <c r="D133" s="466">
        <v>0</v>
      </c>
      <c r="E133" s="561"/>
      <c r="F133" s="468"/>
      <c r="G133" s="466">
        <v>0</v>
      </c>
      <c r="H133" s="468"/>
      <c r="I133" s="468"/>
      <c r="J133" s="468"/>
      <c r="K133" s="468"/>
    </row>
    <row r="134" spans="1:11" ht="12.75" customHeight="1" x14ac:dyDescent="0.2">
      <c r="A134" s="463" t="s">
        <v>690</v>
      </c>
      <c r="B134" s="562">
        <v>3220</v>
      </c>
      <c r="C134" s="551">
        <v>11082</v>
      </c>
      <c r="D134" s="466">
        <v>0</v>
      </c>
      <c r="E134" s="561"/>
      <c r="F134" s="468"/>
      <c r="G134" s="467">
        <v>0</v>
      </c>
      <c r="H134" s="468"/>
      <c r="I134" s="468"/>
      <c r="J134" s="468"/>
      <c r="K134" s="468"/>
    </row>
    <row r="135" spans="1:11" ht="12.75" customHeight="1" x14ac:dyDescent="0.2">
      <c r="A135" s="463" t="s">
        <v>267</v>
      </c>
      <c r="B135" s="562">
        <v>3225</v>
      </c>
      <c r="C135" s="551">
        <v>0</v>
      </c>
      <c r="D135" s="466">
        <v>0</v>
      </c>
      <c r="E135" s="561"/>
      <c r="F135" s="468"/>
      <c r="G135" s="467">
        <v>0</v>
      </c>
      <c r="H135" s="468"/>
      <c r="I135" s="468"/>
      <c r="J135" s="468"/>
      <c r="K135" s="468"/>
    </row>
    <row r="136" spans="1:11" ht="12.75" customHeight="1" x14ac:dyDescent="0.2">
      <c r="A136" s="463" t="s">
        <v>621</v>
      </c>
      <c r="B136" s="562">
        <v>3235</v>
      </c>
      <c r="C136" s="489">
        <v>0</v>
      </c>
      <c r="D136" s="467">
        <v>0</v>
      </c>
      <c r="E136" s="561"/>
      <c r="F136" s="468"/>
      <c r="G136" s="467">
        <v>0</v>
      </c>
      <c r="H136" s="468"/>
      <c r="I136" s="468"/>
      <c r="J136" s="468"/>
      <c r="K136" s="468"/>
    </row>
    <row r="137" spans="1:11" ht="12.75" customHeight="1" x14ac:dyDescent="0.2">
      <c r="A137" s="463" t="s">
        <v>622</v>
      </c>
      <c r="B137" s="562">
        <v>3240</v>
      </c>
      <c r="C137" s="489">
        <v>0</v>
      </c>
      <c r="D137" s="467">
        <v>0</v>
      </c>
      <c r="E137" s="561"/>
      <c r="F137" s="468"/>
      <c r="G137" s="467">
        <v>0</v>
      </c>
      <c r="H137" s="468"/>
      <c r="I137" s="468"/>
      <c r="J137" s="468"/>
      <c r="K137" s="468"/>
    </row>
    <row r="138" spans="1:11" ht="12.75" customHeight="1" x14ac:dyDescent="0.2">
      <c r="A138" s="463" t="s">
        <v>623</v>
      </c>
      <c r="B138" s="562">
        <v>3270</v>
      </c>
      <c r="C138" s="489">
        <v>0</v>
      </c>
      <c r="D138" s="467">
        <v>0</v>
      </c>
      <c r="E138" s="561"/>
      <c r="F138" s="468"/>
      <c r="G138" s="467">
        <v>0</v>
      </c>
      <c r="H138" s="468"/>
      <c r="I138" s="468"/>
      <c r="J138" s="468"/>
      <c r="K138" s="468"/>
    </row>
    <row r="139" spans="1:11" ht="12.75" customHeight="1" x14ac:dyDescent="0.2">
      <c r="A139" s="463" t="s">
        <v>69</v>
      </c>
      <c r="B139" s="562">
        <v>3299</v>
      </c>
      <c r="C139" s="551">
        <v>0</v>
      </c>
      <c r="D139" s="466">
        <v>0</v>
      </c>
      <c r="E139" s="561"/>
      <c r="F139" s="477"/>
      <c r="G139" s="467">
        <v>0</v>
      </c>
      <c r="H139" s="468"/>
      <c r="I139" s="468"/>
      <c r="J139" s="468"/>
      <c r="K139" s="468"/>
    </row>
    <row r="140" spans="1:11" ht="12.75" customHeight="1" thickBot="1" x14ac:dyDescent="0.25">
      <c r="A140" s="1730" t="s">
        <v>624</v>
      </c>
      <c r="B140" s="1742"/>
      <c r="C140" s="1729">
        <f>SUM(C133:C139)</f>
        <v>11082</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v>0</v>
      </c>
      <c r="D142" s="468"/>
      <c r="E142" s="561"/>
      <c r="F142" s="468"/>
      <c r="G142" s="466">
        <v>0</v>
      </c>
      <c r="H142" s="468"/>
      <c r="I142" s="468"/>
      <c r="J142" s="468"/>
      <c r="K142" s="468"/>
    </row>
    <row r="143" spans="1:11" ht="12.75" customHeight="1" x14ac:dyDescent="0.2">
      <c r="A143" s="463" t="s">
        <v>365</v>
      </c>
      <c r="B143" s="562">
        <v>3310</v>
      </c>
      <c r="C143" s="551">
        <v>0</v>
      </c>
      <c r="D143" s="468"/>
      <c r="E143" s="561"/>
      <c r="F143" s="468"/>
      <c r="G143" s="466">
        <v>0</v>
      </c>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0</v>
      </c>
      <c r="D145" s="570"/>
      <c r="E145" s="509"/>
      <c r="F145" s="468"/>
      <c r="G145" s="571"/>
      <c r="H145" s="468"/>
      <c r="I145" s="468"/>
      <c r="J145" s="468"/>
      <c r="K145" s="468"/>
    </row>
    <row r="146" spans="1:11" ht="12.75" customHeight="1" thickBot="1" x14ac:dyDescent="0.25">
      <c r="A146" s="1521" t="s">
        <v>979</v>
      </c>
      <c r="B146" s="572">
        <v>3365</v>
      </c>
      <c r="C146" s="573">
        <v>0</v>
      </c>
      <c r="D146" s="532">
        <v>0</v>
      </c>
      <c r="E146" s="561"/>
      <c r="F146" s="468"/>
      <c r="G146" s="532">
        <v>0</v>
      </c>
      <c r="H146" s="468"/>
      <c r="I146" s="468"/>
      <c r="J146" s="468"/>
      <c r="K146" s="468"/>
    </row>
    <row r="147" spans="1:11" ht="12.75" customHeight="1" thickTop="1" thickBot="1" x14ac:dyDescent="0.25">
      <c r="A147" s="1522" t="s">
        <v>140</v>
      </c>
      <c r="B147" s="574">
        <v>3370</v>
      </c>
      <c r="C147" s="573">
        <v>22925</v>
      </c>
      <c r="D147" s="573">
        <v>0</v>
      </c>
      <c r="E147" s="509"/>
      <c r="F147" s="468"/>
      <c r="G147" s="468"/>
      <c r="H147" s="468"/>
      <c r="I147" s="468"/>
      <c r="J147" s="468"/>
      <c r="K147" s="468"/>
    </row>
    <row r="148" spans="1:11" ht="12.75" customHeight="1" thickTop="1" thickBot="1" x14ac:dyDescent="0.25">
      <c r="A148" s="1522" t="s">
        <v>791</v>
      </c>
      <c r="B148" s="574">
        <v>3410</v>
      </c>
      <c r="C148" s="575">
        <v>0</v>
      </c>
      <c r="D148" s="576">
        <v>0</v>
      </c>
      <c r="E148" s="577">
        <v>0</v>
      </c>
      <c r="F148" s="530">
        <v>0</v>
      </c>
      <c r="G148" s="530">
        <v>0</v>
      </c>
      <c r="H148" s="530">
        <v>0</v>
      </c>
      <c r="I148" s="530">
        <v>0</v>
      </c>
      <c r="J148" s="530">
        <v>0</v>
      </c>
      <c r="K148" s="530">
        <v>0</v>
      </c>
    </row>
    <row r="149" spans="1:11" ht="12.75" customHeight="1" thickTop="1" thickBot="1" x14ac:dyDescent="0.25">
      <c r="A149" s="1522" t="s">
        <v>70</v>
      </c>
      <c r="B149" s="574">
        <v>3499</v>
      </c>
      <c r="C149" s="575">
        <v>0</v>
      </c>
      <c r="D149" s="576">
        <v>0</v>
      </c>
      <c r="E149" s="532">
        <v>0</v>
      </c>
      <c r="F149" s="532">
        <v>0</v>
      </c>
      <c r="G149" s="532">
        <v>0</v>
      </c>
      <c r="H149" s="532">
        <v>0</v>
      </c>
      <c r="I149" s="532">
        <v>0</v>
      </c>
      <c r="J149" s="532">
        <v>0</v>
      </c>
      <c r="K149" s="532">
        <v>0</v>
      </c>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v>0</v>
      </c>
      <c r="D151" s="466">
        <v>0</v>
      </c>
      <c r="E151" s="561"/>
      <c r="F151" s="466">
        <v>287620</v>
      </c>
      <c r="G151" s="467">
        <v>0</v>
      </c>
      <c r="H151" s="468"/>
      <c r="I151" s="468"/>
      <c r="J151" s="468"/>
      <c r="K151" s="468"/>
    </row>
    <row r="152" spans="1:11" ht="12.75" customHeight="1" x14ac:dyDescent="0.2">
      <c r="A152" s="463" t="s">
        <v>1117</v>
      </c>
      <c r="B152" s="562">
        <v>3510</v>
      </c>
      <c r="C152" s="551">
        <v>0</v>
      </c>
      <c r="D152" s="466">
        <v>0</v>
      </c>
      <c r="E152" s="561"/>
      <c r="F152" s="466">
        <v>344632</v>
      </c>
      <c r="G152" s="467">
        <v>0</v>
      </c>
      <c r="H152" s="468"/>
      <c r="I152" s="468"/>
      <c r="J152" s="468"/>
      <c r="K152" s="468"/>
    </row>
    <row r="153" spans="1:11" ht="12.75" customHeight="1" x14ac:dyDescent="0.2">
      <c r="A153" s="463" t="s">
        <v>71</v>
      </c>
      <c r="B153" s="562">
        <v>3599</v>
      </c>
      <c r="C153" s="551">
        <v>0</v>
      </c>
      <c r="D153" s="466">
        <v>0</v>
      </c>
      <c r="E153" s="561"/>
      <c r="F153" s="466">
        <v>0</v>
      </c>
      <c r="G153" s="467">
        <v>0</v>
      </c>
      <c r="H153" s="468"/>
      <c r="I153" s="468"/>
      <c r="J153" s="468"/>
      <c r="K153" s="468"/>
    </row>
    <row r="154" spans="1:11" ht="12.75" customHeight="1" thickBot="1" x14ac:dyDescent="0.25">
      <c r="A154" s="1730" t="s">
        <v>96</v>
      </c>
      <c r="B154" s="1742"/>
      <c r="C154" s="1729">
        <f>SUM(C151:C153)</f>
        <v>0</v>
      </c>
      <c r="D154" s="1729">
        <f>SUM(D151:D153)</f>
        <v>0</v>
      </c>
      <c r="E154" s="561"/>
      <c r="F154" s="1729">
        <f>SUM(F151:F153)</f>
        <v>632252</v>
      </c>
      <c r="G154" s="1729">
        <f>SUM(G151:G153)</f>
        <v>0</v>
      </c>
      <c r="H154" s="468"/>
      <c r="I154" s="468"/>
      <c r="J154" s="468"/>
      <c r="K154" s="468"/>
    </row>
    <row r="155" spans="1:11" ht="12.75" customHeight="1" thickTop="1" thickBot="1" x14ac:dyDescent="0.25">
      <c r="A155" s="1522" t="s">
        <v>398</v>
      </c>
      <c r="B155" s="574">
        <v>3610</v>
      </c>
      <c r="C155" s="576">
        <v>0</v>
      </c>
      <c r="D155" s="468"/>
      <c r="E155" s="509"/>
      <c r="F155" s="468"/>
      <c r="G155" s="468"/>
      <c r="H155" s="468"/>
      <c r="I155" s="468"/>
      <c r="J155" s="468"/>
      <c r="K155" s="468"/>
    </row>
    <row r="156" spans="1:11" ht="12.75" customHeight="1" thickTop="1" thickBot="1" x14ac:dyDescent="0.25">
      <c r="A156" s="1522" t="s">
        <v>52</v>
      </c>
      <c r="B156" s="574">
        <v>3660</v>
      </c>
      <c r="C156" s="573">
        <v>0</v>
      </c>
      <c r="D156" s="578">
        <v>0</v>
      </c>
      <c r="E156" s="561"/>
      <c r="F156" s="578">
        <v>0</v>
      </c>
      <c r="G156" s="578">
        <v>0</v>
      </c>
      <c r="H156" s="468"/>
      <c r="I156" s="468"/>
      <c r="J156" s="468"/>
      <c r="K156" s="468"/>
    </row>
    <row r="157" spans="1:11" ht="12.75" customHeight="1" thickTop="1" thickBot="1" x14ac:dyDescent="0.25">
      <c r="A157" s="1522" t="s">
        <v>1057</v>
      </c>
      <c r="B157" s="574">
        <v>3695</v>
      </c>
      <c r="C157" s="576">
        <v>0</v>
      </c>
      <c r="D157" s="468"/>
      <c r="E157" s="561"/>
      <c r="F157" s="576">
        <v>0</v>
      </c>
      <c r="G157" s="576">
        <v>0</v>
      </c>
      <c r="H157" s="468"/>
      <c r="I157" s="468"/>
      <c r="J157" s="468"/>
      <c r="K157" s="468"/>
    </row>
    <row r="158" spans="1:11" ht="12.75" customHeight="1" thickTop="1" thickBot="1" x14ac:dyDescent="0.25">
      <c r="A158" s="1522" t="s">
        <v>1111</v>
      </c>
      <c r="B158" s="574">
        <v>3705</v>
      </c>
      <c r="C158" s="576">
        <v>0</v>
      </c>
      <c r="D158" s="578">
        <v>0</v>
      </c>
      <c r="E158" s="561"/>
      <c r="F158" s="576">
        <v>0</v>
      </c>
      <c r="G158" s="576">
        <v>0</v>
      </c>
      <c r="H158" s="468"/>
      <c r="I158" s="468"/>
      <c r="J158" s="468"/>
      <c r="K158" s="468"/>
    </row>
    <row r="159" spans="1:11" ht="12.75" customHeight="1" thickTop="1" thickBot="1" x14ac:dyDescent="0.25">
      <c r="A159" s="1522" t="s">
        <v>39</v>
      </c>
      <c r="B159" s="574">
        <v>3715</v>
      </c>
      <c r="C159" s="576">
        <v>0</v>
      </c>
      <c r="D159" s="468"/>
      <c r="E159" s="561"/>
      <c r="F159" s="576">
        <v>0</v>
      </c>
      <c r="G159" s="576">
        <v>0</v>
      </c>
      <c r="H159" s="468"/>
      <c r="I159" s="468"/>
      <c r="J159" s="468"/>
      <c r="K159" s="468"/>
    </row>
    <row r="160" spans="1:11" ht="12.75" customHeight="1" thickTop="1" thickBot="1" x14ac:dyDescent="0.25">
      <c r="A160" s="1522" t="s">
        <v>40</v>
      </c>
      <c r="B160" s="574">
        <v>3720</v>
      </c>
      <c r="C160" s="576">
        <v>0</v>
      </c>
      <c r="D160" s="468"/>
      <c r="E160" s="561"/>
      <c r="F160" s="576">
        <v>0</v>
      </c>
      <c r="G160" s="576">
        <v>0</v>
      </c>
      <c r="H160" s="468"/>
      <c r="I160" s="468"/>
      <c r="J160" s="468"/>
      <c r="K160" s="468"/>
    </row>
    <row r="161" spans="1:11" ht="12.75" customHeight="1" thickTop="1" thickBot="1" x14ac:dyDescent="0.25">
      <c r="A161" s="1522" t="s">
        <v>415</v>
      </c>
      <c r="B161" s="574">
        <v>3725</v>
      </c>
      <c r="C161" s="531">
        <v>0</v>
      </c>
      <c r="D161" s="468"/>
      <c r="E161" s="561"/>
      <c r="F161" s="531">
        <v>0</v>
      </c>
      <c r="G161" s="531">
        <v>0</v>
      </c>
      <c r="H161" s="468"/>
      <c r="I161" s="468"/>
      <c r="J161" s="468"/>
      <c r="K161" s="468"/>
    </row>
    <row r="162" spans="1:11" ht="12.75" customHeight="1" thickTop="1" thickBot="1" x14ac:dyDescent="0.25">
      <c r="A162" s="1522" t="s">
        <v>416</v>
      </c>
      <c r="B162" s="574">
        <v>3726</v>
      </c>
      <c r="C162" s="531">
        <v>0</v>
      </c>
      <c r="D162" s="468"/>
      <c r="E162" s="561"/>
      <c r="F162" s="531">
        <v>0</v>
      </c>
      <c r="G162" s="531">
        <v>0</v>
      </c>
      <c r="H162" s="468"/>
      <c r="I162" s="468"/>
      <c r="J162" s="468"/>
      <c r="K162" s="468"/>
    </row>
    <row r="163" spans="1:11" ht="12.75" customHeight="1" thickTop="1" thickBot="1" x14ac:dyDescent="0.25">
      <c r="A163" s="1522" t="s">
        <v>41</v>
      </c>
      <c r="B163" s="574">
        <v>3766</v>
      </c>
      <c r="C163" s="576">
        <v>0</v>
      </c>
      <c r="D163" s="578">
        <v>0</v>
      </c>
      <c r="E163" s="561"/>
      <c r="F163" s="576">
        <v>0</v>
      </c>
      <c r="G163" s="531">
        <v>0</v>
      </c>
      <c r="H163" s="468"/>
      <c r="I163" s="468"/>
      <c r="J163" s="468"/>
      <c r="K163" s="468"/>
    </row>
    <row r="164" spans="1:11" ht="12.75" customHeight="1" thickTop="1" thickBot="1" x14ac:dyDescent="0.25">
      <c r="A164" s="1522" t="s">
        <v>1042</v>
      </c>
      <c r="B164" s="574">
        <v>3767</v>
      </c>
      <c r="C164" s="576">
        <v>0</v>
      </c>
      <c r="D164" s="531">
        <v>0</v>
      </c>
      <c r="E164" s="561"/>
      <c r="F164" s="531">
        <v>0</v>
      </c>
      <c r="G164" s="531">
        <v>0</v>
      </c>
      <c r="H164" s="468"/>
      <c r="I164" s="468"/>
      <c r="J164" s="468"/>
      <c r="K164" s="468"/>
    </row>
    <row r="165" spans="1:11" ht="12.75" customHeight="1" thickTop="1" thickBot="1" x14ac:dyDescent="0.25">
      <c r="A165" s="1522" t="s">
        <v>1043</v>
      </c>
      <c r="B165" s="574">
        <v>3775</v>
      </c>
      <c r="C165" s="576">
        <v>0</v>
      </c>
      <c r="D165" s="573">
        <v>0</v>
      </c>
      <c r="E165" s="530">
        <v>0</v>
      </c>
      <c r="F165" s="573">
        <v>0</v>
      </c>
      <c r="G165" s="532">
        <v>0</v>
      </c>
      <c r="H165" s="530">
        <v>0</v>
      </c>
      <c r="I165" s="468"/>
      <c r="J165" s="468"/>
      <c r="K165" s="530">
        <v>0</v>
      </c>
    </row>
    <row r="166" spans="1:11" ht="12.75" customHeight="1" thickTop="1" thickBot="1" x14ac:dyDescent="0.25">
      <c r="A166" s="1522" t="s">
        <v>1524</v>
      </c>
      <c r="B166" s="574">
        <v>3780</v>
      </c>
      <c r="C166" s="531">
        <v>0</v>
      </c>
      <c r="D166" s="530">
        <v>0</v>
      </c>
      <c r="E166" s="531">
        <v>0</v>
      </c>
      <c r="F166" s="531">
        <v>0</v>
      </c>
      <c r="G166" s="531">
        <v>0</v>
      </c>
      <c r="H166" s="531">
        <v>0</v>
      </c>
      <c r="I166" s="468"/>
      <c r="J166" s="468"/>
      <c r="K166" s="531">
        <v>0</v>
      </c>
    </row>
    <row r="167" spans="1:11" ht="12.75" customHeight="1" thickTop="1" thickBot="1" x14ac:dyDescent="0.25">
      <c r="A167" s="1522" t="s">
        <v>913</v>
      </c>
      <c r="B167" s="574">
        <v>3815</v>
      </c>
      <c r="C167" s="576">
        <v>0</v>
      </c>
      <c r="D167" s="468"/>
      <c r="E167" s="561"/>
      <c r="F167" s="576">
        <v>0</v>
      </c>
      <c r="G167" s="468"/>
      <c r="H167" s="468"/>
      <c r="I167" s="468"/>
      <c r="J167" s="468"/>
      <c r="K167" s="468"/>
    </row>
    <row r="168" spans="1:11" ht="12.75" customHeight="1" thickTop="1" thickBot="1" x14ac:dyDescent="0.25">
      <c r="A168" s="1522" t="s">
        <v>417</v>
      </c>
      <c r="B168" s="574">
        <v>3825</v>
      </c>
      <c r="C168" s="576">
        <v>0</v>
      </c>
      <c r="D168" s="468"/>
      <c r="E168" s="561"/>
      <c r="F168" s="576">
        <v>0</v>
      </c>
      <c r="G168" s="468"/>
      <c r="H168" s="468"/>
      <c r="I168" s="468"/>
      <c r="J168" s="468"/>
      <c r="K168" s="468"/>
    </row>
    <row r="169" spans="1:11" ht="12.75" customHeight="1" thickTop="1" thickBot="1" x14ac:dyDescent="0.25">
      <c r="A169" s="1522" t="s">
        <v>366</v>
      </c>
      <c r="B169" s="574">
        <v>3920</v>
      </c>
      <c r="C169" s="566"/>
      <c r="D169" s="578">
        <v>0</v>
      </c>
      <c r="E169" s="468"/>
      <c r="F169" s="566"/>
      <c r="G169" s="468"/>
      <c r="H169" s="530">
        <v>0</v>
      </c>
      <c r="I169" s="468"/>
      <c r="J169" s="468"/>
      <c r="K169" s="468"/>
    </row>
    <row r="170" spans="1:11" ht="12.75" customHeight="1" thickTop="1" thickBot="1" x14ac:dyDescent="0.25">
      <c r="A170" s="1522" t="s">
        <v>367</v>
      </c>
      <c r="B170" s="574">
        <v>3925</v>
      </c>
      <c r="C170" s="521"/>
      <c r="D170" s="576">
        <v>0</v>
      </c>
      <c r="E170" s="521"/>
      <c r="F170" s="521"/>
      <c r="G170" s="468"/>
      <c r="H170" s="531">
        <v>0</v>
      </c>
      <c r="I170" s="468"/>
      <c r="J170" s="468"/>
      <c r="K170" s="530">
        <v>0</v>
      </c>
    </row>
    <row r="171" spans="1:11" ht="14.25" thickTop="1" thickBot="1" x14ac:dyDescent="0.25">
      <c r="A171" s="1522" t="s">
        <v>72</v>
      </c>
      <c r="B171" s="574">
        <v>3999</v>
      </c>
      <c r="C171" s="579">
        <v>0</v>
      </c>
      <c r="D171" s="580">
        <v>0</v>
      </c>
      <c r="E171" s="580">
        <v>0</v>
      </c>
      <c r="F171" s="580">
        <v>0</v>
      </c>
      <c r="G171" s="581">
        <v>0</v>
      </c>
      <c r="H171" s="582">
        <v>0</v>
      </c>
      <c r="I171" s="581">
        <v>0</v>
      </c>
      <c r="J171" s="581">
        <v>0</v>
      </c>
      <c r="K171" s="582">
        <v>0</v>
      </c>
    </row>
    <row r="172" spans="1:11" ht="12.75" customHeight="1" thickTop="1" thickBot="1" x14ac:dyDescent="0.25">
      <c r="A172" s="2160" t="s">
        <v>418</v>
      </c>
      <c r="B172" s="2161"/>
      <c r="C172" s="1744">
        <f t="shared" ref="C172:K172" si="6">SUM(C131,C140,C144,C145:C149,C154,C155:C170,C171)</f>
        <v>212163</v>
      </c>
      <c r="D172" s="1744">
        <f t="shared" si="6"/>
        <v>0</v>
      </c>
      <c r="E172" s="1744">
        <f t="shared" si="6"/>
        <v>0</v>
      </c>
      <c r="F172" s="1744">
        <f t="shared" si="6"/>
        <v>632252</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1606467</v>
      </c>
      <c r="D173" s="1737">
        <f>SUM(D121,D172)</f>
        <v>0</v>
      </c>
      <c r="E173" s="1737">
        <f>SUM(E121,E172)</f>
        <v>0</v>
      </c>
      <c r="F173" s="1737">
        <f t="shared" ref="F173:K173" si="7">SUM(F121,F172)</f>
        <v>632252</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2" t="s">
        <v>1572</v>
      </c>
      <c r="B175" s="2163"/>
      <c r="C175" s="520"/>
      <c r="D175" s="520"/>
      <c r="E175" s="509"/>
      <c r="F175" s="468"/>
      <c r="G175" s="468"/>
      <c r="H175" s="468"/>
      <c r="I175" s="468"/>
      <c r="J175" s="468"/>
      <c r="K175" s="468"/>
    </row>
    <row r="176" spans="1:11" ht="12.6" customHeight="1" x14ac:dyDescent="0.2">
      <c r="A176" s="493" t="s">
        <v>1104</v>
      </c>
      <c r="B176" s="491">
        <v>4001</v>
      </c>
      <c r="C176" s="516">
        <v>0</v>
      </c>
      <c r="D176" s="481">
        <v>0</v>
      </c>
      <c r="E176" s="467">
        <v>0</v>
      </c>
      <c r="F176" s="466">
        <v>0</v>
      </c>
      <c r="G176" s="466">
        <v>0</v>
      </c>
      <c r="H176" s="467">
        <v>0</v>
      </c>
      <c r="I176" s="467">
        <v>0</v>
      </c>
      <c r="J176" s="467">
        <v>0</v>
      </c>
      <c r="K176" s="467">
        <v>0</v>
      </c>
    </row>
    <row r="177" spans="1:11" ht="22.5" x14ac:dyDescent="0.2">
      <c r="A177" s="563" t="s">
        <v>838</v>
      </c>
      <c r="B177" s="583">
        <v>4009</v>
      </c>
      <c r="C177" s="551">
        <v>0</v>
      </c>
      <c r="D177" s="466">
        <v>0</v>
      </c>
      <c r="E177" s="467">
        <v>0</v>
      </c>
      <c r="F177" s="466">
        <v>0</v>
      </c>
      <c r="G177" s="466">
        <v>0</v>
      </c>
      <c r="H177" s="467">
        <v>0</v>
      </c>
      <c r="I177" s="467">
        <v>0</v>
      </c>
      <c r="J177" s="467">
        <v>0</v>
      </c>
      <c r="K177" s="467">
        <v>0</v>
      </c>
    </row>
    <row r="178" spans="1:11" ht="13.5" thickBot="1" x14ac:dyDescent="0.25">
      <c r="A178" s="2166" t="s">
        <v>1764</v>
      </c>
      <c r="B178" s="2167"/>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0" t="s">
        <v>1763</v>
      </c>
      <c r="B179" s="2171"/>
      <c r="C179" s="599"/>
      <c r="D179" s="600"/>
      <c r="E179" s="601"/>
      <c r="F179" s="602"/>
      <c r="G179" s="602"/>
      <c r="H179" s="602"/>
      <c r="I179" s="602"/>
      <c r="J179" s="602"/>
      <c r="K179" s="602"/>
    </row>
    <row r="180" spans="1:11" ht="12.75" customHeight="1" x14ac:dyDescent="0.2">
      <c r="A180" s="463" t="s">
        <v>1105</v>
      </c>
      <c r="B180" s="470">
        <v>4045</v>
      </c>
      <c r="C180" s="551">
        <v>0</v>
      </c>
      <c r="D180" s="468"/>
      <c r="E180" s="561"/>
      <c r="F180" s="468"/>
      <c r="G180" s="468"/>
      <c r="H180" s="468"/>
      <c r="I180" s="468"/>
      <c r="J180" s="468"/>
      <c r="K180" s="468"/>
    </row>
    <row r="181" spans="1:11" ht="12.75" customHeight="1" x14ac:dyDescent="0.2">
      <c r="A181" s="463" t="s">
        <v>1106</v>
      </c>
      <c r="B181" s="470">
        <v>4050</v>
      </c>
      <c r="C181" s="551">
        <v>0</v>
      </c>
      <c r="D181" s="467">
        <v>0</v>
      </c>
      <c r="E181" s="561"/>
      <c r="F181" s="468"/>
      <c r="G181" s="468"/>
      <c r="H181" s="467">
        <v>0</v>
      </c>
      <c r="I181" s="468"/>
      <c r="J181" s="468"/>
      <c r="K181" s="468"/>
    </row>
    <row r="182" spans="1:11" ht="12.75" customHeight="1" x14ac:dyDescent="0.2">
      <c r="A182" s="463" t="s">
        <v>278</v>
      </c>
      <c r="B182" s="470">
        <v>4060</v>
      </c>
      <c r="C182" s="516">
        <v>0</v>
      </c>
      <c r="D182" s="466">
        <v>0</v>
      </c>
      <c r="E182" s="468"/>
      <c r="F182" s="466">
        <v>0</v>
      </c>
      <c r="G182" s="466">
        <v>0</v>
      </c>
      <c r="H182" s="466">
        <v>0</v>
      </c>
      <c r="I182" s="468"/>
      <c r="J182" s="468"/>
      <c r="K182" s="521"/>
    </row>
    <row r="183" spans="1:11" ht="22.5" x14ac:dyDescent="0.2">
      <c r="A183" s="563" t="s">
        <v>819</v>
      </c>
      <c r="B183" s="583">
        <v>4090</v>
      </c>
      <c r="C183" s="551">
        <v>0</v>
      </c>
      <c r="D183" s="466">
        <v>0</v>
      </c>
      <c r="E183" s="468"/>
      <c r="F183" s="466">
        <v>0</v>
      </c>
      <c r="G183" s="466">
        <v>0</v>
      </c>
      <c r="H183" s="466">
        <v>0</v>
      </c>
      <c r="I183" s="468"/>
      <c r="J183" s="468"/>
      <c r="K183" s="466">
        <v>0</v>
      </c>
    </row>
    <row r="184" spans="1:11" ht="13.5" thickBot="1" x14ac:dyDescent="0.25">
      <c r="A184" s="2168" t="s">
        <v>818</v>
      </c>
      <c r="B184" s="2169"/>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4" t="s">
        <v>1906</v>
      </c>
      <c r="B185" s="2165"/>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v>0</v>
      </c>
      <c r="D187" s="481">
        <v>0</v>
      </c>
      <c r="E187" s="561"/>
      <c r="F187" s="481">
        <v>0</v>
      </c>
      <c r="G187" s="481">
        <v>0</v>
      </c>
      <c r="H187" s="468"/>
      <c r="I187" s="468"/>
      <c r="J187" s="468"/>
      <c r="K187" s="468"/>
    </row>
    <row r="188" spans="1:11" ht="12.75" customHeight="1" x14ac:dyDescent="0.2">
      <c r="A188" s="463" t="s">
        <v>1694</v>
      </c>
      <c r="B188" s="470">
        <v>4105</v>
      </c>
      <c r="C188" s="551">
        <v>0</v>
      </c>
      <c r="D188" s="466">
        <v>0</v>
      </c>
      <c r="E188" s="561"/>
      <c r="F188" s="466">
        <v>0</v>
      </c>
      <c r="G188" s="466">
        <v>0</v>
      </c>
      <c r="H188" s="468"/>
      <c r="I188" s="468"/>
      <c r="J188" s="468"/>
      <c r="K188" s="468"/>
    </row>
    <row r="189" spans="1:11" ht="12.75" customHeight="1" x14ac:dyDescent="0.2">
      <c r="A189" s="463" t="s">
        <v>1696</v>
      </c>
      <c r="B189" s="470">
        <v>4107</v>
      </c>
      <c r="C189" s="551">
        <v>0</v>
      </c>
      <c r="D189" s="466">
        <v>0</v>
      </c>
      <c r="E189" s="561"/>
      <c r="F189" s="466">
        <v>0</v>
      </c>
      <c r="G189" s="466">
        <v>0</v>
      </c>
      <c r="H189" s="468"/>
      <c r="I189" s="468"/>
      <c r="J189" s="468"/>
      <c r="K189" s="468"/>
    </row>
    <row r="190" spans="1:11" ht="12.75" customHeight="1" x14ac:dyDescent="0.2">
      <c r="A190" s="463" t="s">
        <v>1695</v>
      </c>
      <c r="B190" s="470">
        <v>4199</v>
      </c>
      <c r="C190" s="551">
        <v>0</v>
      </c>
      <c r="D190" s="466">
        <v>0</v>
      </c>
      <c r="E190" s="561"/>
      <c r="F190" s="466">
        <v>0</v>
      </c>
      <c r="G190" s="466">
        <v>0</v>
      </c>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v>0</v>
      </c>
      <c r="D193" s="468"/>
      <c r="E193" s="561"/>
      <c r="F193" s="553"/>
      <c r="G193" s="585">
        <v>0</v>
      </c>
      <c r="H193" s="468"/>
      <c r="I193" s="468"/>
      <c r="J193" s="468"/>
      <c r="K193" s="468"/>
    </row>
    <row r="194" spans="1:11" ht="12.75" customHeight="1" x14ac:dyDescent="0.2">
      <c r="A194" s="463" t="s">
        <v>1118</v>
      </c>
      <c r="B194" s="470">
        <v>4210</v>
      </c>
      <c r="C194" s="466">
        <v>0</v>
      </c>
      <c r="D194" s="468"/>
      <c r="E194" s="561"/>
      <c r="F194" s="468"/>
      <c r="G194" s="585">
        <v>0</v>
      </c>
      <c r="H194" s="468"/>
      <c r="I194" s="468"/>
      <c r="J194" s="468"/>
      <c r="K194" s="468"/>
    </row>
    <row r="195" spans="1:11" ht="12.75" customHeight="1" x14ac:dyDescent="0.2">
      <c r="A195" s="463" t="s">
        <v>1107</v>
      </c>
      <c r="B195" s="470">
        <v>4215</v>
      </c>
      <c r="C195" s="551">
        <v>0</v>
      </c>
      <c r="D195" s="468"/>
      <c r="E195" s="561"/>
      <c r="F195" s="468"/>
      <c r="G195" s="585">
        <v>0</v>
      </c>
      <c r="H195" s="468"/>
      <c r="I195" s="468"/>
      <c r="J195" s="468"/>
      <c r="K195" s="468"/>
    </row>
    <row r="196" spans="1:11" ht="12.75" customHeight="1" x14ac:dyDescent="0.2">
      <c r="A196" s="463" t="s">
        <v>1119</v>
      </c>
      <c r="B196" s="470">
        <v>4220</v>
      </c>
      <c r="C196" s="551">
        <v>0</v>
      </c>
      <c r="D196" s="468"/>
      <c r="E196" s="561"/>
      <c r="F196" s="468"/>
      <c r="G196" s="585">
        <v>0</v>
      </c>
      <c r="H196" s="468"/>
      <c r="I196" s="468"/>
      <c r="J196" s="468"/>
      <c r="K196" s="468"/>
    </row>
    <row r="197" spans="1:11" ht="12.75" customHeight="1" x14ac:dyDescent="0.2">
      <c r="A197" s="463" t="s">
        <v>1526</v>
      </c>
      <c r="B197" s="470">
        <v>4225</v>
      </c>
      <c r="C197" s="551">
        <v>0</v>
      </c>
      <c r="D197" s="468"/>
      <c r="E197" s="561"/>
      <c r="F197" s="468"/>
      <c r="G197" s="585">
        <v>0</v>
      </c>
      <c r="H197" s="468"/>
      <c r="I197" s="468"/>
      <c r="J197" s="468"/>
      <c r="K197" s="468"/>
    </row>
    <row r="198" spans="1:11" ht="12.75" customHeight="1" x14ac:dyDescent="0.2">
      <c r="A198" s="463" t="s">
        <v>1527</v>
      </c>
      <c r="B198" s="470">
        <v>4226</v>
      </c>
      <c r="C198" s="551">
        <v>0</v>
      </c>
      <c r="D198" s="468"/>
      <c r="E198" s="561"/>
      <c r="F198" s="468"/>
      <c r="G198" s="585">
        <v>0</v>
      </c>
      <c r="H198" s="468"/>
      <c r="I198" s="468"/>
      <c r="J198" s="468"/>
      <c r="K198" s="468"/>
    </row>
    <row r="199" spans="1:11" ht="12.75" customHeight="1" x14ac:dyDescent="0.2">
      <c r="A199" s="463" t="s">
        <v>825</v>
      </c>
      <c r="B199" s="470">
        <v>4240</v>
      </c>
      <c r="C199" s="489">
        <v>0</v>
      </c>
      <c r="D199" s="468"/>
      <c r="E199" s="561"/>
      <c r="F199" s="468"/>
      <c r="G199" s="586"/>
      <c r="H199" s="468"/>
      <c r="I199" s="468"/>
      <c r="J199" s="468"/>
      <c r="K199" s="468"/>
    </row>
    <row r="200" spans="1:11" ht="12.75" customHeight="1" x14ac:dyDescent="0.2">
      <c r="A200" s="463" t="s">
        <v>73</v>
      </c>
      <c r="B200" s="470">
        <v>4299</v>
      </c>
      <c r="C200" s="551">
        <v>0</v>
      </c>
      <c r="D200" s="468"/>
      <c r="E200" s="561"/>
      <c r="F200" s="468"/>
      <c r="G200" s="585">
        <v>0</v>
      </c>
      <c r="H200" s="468"/>
      <c r="I200" s="468"/>
      <c r="J200" s="468"/>
      <c r="K200" s="468"/>
    </row>
    <row r="201" spans="1:11" ht="12.75" customHeight="1" thickBot="1" x14ac:dyDescent="0.25">
      <c r="A201" s="1730" t="s">
        <v>569</v>
      </c>
      <c r="B201" s="1731"/>
      <c r="C201" s="1710">
        <f>SUM(C193:C200)</f>
        <v>0</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0</v>
      </c>
      <c r="D203" s="466">
        <v>0</v>
      </c>
      <c r="E203" s="468"/>
      <c r="F203" s="466">
        <v>0</v>
      </c>
      <c r="G203" s="466">
        <v>0</v>
      </c>
      <c r="H203" s="468"/>
      <c r="I203" s="468"/>
      <c r="J203" s="468"/>
      <c r="K203" s="468"/>
    </row>
    <row r="204" spans="1:11" ht="12.75" customHeight="1" x14ac:dyDescent="0.2">
      <c r="A204" s="463" t="s">
        <v>975</v>
      </c>
      <c r="B204" s="470">
        <v>4305</v>
      </c>
      <c r="C204" s="551">
        <v>0</v>
      </c>
      <c r="D204" s="466">
        <v>0</v>
      </c>
      <c r="E204" s="468"/>
      <c r="F204" s="466">
        <v>0</v>
      </c>
      <c r="G204" s="466">
        <v>0</v>
      </c>
      <c r="H204" s="468"/>
      <c r="I204" s="468"/>
      <c r="J204" s="468"/>
      <c r="K204" s="468"/>
    </row>
    <row r="205" spans="1:11" ht="12.75" customHeight="1" x14ac:dyDescent="0.2">
      <c r="A205" s="463" t="s">
        <v>976</v>
      </c>
      <c r="B205" s="470">
        <v>4332</v>
      </c>
      <c r="C205" s="551">
        <v>0</v>
      </c>
      <c r="D205" s="466">
        <v>0</v>
      </c>
      <c r="E205" s="468"/>
      <c r="F205" s="466">
        <v>0</v>
      </c>
      <c r="G205" s="466">
        <v>0</v>
      </c>
      <c r="H205" s="468"/>
      <c r="I205" s="468"/>
      <c r="J205" s="468"/>
      <c r="K205" s="468"/>
    </row>
    <row r="206" spans="1:11" ht="12.75" customHeight="1" x14ac:dyDescent="0.2">
      <c r="A206" s="463" t="s">
        <v>1089</v>
      </c>
      <c r="B206" s="470">
        <v>4334</v>
      </c>
      <c r="C206" s="551">
        <v>0</v>
      </c>
      <c r="D206" s="466">
        <v>0</v>
      </c>
      <c r="E206" s="468"/>
      <c r="F206" s="466">
        <v>0</v>
      </c>
      <c r="G206" s="466">
        <v>0</v>
      </c>
      <c r="H206" s="468"/>
      <c r="I206" s="468"/>
      <c r="J206" s="468"/>
      <c r="K206" s="468"/>
    </row>
    <row r="207" spans="1:11" ht="12.75" customHeight="1" x14ac:dyDescent="0.2">
      <c r="A207" s="463" t="s">
        <v>1090</v>
      </c>
      <c r="B207" s="470">
        <v>4335</v>
      </c>
      <c r="C207" s="551">
        <v>0</v>
      </c>
      <c r="D207" s="466">
        <v>0</v>
      </c>
      <c r="E207" s="468"/>
      <c r="F207" s="466">
        <v>0</v>
      </c>
      <c r="G207" s="466">
        <v>0</v>
      </c>
      <c r="H207" s="468"/>
      <c r="I207" s="468"/>
      <c r="J207" s="468"/>
      <c r="K207" s="468"/>
    </row>
    <row r="208" spans="1:11" ht="12.75" customHeight="1" x14ac:dyDescent="0.2">
      <c r="A208" s="463" t="s">
        <v>1153</v>
      </c>
      <c r="B208" s="470">
        <v>4337</v>
      </c>
      <c r="C208" s="489">
        <v>0</v>
      </c>
      <c r="D208" s="467">
        <v>0</v>
      </c>
      <c r="E208" s="468"/>
      <c r="F208" s="467">
        <v>0</v>
      </c>
      <c r="G208" s="467">
        <v>0</v>
      </c>
      <c r="H208" s="468"/>
      <c r="I208" s="468"/>
      <c r="J208" s="468"/>
      <c r="K208" s="468"/>
    </row>
    <row r="209" spans="1:11" ht="12.75" customHeight="1" x14ac:dyDescent="0.2">
      <c r="A209" s="463" t="s">
        <v>1091</v>
      </c>
      <c r="B209" s="470">
        <v>4340</v>
      </c>
      <c r="C209" s="551">
        <v>0</v>
      </c>
      <c r="D209" s="466">
        <v>0</v>
      </c>
      <c r="E209" s="468"/>
      <c r="F209" s="466">
        <v>0</v>
      </c>
      <c r="G209" s="466">
        <v>0</v>
      </c>
      <c r="H209" s="468"/>
      <c r="I209" s="468"/>
      <c r="J209" s="468"/>
      <c r="K209" s="468"/>
    </row>
    <row r="210" spans="1:11" ht="12.75" customHeight="1" x14ac:dyDescent="0.2">
      <c r="A210" s="463" t="s">
        <v>74</v>
      </c>
      <c r="B210" s="470">
        <v>4399</v>
      </c>
      <c r="C210" s="551">
        <v>0</v>
      </c>
      <c r="D210" s="466">
        <v>0</v>
      </c>
      <c r="E210" s="468"/>
      <c r="F210" s="466">
        <v>0</v>
      </c>
      <c r="G210" s="466">
        <v>0</v>
      </c>
      <c r="H210" s="468"/>
      <c r="I210" s="468"/>
      <c r="J210" s="468"/>
      <c r="K210" s="468"/>
    </row>
    <row r="211" spans="1:11" ht="12.75" customHeight="1" thickBot="1" x14ac:dyDescent="0.25">
      <c r="A211" s="1730" t="s">
        <v>420</v>
      </c>
      <c r="B211" s="1731"/>
      <c r="C211" s="1729">
        <f>SUM(C203:C210)</f>
        <v>0</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v>10000</v>
      </c>
      <c r="D213" s="466">
        <v>0</v>
      </c>
      <c r="E213" s="468"/>
      <c r="F213" s="466">
        <v>0</v>
      </c>
      <c r="G213" s="466">
        <v>0</v>
      </c>
      <c r="H213" s="468"/>
      <c r="I213" s="468"/>
      <c r="J213" s="468"/>
      <c r="K213" s="468"/>
    </row>
    <row r="214" spans="1:11" ht="12.75" customHeight="1" x14ac:dyDescent="0.2">
      <c r="A214" s="463" t="s">
        <v>1528</v>
      </c>
      <c r="B214" s="470">
        <v>4421</v>
      </c>
      <c r="C214" s="551">
        <v>0</v>
      </c>
      <c r="D214" s="466">
        <v>0</v>
      </c>
      <c r="E214" s="468"/>
      <c r="F214" s="466">
        <v>0</v>
      </c>
      <c r="G214" s="466">
        <v>0</v>
      </c>
      <c r="H214" s="468"/>
      <c r="I214" s="468"/>
      <c r="J214" s="468"/>
      <c r="K214" s="468"/>
    </row>
    <row r="215" spans="1:11" ht="12.75" customHeight="1" x14ac:dyDescent="0.2">
      <c r="A215" s="463" t="s">
        <v>75</v>
      </c>
      <c r="B215" s="470">
        <v>4499</v>
      </c>
      <c r="C215" s="551">
        <v>0</v>
      </c>
      <c r="D215" s="466">
        <v>0</v>
      </c>
      <c r="E215" s="468"/>
      <c r="F215" s="466">
        <v>0</v>
      </c>
      <c r="G215" s="466">
        <v>0</v>
      </c>
      <c r="H215" s="468"/>
      <c r="I215" s="468"/>
      <c r="J215" s="468"/>
      <c r="K215" s="468"/>
    </row>
    <row r="216" spans="1:11" ht="12.75" customHeight="1" thickBot="1" x14ac:dyDescent="0.25">
      <c r="A216" s="1730" t="s">
        <v>944</v>
      </c>
      <c r="B216" s="1731"/>
      <c r="C216" s="1729">
        <f>SUM(C213:C215)</f>
        <v>10000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v>0</v>
      </c>
      <c r="D218" s="466">
        <v>0</v>
      </c>
      <c r="E218" s="468"/>
      <c r="F218" s="466">
        <v>0</v>
      </c>
      <c r="G218" s="466">
        <v>0</v>
      </c>
      <c r="H218" s="468"/>
      <c r="I218" s="468"/>
      <c r="J218" s="468"/>
      <c r="K218" s="468"/>
    </row>
    <row r="219" spans="1:11" ht="12.75" customHeight="1" x14ac:dyDescent="0.2">
      <c r="A219" s="463" t="s">
        <v>1113</v>
      </c>
      <c r="B219" s="470">
        <v>4605</v>
      </c>
      <c r="C219" s="551">
        <v>0</v>
      </c>
      <c r="D219" s="466">
        <v>0</v>
      </c>
      <c r="E219" s="468"/>
      <c r="F219" s="466">
        <v>0</v>
      </c>
      <c r="G219" s="466">
        <v>0</v>
      </c>
      <c r="H219" s="468"/>
      <c r="I219" s="468"/>
      <c r="J219" s="468"/>
      <c r="K219" s="468"/>
    </row>
    <row r="220" spans="1:11" ht="12.75" customHeight="1" x14ac:dyDescent="0.2">
      <c r="A220" s="463" t="s">
        <v>1529</v>
      </c>
      <c r="B220" s="557">
        <v>4620</v>
      </c>
      <c r="C220" s="551">
        <v>118916</v>
      </c>
      <c r="D220" s="466">
        <v>0</v>
      </c>
      <c r="E220" s="468"/>
      <c r="F220" s="466">
        <v>0</v>
      </c>
      <c r="G220" s="466">
        <v>0</v>
      </c>
      <c r="H220" s="468"/>
      <c r="I220" s="468"/>
      <c r="J220" s="468"/>
      <c r="K220" s="468"/>
    </row>
    <row r="221" spans="1:11" ht="12.75" customHeight="1" x14ac:dyDescent="0.2">
      <c r="A221" s="463" t="s">
        <v>1114</v>
      </c>
      <c r="B221" s="470">
        <v>4625</v>
      </c>
      <c r="C221" s="551">
        <v>0</v>
      </c>
      <c r="D221" s="466">
        <v>0</v>
      </c>
      <c r="E221" s="468"/>
      <c r="F221" s="466">
        <v>0</v>
      </c>
      <c r="G221" s="466">
        <v>0</v>
      </c>
      <c r="H221" s="468"/>
      <c r="I221" s="468"/>
      <c r="J221" s="468"/>
      <c r="K221" s="468"/>
    </row>
    <row r="222" spans="1:11" ht="12.75" customHeight="1" x14ac:dyDescent="0.2">
      <c r="A222" s="463" t="s">
        <v>1115</v>
      </c>
      <c r="B222" s="470">
        <v>4630</v>
      </c>
      <c r="C222" s="551">
        <v>0</v>
      </c>
      <c r="D222" s="466">
        <v>0</v>
      </c>
      <c r="E222" s="468"/>
      <c r="F222" s="466">
        <v>0</v>
      </c>
      <c r="G222" s="466">
        <v>0</v>
      </c>
      <c r="H222" s="468"/>
      <c r="I222" s="468"/>
      <c r="J222" s="468"/>
      <c r="K222" s="468"/>
    </row>
    <row r="223" spans="1:11" ht="12.75" customHeight="1" x14ac:dyDescent="0.2">
      <c r="A223" s="1523" t="s">
        <v>76</v>
      </c>
      <c r="B223" s="557">
        <v>4699</v>
      </c>
      <c r="C223" s="551">
        <v>0</v>
      </c>
      <c r="D223" s="466">
        <v>0</v>
      </c>
      <c r="E223" s="468"/>
      <c r="F223" s="466">
        <v>0</v>
      </c>
      <c r="G223" s="466">
        <v>0</v>
      </c>
      <c r="H223" s="468"/>
      <c r="I223" s="468"/>
      <c r="J223" s="468"/>
      <c r="K223" s="468"/>
    </row>
    <row r="224" spans="1:11" ht="12.75" customHeight="1" thickBot="1" x14ac:dyDescent="0.25">
      <c r="A224" s="1730" t="s">
        <v>467</v>
      </c>
      <c r="B224" s="1731"/>
      <c r="C224" s="1729">
        <f>SUM(C218:C223)</f>
        <v>118916</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v>12839</v>
      </c>
      <c r="D226" s="466">
        <v>0</v>
      </c>
      <c r="E226" s="468"/>
      <c r="F226" s="468"/>
      <c r="G226" s="466">
        <v>0</v>
      </c>
      <c r="H226" s="468"/>
      <c r="I226" s="468"/>
      <c r="J226" s="468"/>
      <c r="K226" s="468"/>
    </row>
    <row r="227" spans="1:11" ht="12.75" customHeight="1" x14ac:dyDescent="0.2">
      <c r="A227" s="463" t="s">
        <v>69</v>
      </c>
      <c r="B227" s="470">
        <v>4799</v>
      </c>
      <c r="C227" s="551">
        <v>0</v>
      </c>
      <c r="D227" s="466">
        <v>0</v>
      </c>
      <c r="E227" s="468"/>
      <c r="F227" s="468"/>
      <c r="G227" s="466">
        <v>0</v>
      </c>
      <c r="H227" s="468"/>
      <c r="I227" s="468"/>
      <c r="J227" s="468"/>
      <c r="K227" s="468"/>
    </row>
    <row r="228" spans="1:11" ht="12.75" customHeight="1" thickBot="1" x14ac:dyDescent="0.25">
      <c r="A228" s="1745" t="s">
        <v>1145</v>
      </c>
      <c r="B228" s="1746"/>
      <c r="C228" s="1729">
        <f>SUM(C226:C227)</f>
        <v>12839</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v>0</v>
      </c>
      <c r="D229" s="576">
        <v>0</v>
      </c>
      <c r="E229" s="468"/>
      <c r="F229" s="468"/>
      <c r="G229" s="576">
        <v>0</v>
      </c>
      <c r="H229" s="468"/>
      <c r="I229" s="468"/>
      <c r="J229" s="468"/>
      <c r="K229" s="468"/>
    </row>
    <row r="230" spans="1:11" ht="12.75" customHeight="1" thickTop="1" x14ac:dyDescent="0.2">
      <c r="A230" s="493" t="s">
        <v>368</v>
      </c>
      <c r="B230" s="491">
        <v>4850</v>
      </c>
      <c r="C230" s="489">
        <v>0</v>
      </c>
      <c r="D230" s="467">
        <v>0</v>
      </c>
      <c r="E230" s="467">
        <v>0</v>
      </c>
      <c r="F230" s="467">
        <v>0</v>
      </c>
      <c r="G230" s="467">
        <v>0</v>
      </c>
      <c r="H230" s="467">
        <v>0</v>
      </c>
      <c r="I230" s="468"/>
      <c r="J230" s="467">
        <v>0</v>
      </c>
      <c r="K230" s="467">
        <v>0</v>
      </c>
    </row>
    <row r="231" spans="1:11" ht="12.75" customHeight="1" x14ac:dyDescent="0.2">
      <c r="A231" s="493" t="s">
        <v>369</v>
      </c>
      <c r="B231" s="491">
        <v>4851</v>
      </c>
      <c r="C231" s="489">
        <v>0</v>
      </c>
      <c r="D231" s="467">
        <v>0</v>
      </c>
      <c r="E231" s="468"/>
      <c r="F231" s="474">
        <v>0</v>
      </c>
      <c r="G231" s="467">
        <v>0</v>
      </c>
      <c r="H231" s="468"/>
      <c r="I231" s="468"/>
      <c r="J231" s="468"/>
      <c r="K231" s="468"/>
    </row>
    <row r="232" spans="1:11" ht="12.75" customHeight="1" x14ac:dyDescent="0.2">
      <c r="A232" s="493" t="s">
        <v>370</v>
      </c>
      <c r="B232" s="491">
        <v>4852</v>
      </c>
      <c r="C232" s="489">
        <v>0</v>
      </c>
      <c r="D232" s="467">
        <v>0</v>
      </c>
      <c r="E232" s="467">
        <v>0</v>
      </c>
      <c r="F232" s="467">
        <v>0</v>
      </c>
      <c r="G232" s="467">
        <v>0</v>
      </c>
      <c r="H232" s="467">
        <v>0</v>
      </c>
      <c r="I232" s="468"/>
      <c r="J232" s="467">
        <v>0</v>
      </c>
      <c r="K232" s="467">
        <v>0</v>
      </c>
    </row>
    <row r="233" spans="1:11" ht="12.75" customHeight="1" x14ac:dyDescent="0.2">
      <c r="A233" s="493" t="s">
        <v>371</v>
      </c>
      <c r="B233" s="491">
        <v>4853</v>
      </c>
      <c r="C233" s="489">
        <v>0</v>
      </c>
      <c r="D233" s="467">
        <v>0</v>
      </c>
      <c r="E233" s="467">
        <v>0</v>
      </c>
      <c r="F233" s="467">
        <v>0</v>
      </c>
      <c r="G233" s="467">
        <v>0</v>
      </c>
      <c r="H233" s="467">
        <v>0</v>
      </c>
      <c r="I233" s="468"/>
      <c r="J233" s="467">
        <v>0</v>
      </c>
      <c r="K233" s="467">
        <v>0</v>
      </c>
    </row>
    <row r="234" spans="1:11" ht="12.75" customHeight="1" x14ac:dyDescent="0.2">
      <c r="A234" s="493" t="s">
        <v>372</v>
      </c>
      <c r="B234" s="491">
        <v>4854</v>
      </c>
      <c r="C234" s="489">
        <v>0</v>
      </c>
      <c r="D234" s="467">
        <v>0</v>
      </c>
      <c r="E234" s="467">
        <v>0</v>
      </c>
      <c r="F234" s="467">
        <v>0</v>
      </c>
      <c r="G234" s="467">
        <v>0</v>
      </c>
      <c r="H234" s="467">
        <v>0</v>
      </c>
      <c r="I234" s="468"/>
      <c r="J234" s="467">
        <v>0</v>
      </c>
      <c r="K234" s="467">
        <v>0</v>
      </c>
    </row>
    <row r="235" spans="1:11" ht="12.75" customHeight="1" x14ac:dyDescent="0.2">
      <c r="A235" s="493" t="s">
        <v>484</v>
      </c>
      <c r="B235" s="491">
        <v>4855</v>
      </c>
      <c r="C235" s="489">
        <v>0</v>
      </c>
      <c r="D235" s="467">
        <v>0</v>
      </c>
      <c r="E235" s="467">
        <v>0</v>
      </c>
      <c r="F235" s="467">
        <v>0</v>
      </c>
      <c r="G235" s="467">
        <v>0</v>
      </c>
      <c r="H235" s="467">
        <v>0</v>
      </c>
      <c r="I235" s="468"/>
      <c r="J235" s="467">
        <v>0</v>
      </c>
      <c r="K235" s="467">
        <v>0</v>
      </c>
    </row>
    <row r="236" spans="1:11" ht="12.75" customHeight="1" x14ac:dyDescent="0.2">
      <c r="A236" s="493" t="s">
        <v>373</v>
      </c>
      <c r="B236" s="491">
        <v>4856</v>
      </c>
      <c r="C236" s="489">
        <v>0</v>
      </c>
      <c r="D236" s="467">
        <v>0</v>
      </c>
      <c r="E236" s="467">
        <v>0</v>
      </c>
      <c r="F236" s="467">
        <v>0</v>
      </c>
      <c r="G236" s="467">
        <v>0</v>
      </c>
      <c r="H236" s="467">
        <v>0</v>
      </c>
      <c r="I236" s="468"/>
      <c r="J236" s="467">
        <v>0</v>
      </c>
      <c r="K236" s="467">
        <v>0</v>
      </c>
    </row>
    <row r="237" spans="1:11" ht="12.75" customHeight="1" x14ac:dyDescent="0.2">
      <c r="A237" s="493" t="s">
        <v>374</v>
      </c>
      <c r="B237" s="491">
        <v>4857</v>
      </c>
      <c r="C237" s="489">
        <v>0</v>
      </c>
      <c r="D237" s="467">
        <v>0</v>
      </c>
      <c r="E237" s="467">
        <v>0</v>
      </c>
      <c r="F237" s="467">
        <v>0</v>
      </c>
      <c r="G237" s="467">
        <v>0</v>
      </c>
      <c r="H237" s="467">
        <v>0</v>
      </c>
      <c r="I237" s="468"/>
      <c r="J237" s="467">
        <v>0</v>
      </c>
      <c r="K237" s="467">
        <v>0</v>
      </c>
    </row>
    <row r="238" spans="1:11" ht="12.75" customHeight="1" x14ac:dyDescent="0.2">
      <c r="A238" s="493" t="s">
        <v>375</v>
      </c>
      <c r="B238" s="491">
        <v>4860</v>
      </c>
      <c r="C238" s="489">
        <v>0</v>
      </c>
      <c r="D238" s="467">
        <v>0</v>
      </c>
      <c r="E238" s="467">
        <v>0</v>
      </c>
      <c r="F238" s="467">
        <v>0</v>
      </c>
      <c r="G238" s="467">
        <v>0</v>
      </c>
      <c r="H238" s="467">
        <v>0</v>
      </c>
      <c r="I238" s="468"/>
      <c r="J238" s="467">
        <v>0</v>
      </c>
      <c r="K238" s="467">
        <v>0</v>
      </c>
    </row>
    <row r="239" spans="1:11" ht="12.75" customHeight="1" x14ac:dyDescent="0.2">
      <c r="A239" s="493" t="s">
        <v>376</v>
      </c>
      <c r="B239" s="491">
        <v>4861</v>
      </c>
      <c r="C239" s="489">
        <v>0</v>
      </c>
      <c r="D239" s="467">
        <v>0</v>
      </c>
      <c r="E239" s="467">
        <v>0</v>
      </c>
      <c r="F239" s="467">
        <v>0</v>
      </c>
      <c r="G239" s="467">
        <v>0</v>
      </c>
      <c r="H239" s="467">
        <v>0</v>
      </c>
      <c r="I239" s="468"/>
      <c r="J239" s="467">
        <v>0</v>
      </c>
      <c r="K239" s="467">
        <v>0</v>
      </c>
    </row>
    <row r="240" spans="1:11" ht="12.75" customHeight="1" x14ac:dyDescent="0.2">
      <c r="A240" s="493" t="s">
        <v>377</v>
      </c>
      <c r="B240" s="491">
        <v>4862</v>
      </c>
      <c r="C240" s="489">
        <v>0</v>
      </c>
      <c r="D240" s="467">
        <v>0</v>
      </c>
      <c r="E240" s="475"/>
      <c r="F240" s="467">
        <v>0</v>
      </c>
      <c r="G240" s="467">
        <v>0</v>
      </c>
      <c r="H240" s="475"/>
      <c r="I240" s="468"/>
      <c r="J240" s="475"/>
      <c r="K240" s="475"/>
    </row>
    <row r="241" spans="1:11" ht="12.75" customHeight="1" x14ac:dyDescent="0.2">
      <c r="A241" s="493" t="s">
        <v>378</v>
      </c>
      <c r="B241" s="491">
        <v>4863</v>
      </c>
      <c r="C241" s="489">
        <v>0</v>
      </c>
      <c r="D241" s="467">
        <v>0</v>
      </c>
      <c r="E241" s="468"/>
      <c r="F241" s="475"/>
      <c r="G241" s="526"/>
      <c r="H241" s="468"/>
      <c r="I241" s="468"/>
      <c r="J241" s="468"/>
      <c r="K241" s="468"/>
    </row>
    <row r="242" spans="1:11" ht="12.75" customHeight="1" x14ac:dyDescent="0.2">
      <c r="A242" s="493" t="s">
        <v>489</v>
      </c>
      <c r="B242" s="491">
        <v>4864</v>
      </c>
      <c r="C242" s="489">
        <v>0</v>
      </c>
      <c r="D242" s="467">
        <v>0</v>
      </c>
      <c r="E242" s="467">
        <v>0</v>
      </c>
      <c r="F242" s="467">
        <v>0</v>
      </c>
      <c r="G242" s="467">
        <v>0</v>
      </c>
      <c r="H242" s="467">
        <v>0</v>
      </c>
      <c r="I242" s="468"/>
      <c r="J242" s="467">
        <v>0</v>
      </c>
      <c r="K242" s="467">
        <v>0</v>
      </c>
    </row>
    <row r="243" spans="1:11" ht="12.75" customHeight="1" x14ac:dyDescent="0.2">
      <c r="A243" s="493" t="s">
        <v>490</v>
      </c>
      <c r="B243" s="491">
        <v>4865</v>
      </c>
      <c r="C243" s="489">
        <v>0</v>
      </c>
      <c r="D243" s="467">
        <v>0</v>
      </c>
      <c r="E243" s="467">
        <v>0</v>
      </c>
      <c r="F243" s="467">
        <v>0</v>
      </c>
      <c r="G243" s="467">
        <v>0</v>
      </c>
      <c r="H243" s="467">
        <v>0</v>
      </c>
      <c r="I243" s="468"/>
      <c r="J243" s="467">
        <v>0</v>
      </c>
      <c r="K243" s="467">
        <v>0</v>
      </c>
    </row>
    <row r="244" spans="1:11" ht="12.75" customHeight="1" x14ac:dyDescent="0.2">
      <c r="A244" s="493" t="s">
        <v>488</v>
      </c>
      <c r="B244" s="491">
        <v>4866</v>
      </c>
      <c r="C244" s="489">
        <v>0</v>
      </c>
      <c r="D244" s="467">
        <v>0</v>
      </c>
      <c r="E244" s="467">
        <v>0</v>
      </c>
      <c r="F244" s="467">
        <v>0</v>
      </c>
      <c r="G244" s="467">
        <v>0</v>
      </c>
      <c r="H244" s="467">
        <v>0</v>
      </c>
      <c r="I244" s="468"/>
      <c r="J244" s="467">
        <v>0</v>
      </c>
      <c r="K244" s="467">
        <v>0</v>
      </c>
    </row>
    <row r="245" spans="1:11" ht="12.75" customHeight="1" x14ac:dyDescent="0.2">
      <c r="A245" s="493" t="s">
        <v>487</v>
      </c>
      <c r="B245" s="491">
        <v>4867</v>
      </c>
      <c r="C245" s="489">
        <v>0</v>
      </c>
      <c r="D245" s="467">
        <v>0</v>
      </c>
      <c r="E245" s="467">
        <v>0</v>
      </c>
      <c r="F245" s="467">
        <v>0</v>
      </c>
      <c r="G245" s="467">
        <v>0</v>
      </c>
      <c r="H245" s="467">
        <v>0</v>
      </c>
      <c r="I245" s="468"/>
      <c r="J245" s="467">
        <v>0</v>
      </c>
      <c r="K245" s="467">
        <v>0</v>
      </c>
    </row>
    <row r="246" spans="1:11" ht="12.75" customHeight="1" x14ac:dyDescent="0.2">
      <c r="A246" s="493" t="s">
        <v>486</v>
      </c>
      <c r="B246" s="491">
        <v>4868</v>
      </c>
      <c r="C246" s="489">
        <v>0</v>
      </c>
      <c r="D246" s="467">
        <v>0</v>
      </c>
      <c r="E246" s="467">
        <v>0</v>
      </c>
      <c r="F246" s="467">
        <v>0</v>
      </c>
      <c r="G246" s="467">
        <v>0</v>
      </c>
      <c r="H246" s="467">
        <v>0</v>
      </c>
      <c r="I246" s="468"/>
      <c r="J246" s="467">
        <v>0</v>
      </c>
      <c r="K246" s="467">
        <v>0</v>
      </c>
    </row>
    <row r="247" spans="1:11" ht="12.75" customHeight="1" x14ac:dyDescent="0.2">
      <c r="A247" s="493" t="s">
        <v>485</v>
      </c>
      <c r="B247" s="491">
        <v>4869</v>
      </c>
      <c r="C247" s="489">
        <v>0</v>
      </c>
      <c r="D247" s="467">
        <v>0</v>
      </c>
      <c r="E247" s="467">
        <v>0</v>
      </c>
      <c r="F247" s="467">
        <v>0</v>
      </c>
      <c r="G247" s="467">
        <v>0</v>
      </c>
      <c r="H247" s="467">
        <v>0</v>
      </c>
      <c r="I247" s="468"/>
      <c r="J247" s="467">
        <v>0</v>
      </c>
      <c r="K247" s="467">
        <v>0</v>
      </c>
    </row>
    <row r="248" spans="1:11" ht="12.75" customHeight="1" x14ac:dyDescent="0.2">
      <c r="A248" s="493" t="s">
        <v>1190</v>
      </c>
      <c r="B248" s="491">
        <v>4870</v>
      </c>
      <c r="C248" s="489">
        <v>0</v>
      </c>
      <c r="D248" s="467">
        <v>0</v>
      </c>
      <c r="E248" s="467">
        <v>0</v>
      </c>
      <c r="F248" s="467">
        <v>0</v>
      </c>
      <c r="G248" s="467">
        <v>0</v>
      </c>
      <c r="H248" s="467">
        <v>0</v>
      </c>
      <c r="I248" s="468"/>
      <c r="J248" s="467">
        <v>0</v>
      </c>
      <c r="K248" s="467">
        <v>0</v>
      </c>
    </row>
    <row r="249" spans="1:11" ht="12.75" customHeight="1" x14ac:dyDescent="0.2">
      <c r="A249" s="493" t="s">
        <v>821</v>
      </c>
      <c r="B249" s="491">
        <v>4871</v>
      </c>
      <c r="C249" s="489">
        <v>0</v>
      </c>
      <c r="D249" s="467">
        <v>0</v>
      </c>
      <c r="E249" s="467">
        <v>0</v>
      </c>
      <c r="F249" s="467">
        <v>0</v>
      </c>
      <c r="G249" s="467">
        <v>0</v>
      </c>
      <c r="H249" s="467">
        <v>0</v>
      </c>
      <c r="I249" s="468"/>
      <c r="J249" s="467">
        <v>0</v>
      </c>
      <c r="K249" s="467">
        <v>0</v>
      </c>
    </row>
    <row r="250" spans="1:11" ht="12.75" customHeight="1" x14ac:dyDescent="0.2">
      <c r="A250" s="493" t="s">
        <v>822</v>
      </c>
      <c r="B250" s="491">
        <v>4872</v>
      </c>
      <c r="C250" s="489">
        <v>0</v>
      </c>
      <c r="D250" s="467">
        <v>0</v>
      </c>
      <c r="E250" s="467">
        <v>0</v>
      </c>
      <c r="F250" s="467">
        <v>0</v>
      </c>
      <c r="G250" s="467">
        <v>0</v>
      </c>
      <c r="H250" s="467">
        <v>0</v>
      </c>
      <c r="I250" s="468"/>
      <c r="J250" s="467">
        <v>0</v>
      </c>
      <c r="K250" s="467">
        <v>0</v>
      </c>
    </row>
    <row r="251" spans="1:11" ht="12.75" customHeight="1" x14ac:dyDescent="0.2">
      <c r="A251" s="493" t="s">
        <v>823</v>
      </c>
      <c r="B251" s="491">
        <v>4873</v>
      </c>
      <c r="C251" s="489">
        <v>0</v>
      </c>
      <c r="D251" s="467">
        <v>0</v>
      </c>
      <c r="E251" s="467">
        <v>0</v>
      </c>
      <c r="F251" s="467">
        <v>0</v>
      </c>
      <c r="G251" s="467">
        <v>0</v>
      </c>
      <c r="H251" s="467">
        <v>0</v>
      </c>
      <c r="I251" s="468"/>
      <c r="J251" s="467">
        <v>0</v>
      </c>
      <c r="K251" s="467">
        <v>0</v>
      </c>
    </row>
    <row r="252" spans="1:11" ht="12.75" customHeight="1" x14ac:dyDescent="0.2">
      <c r="A252" s="493" t="s">
        <v>824</v>
      </c>
      <c r="B252" s="491">
        <v>4874</v>
      </c>
      <c r="C252" s="489">
        <v>0</v>
      </c>
      <c r="D252" s="467">
        <v>0</v>
      </c>
      <c r="E252" s="467">
        <v>0</v>
      </c>
      <c r="F252" s="467">
        <v>0</v>
      </c>
      <c r="G252" s="467">
        <v>0</v>
      </c>
      <c r="H252" s="467">
        <v>0</v>
      </c>
      <c r="I252" s="468"/>
      <c r="J252" s="467">
        <v>0</v>
      </c>
      <c r="K252" s="467">
        <v>0</v>
      </c>
    </row>
    <row r="253" spans="1:11" ht="12.75" customHeight="1" x14ac:dyDescent="0.2">
      <c r="A253" s="493" t="s">
        <v>491</v>
      </c>
      <c r="B253" s="491">
        <v>4875</v>
      </c>
      <c r="C253" s="489">
        <v>0</v>
      </c>
      <c r="D253" s="467">
        <v>0</v>
      </c>
      <c r="E253" s="467">
        <v>0</v>
      </c>
      <c r="F253" s="467">
        <v>0</v>
      </c>
      <c r="G253" s="467">
        <v>0</v>
      </c>
      <c r="H253" s="467">
        <v>0</v>
      </c>
      <c r="I253" s="468"/>
      <c r="J253" s="467">
        <v>0</v>
      </c>
      <c r="K253" s="467">
        <v>0</v>
      </c>
    </row>
    <row r="254" spans="1:11" ht="12.75" customHeight="1" x14ac:dyDescent="0.2">
      <c r="A254" s="493" t="s">
        <v>794</v>
      </c>
      <c r="B254" s="491">
        <v>4876</v>
      </c>
      <c r="C254" s="489">
        <v>0</v>
      </c>
      <c r="D254" s="467">
        <v>0</v>
      </c>
      <c r="E254" s="467">
        <v>0</v>
      </c>
      <c r="F254" s="467">
        <v>0</v>
      </c>
      <c r="G254" s="467">
        <v>0</v>
      </c>
      <c r="H254" s="467">
        <v>0</v>
      </c>
      <c r="I254" s="468"/>
      <c r="J254" s="467">
        <v>0</v>
      </c>
      <c r="K254" s="467">
        <v>0</v>
      </c>
    </row>
    <row r="255" spans="1:11" ht="12.75" customHeight="1" x14ac:dyDescent="0.2">
      <c r="A255" s="493" t="s">
        <v>795</v>
      </c>
      <c r="B255" s="491">
        <v>4877</v>
      </c>
      <c r="C255" s="489">
        <v>0</v>
      </c>
      <c r="D255" s="467">
        <v>0</v>
      </c>
      <c r="E255" s="467">
        <v>0</v>
      </c>
      <c r="F255" s="467">
        <v>0</v>
      </c>
      <c r="G255" s="467">
        <v>0</v>
      </c>
      <c r="H255" s="467">
        <v>0</v>
      </c>
      <c r="I255" s="468"/>
      <c r="J255" s="467">
        <v>0</v>
      </c>
      <c r="K255" s="467">
        <v>0</v>
      </c>
    </row>
    <row r="256" spans="1:11" ht="12.75" customHeight="1" x14ac:dyDescent="0.2">
      <c r="A256" s="493" t="s">
        <v>796</v>
      </c>
      <c r="B256" s="491">
        <v>4878</v>
      </c>
      <c r="C256" s="489">
        <v>0</v>
      </c>
      <c r="D256" s="467">
        <v>0</v>
      </c>
      <c r="E256" s="467">
        <v>0</v>
      </c>
      <c r="F256" s="467">
        <v>0</v>
      </c>
      <c r="G256" s="467">
        <v>0</v>
      </c>
      <c r="H256" s="467">
        <v>0</v>
      </c>
      <c r="I256" s="468"/>
      <c r="J256" s="467">
        <v>0</v>
      </c>
      <c r="K256" s="467">
        <v>0</v>
      </c>
    </row>
    <row r="257" spans="1:11" ht="12.75" customHeight="1" x14ac:dyDescent="0.2">
      <c r="A257" s="493" t="s">
        <v>797</v>
      </c>
      <c r="B257" s="491">
        <v>4879</v>
      </c>
      <c r="C257" s="489">
        <v>0</v>
      </c>
      <c r="D257" s="467">
        <v>0</v>
      </c>
      <c r="E257" s="467">
        <v>0</v>
      </c>
      <c r="F257" s="467">
        <v>0</v>
      </c>
      <c r="G257" s="467">
        <v>0</v>
      </c>
      <c r="H257" s="467">
        <v>0</v>
      </c>
      <c r="I257" s="468"/>
      <c r="J257" s="467">
        <v>0</v>
      </c>
      <c r="K257" s="467">
        <v>0</v>
      </c>
    </row>
    <row r="258" spans="1:11" ht="12.75" customHeight="1" x14ac:dyDescent="0.2">
      <c r="A258" s="225" t="s">
        <v>1530</v>
      </c>
      <c r="B258" s="587">
        <v>4880</v>
      </c>
      <c r="C258" s="489">
        <v>0</v>
      </c>
      <c r="D258" s="467">
        <v>0</v>
      </c>
      <c r="E258" s="467">
        <v>0</v>
      </c>
      <c r="F258" s="467">
        <v>0</v>
      </c>
      <c r="G258" s="467">
        <v>0</v>
      </c>
      <c r="H258" s="467">
        <v>0</v>
      </c>
      <c r="I258" s="468"/>
      <c r="J258" s="467">
        <v>0</v>
      </c>
      <c r="K258" s="467">
        <v>0</v>
      </c>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v>0</v>
      </c>
      <c r="D260" s="469"/>
      <c r="E260" s="468"/>
      <c r="F260" s="468"/>
      <c r="G260" s="468"/>
      <c r="H260" s="468"/>
      <c r="I260" s="468"/>
      <c r="J260" s="468"/>
      <c r="K260" s="468"/>
    </row>
    <row r="261" spans="1:11" ht="12.75" customHeight="1" thickTop="1" thickBot="1" x14ac:dyDescent="0.25">
      <c r="A261" s="1525" t="s">
        <v>1538</v>
      </c>
      <c r="B261" s="590">
        <v>4902</v>
      </c>
      <c r="C261" s="591">
        <v>0</v>
      </c>
      <c r="D261" s="592">
        <v>0</v>
      </c>
      <c r="E261" s="469"/>
      <c r="F261" s="592">
        <v>0</v>
      </c>
      <c r="G261" s="592">
        <v>0</v>
      </c>
      <c r="H261" s="469"/>
      <c r="I261" s="468"/>
      <c r="J261" s="469"/>
      <c r="K261" s="469"/>
    </row>
    <row r="262" spans="1:11" ht="12.75" customHeight="1" thickTop="1" thickBot="1" x14ac:dyDescent="0.25">
      <c r="A262" s="493" t="s">
        <v>1146</v>
      </c>
      <c r="B262" s="491">
        <v>4904</v>
      </c>
      <c r="C262" s="593">
        <v>0</v>
      </c>
      <c r="D262" s="591">
        <v>0</v>
      </c>
      <c r="E262" s="469"/>
      <c r="F262" s="553"/>
      <c r="G262" s="591">
        <v>0</v>
      </c>
      <c r="H262" s="469"/>
      <c r="I262" s="468"/>
      <c r="J262" s="468"/>
      <c r="K262" s="468"/>
    </row>
    <row r="263" spans="1:11" ht="12.75" customHeight="1" thickTop="1" thickBot="1" x14ac:dyDescent="0.25">
      <c r="A263" s="463" t="s">
        <v>1531</v>
      </c>
      <c r="B263" s="470">
        <v>4905</v>
      </c>
      <c r="C263" s="573">
        <v>0</v>
      </c>
      <c r="D263" s="468"/>
      <c r="E263" s="468"/>
      <c r="F263" s="578">
        <v>0</v>
      </c>
      <c r="G263" s="573">
        <v>0</v>
      </c>
      <c r="H263" s="468"/>
      <c r="I263" s="468"/>
      <c r="J263" s="468"/>
      <c r="K263" s="468"/>
    </row>
    <row r="264" spans="1:11" ht="12.75" customHeight="1" thickTop="1" thickBot="1" x14ac:dyDescent="0.25">
      <c r="A264" s="463" t="s">
        <v>1532</v>
      </c>
      <c r="B264" s="470">
        <v>4909</v>
      </c>
      <c r="C264" s="576">
        <v>0</v>
      </c>
      <c r="D264" s="468"/>
      <c r="E264" s="468"/>
      <c r="F264" s="576">
        <v>0</v>
      </c>
      <c r="G264" s="576">
        <v>0</v>
      </c>
      <c r="H264" s="468"/>
      <c r="I264" s="468"/>
      <c r="J264" s="468"/>
      <c r="K264" s="468"/>
    </row>
    <row r="265" spans="1:11" ht="12.75" customHeight="1" thickTop="1" thickBot="1" x14ac:dyDescent="0.25">
      <c r="A265" s="463" t="s">
        <v>945</v>
      </c>
      <c r="B265" s="470">
        <v>4910</v>
      </c>
      <c r="C265" s="576">
        <v>0</v>
      </c>
      <c r="D265" s="468"/>
      <c r="E265" s="468"/>
      <c r="F265" s="576">
        <v>0</v>
      </c>
      <c r="G265" s="576">
        <v>0</v>
      </c>
      <c r="H265" s="468"/>
      <c r="I265" s="468"/>
      <c r="J265" s="468"/>
      <c r="K265" s="468"/>
    </row>
    <row r="266" spans="1:11" ht="12.75" customHeight="1" thickTop="1" thickBot="1" x14ac:dyDescent="0.25">
      <c r="A266" s="463" t="s">
        <v>202</v>
      </c>
      <c r="B266" s="470">
        <v>4920</v>
      </c>
      <c r="C266" s="576">
        <v>0</v>
      </c>
      <c r="D266" s="578">
        <v>0</v>
      </c>
      <c r="E266" s="468"/>
      <c r="F266" s="573">
        <v>0</v>
      </c>
      <c r="G266" s="573">
        <v>0</v>
      </c>
      <c r="H266" s="468"/>
      <c r="I266" s="468"/>
      <c r="J266" s="468"/>
      <c r="K266" s="468"/>
    </row>
    <row r="267" spans="1:11" ht="12.75" customHeight="1" thickTop="1" thickBot="1" x14ac:dyDescent="0.25">
      <c r="A267" s="463" t="s">
        <v>441</v>
      </c>
      <c r="B267" s="470">
        <v>4930</v>
      </c>
      <c r="C267" s="576">
        <v>0</v>
      </c>
      <c r="D267" s="576">
        <v>0</v>
      </c>
      <c r="E267" s="468"/>
      <c r="F267" s="576">
        <v>0</v>
      </c>
      <c r="G267" s="576">
        <v>0</v>
      </c>
      <c r="H267" s="468"/>
      <c r="I267" s="468"/>
      <c r="J267" s="468"/>
      <c r="K267" s="468"/>
    </row>
    <row r="268" spans="1:11" ht="12.75" customHeight="1" thickTop="1" thickBot="1" x14ac:dyDescent="0.25">
      <c r="A268" s="463" t="s">
        <v>782</v>
      </c>
      <c r="B268" s="470">
        <v>4932</v>
      </c>
      <c r="C268" s="576">
        <v>9375</v>
      </c>
      <c r="D268" s="576">
        <v>0</v>
      </c>
      <c r="E268" s="468"/>
      <c r="F268" s="576">
        <v>0</v>
      </c>
      <c r="G268" s="576">
        <v>0</v>
      </c>
      <c r="H268" s="468"/>
      <c r="I268" s="468"/>
      <c r="J268" s="468"/>
      <c r="K268" s="468"/>
    </row>
    <row r="269" spans="1:11" ht="12.75" customHeight="1" thickTop="1" thickBot="1" x14ac:dyDescent="0.25">
      <c r="A269" s="463" t="s">
        <v>946</v>
      </c>
      <c r="B269" s="470">
        <v>4960</v>
      </c>
      <c r="C269" s="575">
        <v>0</v>
      </c>
      <c r="D269" s="576">
        <v>0</v>
      </c>
      <c r="E269" s="468"/>
      <c r="F269" s="576">
        <v>0</v>
      </c>
      <c r="G269" s="576">
        <v>0</v>
      </c>
      <c r="H269" s="468"/>
      <c r="I269" s="468"/>
      <c r="J269" s="468"/>
      <c r="K269" s="468"/>
    </row>
    <row r="270" spans="1:11" ht="12.75" customHeight="1" thickTop="1" thickBot="1" x14ac:dyDescent="0.25">
      <c r="A270" s="463" t="s">
        <v>589</v>
      </c>
      <c r="B270" s="470">
        <v>4991</v>
      </c>
      <c r="C270" s="575">
        <v>7795</v>
      </c>
      <c r="D270" s="576">
        <v>0</v>
      </c>
      <c r="E270" s="468"/>
      <c r="F270" s="576">
        <v>0</v>
      </c>
      <c r="G270" s="576">
        <v>0</v>
      </c>
      <c r="H270" s="468"/>
      <c r="I270" s="468"/>
      <c r="J270" s="468"/>
      <c r="K270" s="468"/>
    </row>
    <row r="271" spans="1:11" ht="12.75" customHeight="1" thickTop="1" thickBot="1" x14ac:dyDescent="0.25">
      <c r="A271" s="463" t="s">
        <v>395</v>
      </c>
      <c r="B271" s="470">
        <v>4992</v>
      </c>
      <c r="C271" s="575">
        <v>0</v>
      </c>
      <c r="D271" s="576">
        <v>0</v>
      </c>
      <c r="E271" s="468"/>
      <c r="F271" s="576">
        <v>0</v>
      </c>
      <c r="G271" s="576">
        <v>0</v>
      </c>
      <c r="H271" s="468"/>
      <c r="I271" s="468"/>
      <c r="J271" s="468"/>
      <c r="K271" s="468"/>
    </row>
    <row r="272" spans="1:11" s="594" customFormat="1" ht="12.75" customHeight="1" thickTop="1" thickBot="1" x14ac:dyDescent="0.25">
      <c r="A272" s="563" t="s">
        <v>77</v>
      </c>
      <c r="B272" s="557">
        <v>4999</v>
      </c>
      <c r="C272" s="575">
        <v>0</v>
      </c>
      <c r="D272" s="576">
        <v>0</v>
      </c>
      <c r="E272" s="468"/>
      <c r="F272" s="576">
        <v>0</v>
      </c>
      <c r="G272" s="576">
        <v>0</v>
      </c>
      <c r="H272" s="530">
        <v>0</v>
      </c>
      <c r="I272" s="468"/>
      <c r="J272" s="468"/>
      <c r="K272" s="530">
        <v>0</v>
      </c>
    </row>
    <row r="273" spans="1:11" ht="14.25" thickTop="1" thickBot="1" x14ac:dyDescent="0.25">
      <c r="A273" s="1730" t="s">
        <v>1765</v>
      </c>
      <c r="B273" s="1749"/>
      <c r="C273" s="1737">
        <f t="shared" ref="C273:H273" si="10">SUM(C191,C201,C211,C216,C224,C228,C229,C259:C272)</f>
        <v>158925</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158925</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10398291</v>
      </c>
      <c r="D275" s="1737">
        <f t="shared" si="12"/>
        <v>1595883</v>
      </c>
      <c r="E275" s="1737">
        <f t="shared" si="12"/>
        <v>1722949</v>
      </c>
      <c r="F275" s="1737">
        <f t="shared" si="12"/>
        <v>1742087</v>
      </c>
      <c r="G275" s="1737">
        <f t="shared" si="12"/>
        <v>394120</v>
      </c>
      <c r="H275" s="1737">
        <f t="shared" si="12"/>
        <v>12066</v>
      </c>
      <c r="I275" s="1737">
        <f t="shared" si="12"/>
        <v>166172</v>
      </c>
      <c r="J275" s="1737">
        <f t="shared" si="12"/>
        <v>0</v>
      </c>
      <c r="K275" s="1724">
        <f t="shared" si="12"/>
        <v>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43" footer="0.17"/>
  <pageSetup scale="73"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B050"/>
  </sheetPr>
  <dimension ref="A1:N368"/>
  <sheetViews>
    <sheetView showGridLines="0" defaultGridColor="0" colorId="8" zoomScale="110" zoomScaleNormal="110" workbookViewId="0">
      <pane ySplit="2" topLeftCell="A342" activePane="bottomLeft" state="frozen"/>
      <selection pane="bottomLeft" activeCell="A3" sqref="A3:B3"/>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0"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4"/>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0" t="s">
        <v>315</v>
      </c>
      <c r="B3" s="2181"/>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2772020</v>
      </c>
      <c r="D5" s="466">
        <v>398907</v>
      </c>
      <c r="E5" s="466">
        <v>117809</v>
      </c>
      <c r="F5" s="466">
        <v>188537</v>
      </c>
      <c r="G5" s="466">
        <v>7309</v>
      </c>
      <c r="H5" s="466">
        <v>10374</v>
      </c>
      <c r="I5" s="467">
        <v>9547</v>
      </c>
      <c r="J5" s="467">
        <v>0</v>
      </c>
      <c r="K5" s="1693">
        <f>SUM(C5:J5)</f>
        <v>3504503</v>
      </c>
      <c r="L5" s="466">
        <v>3805000</v>
      </c>
    </row>
    <row r="6" spans="1:14" x14ac:dyDescent="0.2">
      <c r="A6" s="1526" t="s">
        <v>1508</v>
      </c>
      <c r="B6" s="615" t="s">
        <v>1506</v>
      </c>
      <c r="C6" s="477"/>
      <c r="D6" s="477"/>
      <c r="E6" s="466">
        <v>0</v>
      </c>
      <c r="F6" s="477"/>
      <c r="G6" s="477"/>
      <c r="H6" s="477"/>
      <c r="I6" s="477"/>
      <c r="J6" s="477"/>
      <c r="K6" s="1693">
        <f>SUM(C6,E6)</f>
        <v>0</v>
      </c>
      <c r="L6" s="466">
        <v>0</v>
      </c>
    </row>
    <row r="7" spans="1:14" x14ac:dyDescent="0.2">
      <c r="A7" s="1526" t="s">
        <v>165</v>
      </c>
      <c r="B7" s="615" t="s">
        <v>1024</v>
      </c>
      <c r="C7" s="467">
        <v>0</v>
      </c>
      <c r="D7" s="467">
        <v>0</v>
      </c>
      <c r="E7" s="467">
        <v>0</v>
      </c>
      <c r="F7" s="467">
        <v>0</v>
      </c>
      <c r="G7" s="467">
        <v>0</v>
      </c>
      <c r="H7" s="467">
        <v>0</v>
      </c>
      <c r="I7" s="467">
        <v>0</v>
      </c>
      <c r="J7" s="467">
        <v>0</v>
      </c>
      <c r="K7" s="1693">
        <f t="shared" ref="K7:K32" si="0">SUM(C7:J7)</f>
        <v>0</v>
      </c>
      <c r="L7" s="466">
        <v>0</v>
      </c>
    </row>
    <row r="8" spans="1:14" x14ac:dyDescent="0.2">
      <c r="A8" s="1526" t="s">
        <v>166</v>
      </c>
      <c r="B8" s="615">
        <v>1200</v>
      </c>
      <c r="C8" s="466">
        <v>617832</v>
      </c>
      <c r="D8" s="466">
        <v>140692</v>
      </c>
      <c r="E8" s="466">
        <v>97217</v>
      </c>
      <c r="F8" s="466">
        <v>6075</v>
      </c>
      <c r="G8" s="466">
        <v>2127</v>
      </c>
      <c r="H8" s="466">
        <v>1771</v>
      </c>
      <c r="I8" s="467">
        <v>0</v>
      </c>
      <c r="J8" s="467">
        <v>0</v>
      </c>
      <c r="K8" s="1693">
        <f t="shared" si="0"/>
        <v>865714</v>
      </c>
      <c r="L8" s="466">
        <v>881500</v>
      </c>
    </row>
    <row r="9" spans="1:14" x14ac:dyDescent="0.2">
      <c r="A9" s="1526" t="s">
        <v>745</v>
      </c>
      <c r="B9" s="615" t="s">
        <v>1025</v>
      </c>
      <c r="C9" s="467">
        <v>0</v>
      </c>
      <c r="D9" s="467">
        <v>0</v>
      </c>
      <c r="E9" s="467">
        <v>0</v>
      </c>
      <c r="F9" s="467">
        <v>0</v>
      </c>
      <c r="G9" s="467">
        <v>0</v>
      </c>
      <c r="H9" s="467">
        <v>0</v>
      </c>
      <c r="I9" s="467">
        <v>0</v>
      </c>
      <c r="J9" s="467">
        <v>0</v>
      </c>
      <c r="K9" s="1693">
        <f t="shared" si="0"/>
        <v>0</v>
      </c>
      <c r="L9" s="466">
        <v>0</v>
      </c>
    </row>
    <row r="10" spans="1:14" x14ac:dyDescent="0.2">
      <c r="A10" s="1526" t="s">
        <v>746</v>
      </c>
      <c r="B10" s="615">
        <v>1250</v>
      </c>
      <c r="C10" s="466">
        <v>0</v>
      </c>
      <c r="D10" s="466">
        <v>0</v>
      </c>
      <c r="E10" s="466">
        <v>0</v>
      </c>
      <c r="F10" s="466">
        <v>0</v>
      </c>
      <c r="G10" s="466">
        <v>0</v>
      </c>
      <c r="H10" s="466">
        <v>0</v>
      </c>
      <c r="I10" s="467">
        <v>0</v>
      </c>
      <c r="J10" s="467">
        <v>0</v>
      </c>
      <c r="K10" s="1693">
        <f t="shared" si="0"/>
        <v>0</v>
      </c>
      <c r="L10" s="466">
        <v>0</v>
      </c>
    </row>
    <row r="11" spans="1:14" x14ac:dyDescent="0.2">
      <c r="A11" s="1526" t="s">
        <v>1192</v>
      </c>
      <c r="B11" s="615" t="s">
        <v>163</v>
      </c>
      <c r="C11" s="467">
        <v>0</v>
      </c>
      <c r="D11" s="467">
        <v>0</v>
      </c>
      <c r="E11" s="467">
        <v>0</v>
      </c>
      <c r="F11" s="467">
        <v>0</v>
      </c>
      <c r="G11" s="467">
        <v>0</v>
      </c>
      <c r="H11" s="467">
        <v>0</v>
      </c>
      <c r="I11" s="467">
        <v>0</v>
      </c>
      <c r="J11" s="467">
        <v>0</v>
      </c>
      <c r="K11" s="1693">
        <f t="shared" si="0"/>
        <v>0</v>
      </c>
      <c r="L11" s="466">
        <v>0</v>
      </c>
    </row>
    <row r="12" spans="1:14" x14ac:dyDescent="0.2">
      <c r="A12" s="1526" t="s">
        <v>1019</v>
      </c>
      <c r="B12" s="615">
        <v>1300</v>
      </c>
      <c r="C12" s="466">
        <v>0</v>
      </c>
      <c r="D12" s="466">
        <v>0</v>
      </c>
      <c r="E12" s="466">
        <v>0</v>
      </c>
      <c r="F12" s="466">
        <v>0</v>
      </c>
      <c r="G12" s="466">
        <v>0</v>
      </c>
      <c r="H12" s="466">
        <v>0</v>
      </c>
      <c r="I12" s="467">
        <v>0</v>
      </c>
      <c r="J12" s="467">
        <v>0</v>
      </c>
      <c r="K12" s="1693">
        <f t="shared" si="0"/>
        <v>0</v>
      </c>
      <c r="L12" s="466">
        <v>0</v>
      </c>
    </row>
    <row r="13" spans="1:14" x14ac:dyDescent="0.2">
      <c r="A13" s="1526" t="s">
        <v>747</v>
      </c>
      <c r="B13" s="615">
        <v>1400</v>
      </c>
      <c r="C13" s="466">
        <v>0</v>
      </c>
      <c r="D13" s="466">
        <v>0</v>
      </c>
      <c r="E13" s="466">
        <v>0</v>
      </c>
      <c r="F13" s="466">
        <v>0</v>
      </c>
      <c r="G13" s="466">
        <v>0</v>
      </c>
      <c r="H13" s="466">
        <v>0</v>
      </c>
      <c r="I13" s="467">
        <v>0</v>
      </c>
      <c r="J13" s="467">
        <v>0</v>
      </c>
      <c r="K13" s="1693">
        <f t="shared" si="0"/>
        <v>0</v>
      </c>
      <c r="L13" s="466">
        <v>0</v>
      </c>
    </row>
    <row r="14" spans="1:14" x14ac:dyDescent="0.2">
      <c r="A14" s="1526" t="s">
        <v>1020</v>
      </c>
      <c r="B14" s="615">
        <v>1500</v>
      </c>
      <c r="C14" s="466">
        <v>613751</v>
      </c>
      <c r="D14" s="466">
        <v>45254</v>
      </c>
      <c r="E14" s="466">
        <v>76326</v>
      </c>
      <c r="F14" s="466">
        <v>74668</v>
      </c>
      <c r="G14" s="466">
        <v>103315</v>
      </c>
      <c r="H14" s="466">
        <v>7630</v>
      </c>
      <c r="I14" s="467">
        <v>783</v>
      </c>
      <c r="J14" s="467">
        <v>0</v>
      </c>
      <c r="K14" s="1693">
        <f t="shared" si="0"/>
        <v>921727</v>
      </c>
      <c r="L14" s="466">
        <v>827055</v>
      </c>
    </row>
    <row r="15" spans="1:14" x14ac:dyDescent="0.2">
      <c r="A15" s="1526" t="s">
        <v>1021</v>
      </c>
      <c r="B15" s="615">
        <v>1600</v>
      </c>
      <c r="C15" s="466">
        <v>0</v>
      </c>
      <c r="D15" s="466">
        <v>0</v>
      </c>
      <c r="E15" s="466">
        <v>0</v>
      </c>
      <c r="F15" s="466">
        <v>0</v>
      </c>
      <c r="G15" s="466">
        <v>0</v>
      </c>
      <c r="H15" s="466">
        <v>0</v>
      </c>
      <c r="I15" s="467">
        <v>0</v>
      </c>
      <c r="J15" s="467">
        <v>0</v>
      </c>
      <c r="K15" s="1693">
        <f t="shared" si="0"/>
        <v>0</v>
      </c>
      <c r="L15" s="466">
        <v>0</v>
      </c>
    </row>
    <row r="16" spans="1:14" x14ac:dyDescent="0.2">
      <c r="A16" s="1526" t="s">
        <v>1044</v>
      </c>
      <c r="B16" s="615" t="s">
        <v>444</v>
      </c>
      <c r="C16" s="466">
        <v>0</v>
      </c>
      <c r="D16" s="466">
        <v>0</v>
      </c>
      <c r="E16" s="466">
        <v>0</v>
      </c>
      <c r="F16" s="466">
        <v>0</v>
      </c>
      <c r="G16" s="466">
        <v>0</v>
      </c>
      <c r="H16" s="466">
        <v>0</v>
      </c>
      <c r="I16" s="467">
        <v>0</v>
      </c>
      <c r="J16" s="467">
        <v>0</v>
      </c>
      <c r="K16" s="1693">
        <f t="shared" si="0"/>
        <v>0</v>
      </c>
      <c r="L16" s="466">
        <v>0</v>
      </c>
    </row>
    <row r="17" spans="1:12" x14ac:dyDescent="0.2">
      <c r="A17" s="1526" t="s">
        <v>748</v>
      </c>
      <c r="B17" s="615" t="s">
        <v>164</v>
      </c>
      <c r="C17" s="467">
        <v>85694</v>
      </c>
      <c r="D17" s="467">
        <v>11698</v>
      </c>
      <c r="E17" s="467">
        <v>429</v>
      </c>
      <c r="F17" s="467">
        <v>632</v>
      </c>
      <c r="G17" s="467">
        <v>0</v>
      </c>
      <c r="H17" s="467">
        <v>0</v>
      </c>
      <c r="I17" s="467">
        <v>0</v>
      </c>
      <c r="J17" s="467">
        <v>0</v>
      </c>
      <c r="K17" s="1693">
        <f t="shared" si="0"/>
        <v>98453</v>
      </c>
      <c r="L17" s="466">
        <v>147575</v>
      </c>
    </row>
    <row r="18" spans="1:12" x14ac:dyDescent="0.2">
      <c r="A18" s="1526" t="s">
        <v>1148</v>
      </c>
      <c r="B18" s="615">
        <v>1800</v>
      </c>
      <c r="C18" s="466">
        <v>0</v>
      </c>
      <c r="D18" s="466">
        <v>0</v>
      </c>
      <c r="E18" s="466">
        <v>0</v>
      </c>
      <c r="F18" s="466">
        <v>0</v>
      </c>
      <c r="G18" s="466">
        <v>0</v>
      </c>
      <c r="H18" s="466">
        <v>0</v>
      </c>
      <c r="I18" s="467">
        <v>0</v>
      </c>
      <c r="J18" s="467">
        <v>0</v>
      </c>
      <c r="K18" s="1693">
        <f t="shared" si="0"/>
        <v>0</v>
      </c>
      <c r="L18" s="466">
        <v>0</v>
      </c>
    </row>
    <row r="19" spans="1:12" x14ac:dyDescent="0.2">
      <c r="A19" s="1526" t="s">
        <v>136</v>
      </c>
      <c r="B19" s="615">
        <v>1900</v>
      </c>
      <c r="C19" s="466">
        <v>0</v>
      </c>
      <c r="D19" s="466">
        <v>0</v>
      </c>
      <c r="E19" s="466">
        <v>0</v>
      </c>
      <c r="F19" s="466">
        <v>0</v>
      </c>
      <c r="G19" s="466">
        <v>0</v>
      </c>
      <c r="H19" s="466">
        <v>0</v>
      </c>
      <c r="I19" s="467">
        <v>0</v>
      </c>
      <c r="J19" s="467">
        <v>0</v>
      </c>
      <c r="K19" s="1693">
        <f t="shared" si="0"/>
        <v>0</v>
      </c>
      <c r="L19" s="466">
        <v>0</v>
      </c>
    </row>
    <row r="20" spans="1:12" x14ac:dyDescent="0.2">
      <c r="A20" s="1527" t="s">
        <v>762</v>
      </c>
      <c r="B20" s="603" t="s">
        <v>749</v>
      </c>
      <c r="C20" s="477"/>
      <c r="D20" s="477"/>
      <c r="E20" s="477"/>
      <c r="F20" s="477"/>
      <c r="G20" s="477"/>
      <c r="H20" s="474">
        <v>0</v>
      </c>
      <c r="I20" s="617"/>
      <c r="J20" s="475"/>
      <c r="K20" s="1693">
        <f t="shared" si="0"/>
        <v>0</v>
      </c>
      <c r="L20" s="471">
        <v>0</v>
      </c>
    </row>
    <row r="21" spans="1:12" x14ac:dyDescent="0.2">
      <c r="A21" s="1527" t="s">
        <v>763</v>
      </c>
      <c r="B21" s="603" t="s">
        <v>750</v>
      </c>
      <c r="C21" s="477"/>
      <c r="D21" s="477"/>
      <c r="E21" s="477"/>
      <c r="F21" s="477"/>
      <c r="G21" s="477"/>
      <c r="H21" s="474">
        <v>0</v>
      </c>
      <c r="I21" s="617"/>
      <c r="J21" s="477"/>
      <c r="K21" s="1693">
        <f t="shared" si="0"/>
        <v>0</v>
      </c>
      <c r="L21" s="471">
        <v>0</v>
      </c>
    </row>
    <row r="22" spans="1:12" x14ac:dyDescent="0.2">
      <c r="A22" s="1527" t="s">
        <v>764</v>
      </c>
      <c r="B22" s="603" t="s">
        <v>751</v>
      </c>
      <c r="C22" s="477"/>
      <c r="D22" s="477"/>
      <c r="E22" s="477"/>
      <c r="F22" s="477"/>
      <c r="G22" s="477"/>
      <c r="H22" s="474">
        <v>180287</v>
      </c>
      <c r="I22" s="617"/>
      <c r="J22" s="477"/>
      <c r="K22" s="1693">
        <f t="shared" si="0"/>
        <v>180287</v>
      </c>
      <c r="L22" s="471">
        <v>500000</v>
      </c>
    </row>
    <row r="23" spans="1:12" x14ac:dyDescent="0.2">
      <c r="A23" s="1527" t="s">
        <v>765</v>
      </c>
      <c r="B23" s="603" t="s">
        <v>752</v>
      </c>
      <c r="C23" s="477"/>
      <c r="D23" s="477"/>
      <c r="E23" s="477"/>
      <c r="F23" s="477"/>
      <c r="G23" s="477"/>
      <c r="H23" s="474">
        <v>0</v>
      </c>
      <c r="I23" s="617"/>
      <c r="J23" s="477"/>
      <c r="K23" s="1693">
        <f t="shared" si="0"/>
        <v>0</v>
      </c>
      <c r="L23" s="471">
        <v>0</v>
      </c>
    </row>
    <row r="24" spans="1:12" ht="12.75" customHeight="1" x14ac:dyDescent="0.2">
      <c r="A24" s="1527" t="s">
        <v>766</v>
      </c>
      <c r="B24" s="603" t="s">
        <v>753</v>
      </c>
      <c r="C24" s="477"/>
      <c r="D24" s="477"/>
      <c r="E24" s="477"/>
      <c r="F24" s="477"/>
      <c r="G24" s="477"/>
      <c r="H24" s="474">
        <v>0</v>
      </c>
      <c r="I24" s="617"/>
      <c r="J24" s="477"/>
      <c r="K24" s="1693">
        <f t="shared" si="0"/>
        <v>0</v>
      </c>
      <c r="L24" s="471">
        <v>0</v>
      </c>
    </row>
    <row r="25" spans="1:12" ht="12.75" customHeight="1" x14ac:dyDescent="0.2">
      <c r="A25" s="1527" t="s">
        <v>835</v>
      </c>
      <c r="B25" s="603" t="s">
        <v>754</v>
      </c>
      <c r="C25" s="477"/>
      <c r="D25" s="477"/>
      <c r="E25" s="477"/>
      <c r="F25" s="477"/>
      <c r="G25" s="477"/>
      <c r="H25" s="474">
        <v>0</v>
      </c>
      <c r="I25" s="617"/>
      <c r="J25" s="477"/>
      <c r="K25" s="1693">
        <f t="shared" si="0"/>
        <v>0</v>
      </c>
      <c r="L25" s="471">
        <v>0</v>
      </c>
    </row>
    <row r="26" spans="1:12" x14ac:dyDescent="0.2">
      <c r="A26" s="1527" t="s">
        <v>643</v>
      </c>
      <c r="B26" s="603" t="s">
        <v>755</v>
      </c>
      <c r="C26" s="477"/>
      <c r="D26" s="477"/>
      <c r="E26" s="477"/>
      <c r="F26" s="477"/>
      <c r="G26" s="477"/>
      <c r="H26" s="474">
        <v>0</v>
      </c>
      <c r="I26" s="617"/>
      <c r="J26" s="477"/>
      <c r="K26" s="1693">
        <f t="shared" si="0"/>
        <v>0</v>
      </c>
      <c r="L26" s="471">
        <v>0</v>
      </c>
    </row>
    <row r="27" spans="1:12" x14ac:dyDescent="0.2">
      <c r="A27" s="1527" t="s">
        <v>644</v>
      </c>
      <c r="B27" s="603" t="s">
        <v>756</v>
      </c>
      <c r="C27" s="477"/>
      <c r="D27" s="477"/>
      <c r="E27" s="477"/>
      <c r="F27" s="477"/>
      <c r="G27" s="477"/>
      <c r="H27" s="474">
        <v>0</v>
      </c>
      <c r="I27" s="617"/>
      <c r="J27" s="477"/>
      <c r="K27" s="1693">
        <f t="shared" si="0"/>
        <v>0</v>
      </c>
      <c r="L27" s="471">
        <v>0</v>
      </c>
    </row>
    <row r="28" spans="1:12" x14ac:dyDescent="0.2">
      <c r="A28" s="1527" t="s">
        <v>152</v>
      </c>
      <c r="B28" s="603" t="s">
        <v>757</v>
      </c>
      <c r="C28" s="477"/>
      <c r="D28" s="477"/>
      <c r="E28" s="477"/>
      <c r="F28" s="477"/>
      <c r="G28" s="477"/>
      <c r="H28" s="474">
        <v>0</v>
      </c>
      <c r="I28" s="617"/>
      <c r="J28" s="477"/>
      <c r="K28" s="1693">
        <f t="shared" si="0"/>
        <v>0</v>
      </c>
      <c r="L28" s="471">
        <v>0</v>
      </c>
    </row>
    <row r="29" spans="1:12" x14ac:dyDescent="0.2">
      <c r="A29" s="1527" t="s">
        <v>153</v>
      </c>
      <c r="B29" s="603" t="s">
        <v>758</v>
      </c>
      <c r="C29" s="477"/>
      <c r="D29" s="477"/>
      <c r="E29" s="477"/>
      <c r="F29" s="477"/>
      <c r="G29" s="477"/>
      <c r="H29" s="474">
        <v>0</v>
      </c>
      <c r="I29" s="617"/>
      <c r="J29" s="477"/>
      <c r="K29" s="1693">
        <f t="shared" si="0"/>
        <v>0</v>
      </c>
      <c r="L29" s="471">
        <v>0</v>
      </c>
    </row>
    <row r="30" spans="1:12" x14ac:dyDescent="0.2">
      <c r="A30" s="1527" t="s">
        <v>154</v>
      </c>
      <c r="B30" s="603" t="s">
        <v>759</v>
      </c>
      <c r="C30" s="477"/>
      <c r="D30" s="477"/>
      <c r="E30" s="477"/>
      <c r="F30" s="477"/>
      <c r="G30" s="477"/>
      <c r="H30" s="474">
        <v>0</v>
      </c>
      <c r="I30" s="617"/>
      <c r="J30" s="477"/>
      <c r="K30" s="1693">
        <f t="shared" si="0"/>
        <v>0</v>
      </c>
      <c r="L30" s="471">
        <v>0</v>
      </c>
    </row>
    <row r="31" spans="1:12" x14ac:dyDescent="0.2">
      <c r="A31" s="1527" t="s">
        <v>155</v>
      </c>
      <c r="B31" s="603" t="s">
        <v>760</v>
      </c>
      <c r="C31" s="477"/>
      <c r="D31" s="477"/>
      <c r="E31" s="477"/>
      <c r="F31" s="477"/>
      <c r="G31" s="477"/>
      <c r="H31" s="474">
        <v>0</v>
      </c>
      <c r="I31" s="617"/>
      <c r="J31" s="477"/>
      <c r="K31" s="1693">
        <f t="shared" si="0"/>
        <v>0</v>
      </c>
      <c r="L31" s="471">
        <v>0</v>
      </c>
    </row>
    <row r="32" spans="1:12" x14ac:dyDescent="0.2">
      <c r="A32" s="1528" t="s">
        <v>1191</v>
      </c>
      <c r="B32" s="615" t="s">
        <v>761</v>
      </c>
      <c r="C32" s="477"/>
      <c r="D32" s="477"/>
      <c r="E32" s="477"/>
      <c r="F32" s="477"/>
      <c r="G32" s="477"/>
      <c r="H32" s="474">
        <v>0</v>
      </c>
      <c r="I32" s="617"/>
      <c r="J32" s="480"/>
      <c r="K32" s="1693">
        <f t="shared" si="0"/>
        <v>0</v>
      </c>
      <c r="L32" s="471">
        <v>0</v>
      </c>
    </row>
    <row r="33" spans="1:14" ht="12.75" customHeight="1" thickBot="1" x14ac:dyDescent="0.25">
      <c r="A33" s="1690" t="s">
        <v>1767</v>
      </c>
      <c r="B33" s="1691" t="s">
        <v>591</v>
      </c>
      <c r="C33" s="1692">
        <f>SUM(C5:C32)</f>
        <v>4089297</v>
      </c>
      <c r="D33" s="1692">
        <f t="shared" ref="D33:L33" si="1">SUM(D5:D32)</f>
        <v>596551</v>
      </c>
      <c r="E33" s="1692">
        <f t="shared" si="1"/>
        <v>291781</v>
      </c>
      <c r="F33" s="1692">
        <f t="shared" si="1"/>
        <v>269912</v>
      </c>
      <c r="G33" s="1692">
        <f t="shared" si="1"/>
        <v>112751</v>
      </c>
      <c r="H33" s="1692">
        <f t="shared" si="1"/>
        <v>200062</v>
      </c>
      <c r="I33" s="1692">
        <f t="shared" si="1"/>
        <v>10330</v>
      </c>
      <c r="J33" s="1692">
        <f t="shared" si="1"/>
        <v>0</v>
      </c>
      <c r="K33" s="1692">
        <f t="shared" si="1"/>
        <v>5570684</v>
      </c>
      <c r="L33" s="1692">
        <f t="shared" si="1"/>
        <v>6161130</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v>117026</v>
      </c>
      <c r="D36" s="481">
        <v>18688</v>
      </c>
      <c r="E36" s="481">
        <v>1100</v>
      </c>
      <c r="F36" s="481">
        <v>1223</v>
      </c>
      <c r="G36" s="481">
        <v>0</v>
      </c>
      <c r="H36" s="481">
        <v>490</v>
      </c>
      <c r="I36" s="467">
        <v>0</v>
      </c>
      <c r="J36" s="467">
        <v>0</v>
      </c>
      <c r="K36" s="1693">
        <f t="shared" ref="K36:K41" si="2">SUM(C36:J36)</f>
        <v>138527</v>
      </c>
      <c r="L36" s="466">
        <v>164500</v>
      </c>
    </row>
    <row r="37" spans="1:14" x14ac:dyDescent="0.2">
      <c r="A37" s="1526" t="s">
        <v>1151</v>
      </c>
      <c r="B37" s="615">
        <v>2120</v>
      </c>
      <c r="C37" s="466">
        <v>185320</v>
      </c>
      <c r="D37" s="466">
        <v>30372</v>
      </c>
      <c r="E37" s="466">
        <v>2633</v>
      </c>
      <c r="F37" s="466">
        <v>47479</v>
      </c>
      <c r="G37" s="466">
        <v>0</v>
      </c>
      <c r="H37" s="466">
        <v>1054</v>
      </c>
      <c r="I37" s="467">
        <v>0</v>
      </c>
      <c r="J37" s="467">
        <v>0</v>
      </c>
      <c r="K37" s="1693">
        <f t="shared" si="2"/>
        <v>266858</v>
      </c>
      <c r="L37" s="466">
        <v>262700</v>
      </c>
    </row>
    <row r="38" spans="1:14" x14ac:dyDescent="0.2">
      <c r="A38" s="1526" t="s">
        <v>207</v>
      </c>
      <c r="B38" s="615">
        <v>2130</v>
      </c>
      <c r="C38" s="466">
        <v>42325</v>
      </c>
      <c r="D38" s="466">
        <v>9318</v>
      </c>
      <c r="E38" s="466">
        <v>205</v>
      </c>
      <c r="F38" s="466">
        <v>1472</v>
      </c>
      <c r="G38" s="466">
        <v>0</v>
      </c>
      <c r="H38" s="466">
        <v>0</v>
      </c>
      <c r="I38" s="467">
        <v>0</v>
      </c>
      <c r="J38" s="467">
        <v>0</v>
      </c>
      <c r="K38" s="1693">
        <f t="shared" si="2"/>
        <v>53320</v>
      </c>
      <c r="L38" s="466">
        <v>54950</v>
      </c>
    </row>
    <row r="39" spans="1:14" x14ac:dyDescent="0.2">
      <c r="A39" s="1526" t="s">
        <v>208</v>
      </c>
      <c r="B39" s="615">
        <v>2140</v>
      </c>
      <c r="C39" s="466">
        <v>44999</v>
      </c>
      <c r="D39" s="466">
        <v>8681</v>
      </c>
      <c r="E39" s="466">
        <v>47897</v>
      </c>
      <c r="F39" s="466">
        <v>0</v>
      </c>
      <c r="G39" s="466">
        <v>0</v>
      </c>
      <c r="H39" s="466">
        <v>0</v>
      </c>
      <c r="I39" s="467">
        <v>0</v>
      </c>
      <c r="J39" s="467">
        <v>0</v>
      </c>
      <c r="K39" s="1693">
        <f t="shared" si="2"/>
        <v>101577</v>
      </c>
      <c r="L39" s="466">
        <v>328500</v>
      </c>
    </row>
    <row r="40" spans="1:14" x14ac:dyDescent="0.2">
      <c r="A40" s="1526" t="s">
        <v>209</v>
      </c>
      <c r="B40" s="615">
        <v>2150</v>
      </c>
      <c r="C40" s="466">
        <v>0</v>
      </c>
      <c r="D40" s="466">
        <v>0</v>
      </c>
      <c r="E40" s="466">
        <v>0</v>
      </c>
      <c r="F40" s="466">
        <v>0</v>
      </c>
      <c r="G40" s="466">
        <v>0</v>
      </c>
      <c r="H40" s="466">
        <v>0</v>
      </c>
      <c r="I40" s="467">
        <v>0</v>
      </c>
      <c r="J40" s="467">
        <v>0</v>
      </c>
      <c r="K40" s="1693">
        <f t="shared" si="2"/>
        <v>0</v>
      </c>
      <c r="L40" s="466">
        <v>0</v>
      </c>
    </row>
    <row r="41" spans="1:14" x14ac:dyDescent="0.2">
      <c r="A41" s="1526" t="s">
        <v>1768</v>
      </c>
      <c r="B41" s="615">
        <v>2190</v>
      </c>
      <c r="C41" s="466">
        <v>0</v>
      </c>
      <c r="D41" s="466">
        <v>0</v>
      </c>
      <c r="E41" s="466">
        <v>0</v>
      </c>
      <c r="F41" s="466">
        <v>0</v>
      </c>
      <c r="G41" s="466">
        <v>0</v>
      </c>
      <c r="H41" s="466">
        <v>0</v>
      </c>
      <c r="I41" s="467">
        <v>0</v>
      </c>
      <c r="J41" s="467">
        <v>0</v>
      </c>
      <c r="K41" s="1693">
        <f t="shared" si="2"/>
        <v>0</v>
      </c>
      <c r="L41" s="466">
        <v>0</v>
      </c>
    </row>
    <row r="42" spans="1:14" ht="12.75" customHeight="1" thickBot="1" x14ac:dyDescent="0.25">
      <c r="A42" s="1690" t="s">
        <v>581</v>
      </c>
      <c r="B42" s="1691" t="s">
        <v>740</v>
      </c>
      <c r="C42" s="1692">
        <f>SUM(C36:C41)</f>
        <v>389670</v>
      </c>
      <c r="D42" s="1692">
        <f t="shared" ref="D42:L42" si="3">SUM(D36:D41)</f>
        <v>67059</v>
      </c>
      <c r="E42" s="1692">
        <f t="shared" si="3"/>
        <v>51835</v>
      </c>
      <c r="F42" s="1692">
        <f t="shared" si="3"/>
        <v>50174</v>
      </c>
      <c r="G42" s="1692">
        <f t="shared" si="3"/>
        <v>0</v>
      </c>
      <c r="H42" s="1692">
        <f t="shared" si="3"/>
        <v>1544</v>
      </c>
      <c r="I42" s="1692">
        <f t="shared" si="3"/>
        <v>0</v>
      </c>
      <c r="J42" s="1692">
        <f t="shared" si="3"/>
        <v>0</v>
      </c>
      <c r="K42" s="1692">
        <f t="shared" si="3"/>
        <v>560282</v>
      </c>
      <c r="L42" s="1692">
        <f t="shared" si="3"/>
        <v>810650</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3425</v>
      </c>
      <c r="D44" s="481">
        <v>50</v>
      </c>
      <c r="E44" s="481">
        <v>35476</v>
      </c>
      <c r="F44" s="481">
        <v>0</v>
      </c>
      <c r="G44" s="481">
        <v>0</v>
      </c>
      <c r="H44" s="481">
        <v>28744</v>
      </c>
      <c r="I44" s="467">
        <v>0</v>
      </c>
      <c r="J44" s="467">
        <v>0</v>
      </c>
      <c r="K44" s="1694">
        <f>SUM(C44:J44)</f>
        <v>67695</v>
      </c>
      <c r="L44" s="481">
        <v>90150</v>
      </c>
    </row>
    <row r="45" spans="1:14" x14ac:dyDescent="0.2">
      <c r="A45" s="1526" t="s">
        <v>869</v>
      </c>
      <c r="B45" s="615">
        <v>2220</v>
      </c>
      <c r="C45" s="466">
        <v>99303</v>
      </c>
      <c r="D45" s="466">
        <v>18800</v>
      </c>
      <c r="E45" s="466">
        <v>15876</v>
      </c>
      <c r="F45" s="466">
        <v>28251</v>
      </c>
      <c r="G45" s="466">
        <v>0</v>
      </c>
      <c r="H45" s="466">
        <v>1272</v>
      </c>
      <c r="I45" s="467">
        <v>4925</v>
      </c>
      <c r="J45" s="467">
        <v>0</v>
      </c>
      <c r="K45" s="1694">
        <f>SUM(C45:J45)</f>
        <v>168427</v>
      </c>
      <c r="L45" s="466">
        <v>175095</v>
      </c>
    </row>
    <row r="46" spans="1:14" x14ac:dyDescent="0.2">
      <c r="A46" s="1526" t="s">
        <v>870</v>
      </c>
      <c r="B46" s="615">
        <v>2230</v>
      </c>
      <c r="C46" s="466">
        <v>0</v>
      </c>
      <c r="D46" s="466">
        <v>0</v>
      </c>
      <c r="E46" s="466">
        <v>0</v>
      </c>
      <c r="F46" s="466">
        <v>0</v>
      </c>
      <c r="G46" s="466">
        <v>0</v>
      </c>
      <c r="H46" s="466">
        <v>0</v>
      </c>
      <c r="I46" s="467">
        <v>0</v>
      </c>
      <c r="J46" s="467">
        <v>0</v>
      </c>
      <c r="K46" s="1694">
        <f>SUM(C46:J46)</f>
        <v>0</v>
      </c>
      <c r="L46" s="466">
        <v>0</v>
      </c>
    </row>
    <row r="47" spans="1:14" ht="12.75" customHeight="1" thickBot="1" x14ac:dyDescent="0.25">
      <c r="A47" s="1690" t="s">
        <v>582</v>
      </c>
      <c r="B47" s="1691" t="s">
        <v>32</v>
      </c>
      <c r="C47" s="1692">
        <f>SUM(C44:C46)</f>
        <v>102728</v>
      </c>
      <c r="D47" s="1692">
        <f t="shared" ref="D47:K47" si="4">SUM(D44:D46)</f>
        <v>18850</v>
      </c>
      <c r="E47" s="1692">
        <f t="shared" si="4"/>
        <v>51352</v>
      </c>
      <c r="F47" s="1692">
        <f t="shared" si="4"/>
        <v>28251</v>
      </c>
      <c r="G47" s="1692">
        <f t="shared" si="4"/>
        <v>0</v>
      </c>
      <c r="H47" s="1692">
        <f t="shared" si="4"/>
        <v>30016</v>
      </c>
      <c r="I47" s="1692">
        <f t="shared" si="4"/>
        <v>4925</v>
      </c>
      <c r="J47" s="1692">
        <f t="shared" si="4"/>
        <v>0</v>
      </c>
      <c r="K47" s="1692">
        <f t="shared" si="4"/>
        <v>236122</v>
      </c>
      <c r="L47" s="1692">
        <f>SUM(L44:L46)</f>
        <v>265245</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0</v>
      </c>
      <c r="D49" s="481">
        <v>0</v>
      </c>
      <c r="E49" s="481">
        <v>553742</v>
      </c>
      <c r="F49" s="481">
        <v>14218</v>
      </c>
      <c r="G49" s="481">
        <v>0</v>
      </c>
      <c r="H49" s="481">
        <v>43838</v>
      </c>
      <c r="I49" s="467">
        <v>0</v>
      </c>
      <c r="J49" s="467">
        <v>0</v>
      </c>
      <c r="K49" s="1694">
        <f>SUM(C49:J49)</f>
        <v>611798</v>
      </c>
      <c r="L49" s="481">
        <v>396000</v>
      </c>
    </row>
    <row r="50" spans="1:14" x14ac:dyDescent="0.2">
      <c r="A50" s="1526" t="s">
        <v>872</v>
      </c>
      <c r="B50" s="615">
        <v>2320</v>
      </c>
      <c r="C50" s="466">
        <v>68936</v>
      </c>
      <c r="D50" s="466">
        <v>22893</v>
      </c>
      <c r="E50" s="466">
        <v>30409</v>
      </c>
      <c r="F50" s="466">
        <v>754</v>
      </c>
      <c r="G50" s="466">
        <v>0</v>
      </c>
      <c r="H50" s="466">
        <v>1362</v>
      </c>
      <c r="I50" s="467">
        <v>0</v>
      </c>
      <c r="J50" s="467">
        <v>0</v>
      </c>
      <c r="K50" s="1694">
        <f>SUM(C50:J50)</f>
        <v>124354</v>
      </c>
      <c r="L50" s="466">
        <v>168500</v>
      </c>
    </row>
    <row r="51" spans="1:14" x14ac:dyDescent="0.2">
      <c r="A51" s="1526" t="s">
        <v>44</v>
      </c>
      <c r="B51" s="615">
        <v>2330</v>
      </c>
      <c r="C51" s="466">
        <v>0</v>
      </c>
      <c r="D51" s="466">
        <v>0</v>
      </c>
      <c r="E51" s="466">
        <v>0</v>
      </c>
      <c r="F51" s="466">
        <v>0</v>
      </c>
      <c r="G51" s="466">
        <v>0</v>
      </c>
      <c r="H51" s="466">
        <v>0</v>
      </c>
      <c r="I51" s="467">
        <v>0</v>
      </c>
      <c r="J51" s="467">
        <v>0</v>
      </c>
      <c r="K51" s="1694">
        <f>SUM(C51:J51)</f>
        <v>0</v>
      </c>
      <c r="L51" s="466">
        <v>0</v>
      </c>
    </row>
    <row r="52" spans="1:14" ht="22.5" x14ac:dyDescent="0.2">
      <c r="A52" s="1527" t="s">
        <v>316</v>
      </c>
      <c r="B52" s="628" t="s">
        <v>384</v>
      </c>
      <c r="C52" s="474">
        <v>0</v>
      </c>
      <c r="D52" s="474">
        <v>0</v>
      </c>
      <c r="E52" s="474">
        <v>682</v>
      </c>
      <c r="F52" s="474">
        <v>0</v>
      </c>
      <c r="G52" s="474">
        <v>0</v>
      </c>
      <c r="H52" s="474">
        <v>0</v>
      </c>
      <c r="I52" s="474">
        <v>0</v>
      </c>
      <c r="J52" s="474">
        <v>0</v>
      </c>
      <c r="K52" s="1694">
        <f>SUM(C52:J52)</f>
        <v>682</v>
      </c>
      <c r="L52" s="474">
        <v>0</v>
      </c>
    </row>
    <row r="53" spans="1:14" ht="12.75" customHeight="1" thickBot="1" x14ac:dyDescent="0.25">
      <c r="A53" s="1690" t="s">
        <v>741</v>
      </c>
      <c r="B53" s="1691" t="s">
        <v>33</v>
      </c>
      <c r="C53" s="1692">
        <f>SUM(C49:C52)</f>
        <v>68936</v>
      </c>
      <c r="D53" s="1692">
        <f t="shared" ref="D53:L53" si="5">SUM(D49:D52)</f>
        <v>22893</v>
      </c>
      <c r="E53" s="1692">
        <f t="shared" si="5"/>
        <v>584833</v>
      </c>
      <c r="F53" s="1692">
        <f t="shared" si="5"/>
        <v>14972</v>
      </c>
      <c r="G53" s="1692">
        <f t="shared" si="5"/>
        <v>0</v>
      </c>
      <c r="H53" s="1692">
        <f t="shared" si="5"/>
        <v>45200</v>
      </c>
      <c r="I53" s="1692">
        <f t="shared" si="5"/>
        <v>0</v>
      </c>
      <c r="J53" s="1692">
        <f t="shared" si="5"/>
        <v>0</v>
      </c>
      <c r="K53" s="1692">
        <f t="shared" si="5"/>
        <v>736834</v>
      </c>
      <c r="L53" s="1692">
        <f t="shared" si="5"/>
        <v>564500</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384749</v>
      </c>
      <c r="D55" s="481">
        <v>85743</v>
      </c>
      <c r="E55" s="481">
        <v>5455</v>
      </c>
      <c r="F55" s="481">
        <v>25122</v>
      </c>
      <c r="G55" s="481">
        <v>0</v>
      </c>
      <c r="H55" s="481">
        <v>1679</v>
      </c>
      <c r="I55" s="467">
        <v>0</v>
      </c>
      <c r="J55" s="467">
        <v>0</v>
      </c>
      <c r="K55" s="1694">
        <f>SUM(C55:J55)</f>
        <v>502748</v>
      </c>
      <c r="L55" s="481">
        <v>459000</v>
      </c>
    </row>
    <row r="56" spans="1:14" ht="12.75" customHeight="1" x14ac:dyDescent="0.2">
      <c r="A56" s="1530" t="s">
        <v>394</v>
      </c>
      <c r="B56" s="629">
        <v>2490</v>
      </c>
      <c r="C56" s="466">
        <v>0</v>
      </c>
      <c r="D56" s="466">
        <v>0</v>
      </c>
      <c r="E56" s="466">
        <v>0</v>
      </c>
      <c r="F56" s="466">
        <v>0</v>
      </c>
      <c r="G56" s="466">
        <v>0</v>
      </c>
      <c r="H56" s="466">
        <v>0</v>
      </c>
      <c r="I56" s="467">
        <v>0</v>
      </c>
      <c r="J56" s="467">
        <v>0</v>
      </c>
      <c r="K56" s="1694">
        <f>SUM(C56:J56)</f>
        <v>0</v>
      </c>
      <c r="L56" s="466">
        <v>0</v>
      </c>
    </row>
    <row r="57" spans="1:14" s="343" customFormat="1" ht="12.75" customHeight="1" thickBot="1" x14ac:dyDescent="0.25">
      <c r="A57" s="1690" t="s">
        <v>281</v>
      </c>
      <c r="B57" s="1695" t="s">
        <v>34</v>
      </c>
      <c r="C57" s="1696">
        <f>SUM(C55:C56)</f>
        <v>384749</v>
      </c>
      <c r="D57" s="1696">
        <f t="shared" ref="D57:K57" si="6">SUM(D55:D56)</f>
        <v>85743</v>
      </c>
      <c r="E57" s="1696">
        <f t="shared" si="6"/>
        <v>5455</v>
      </c>
      <c r="F57" s="1696">
        <f t="shared" si="6"/>
        <v>25122</v>
      </c>
      <c r="G57" s="1696">
        <f t="shared" si="6"/>
        <v>0</v>
      </c>
      <c r="H57" s="1696">
        <f t="shared" si="6"/>
        <v>1679</v>
      </c>
      <c r="I57" s="1696">
        <f t="shared" si="6"/>
        <v>0</v>
      </c>
      <c r="J57" s="1696">
        <f t="shared" si="6"/>
        <v>0</v>
      </c>
      <c r="K57" s="1696">
        <f t="shared" si="6"/>
        <v>502748</v>
      </c>
      <c r="L57" s="1692">
        <f>SUM(L55:L56)</f>
        <v>459000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v>40459</v>
      </c>
      <c r="D59" s="481">
        <v>1731</v>
      </c>
      <c r="E59" s="481">
        <v>385</v>
      </c>
      <c r="F59" s="481">
        <v>0</v>
      </c>
      <c r="G59" s="481">
        <v>0</v>
      </c>
      <c r="H59" s="481">
        <v>199</v>
      </c>
      <c r="I59" s="467">
        <v>0</v>
      </c>
      <c r="J59" s="467">
        <v>0</v>
      </c>
      <c r="K59" s="1694">
        <f t="shared" ref="K59:K64" si="7">SUM(C59:J59)</f>
        <v>42774</v>
      </c>
      <c r="L59" s="481">
        <v>47000</v>
      </c>
      <c r="M59" s="610"/>
      <c r="N59" s="610"/>
    </row>
    <row r="60" spans="1:14" s="343" customFormat="1" x14ac:dyDescent="0.2">
      <c r="A60" s="1526" t="s">
        <v>483</v>
      </c>
      <c r="B60" s="615">
        <v>2520</v>
      </c>
      <c r="C60" s="466">
        <v>12067</v>
      </c>
      <c r="D60" s="466">
        <v>3386</v>
      </c>
      <c r="E60" s="466">
        <v>59706</v>
      </c>
      <c r="F60" s="466">
        <v>334</v>
      </c>
      <c r="G60" s="466">
        <v>0</v>
      </c>
      <c r="H60" s="466">
        <v>806</v>
      </c>
      <c r="I60" s="467">
        <v>0</v>
      </c>
      <c r="J60" s="467">
        <v>0</v>
      </c>
      <c r="K60" s="1694">
        <f t="shared" si="7"/>
        <v>76299</v>
      </c>
      <c r="L60" s="466">
        <v>141000</v>
      </c>
      <c r="M60" s="610"/>
      <c r="N60" s="610"/>
    </row>
    <row r="61" spans="1:14" s="343" customFormat="1" x14ac:dyDescent="0.2">
      <c r="A61" s="1526" t="s">
        <v>206</v>
      </c>
      <c r="B61" s="615">
        <v>2540</v>
      </c>
      <c r="C61" s="466">
        <v>0</v>
      </c>
      <c r="D61" s="466">
        <v>0</v>
      </c>
      <c r="E61" s="466">
        <v>54862</v>
      </c>
      <c r="F61" s="466">
        <v>0</v>
      </c>
      <c r="G61" s="466">
        <v>0</v>
      </c>
      <c r="H61" s="466">
        <v>0</v>
      </c>
      <c r="I61" s="467">
        <v>0</v>
      </c>
      <c r="J61" s="467">
        <v>0</v>
      </c>
      <c r="K61" s="1694">
        <f t="shared" si="7"/>
        <v>54862</v>
      </c>
      <c r="L61" s="466">
        <v>41500</v>
      </c>
      <c r="M61" s="610"/>
      <c r="N61" s="610"/>
    </row>
    <row r="62" spans="1:14" s="343" customFormat="1" x14ac:dyDescent="0.2">
      <c r="A62" s="1526" t="s">
        <v>1010</v>
      </c>
      <c r="B62" s="615">
        <v>2550</v>
      </c>
      <c r="C62" s="466">
        <v>0</v>
      </c>
      <c r="D62" s="466">
        <v>0</v>
      </c>
      <c r="E62" s="466">
        <v>0</v>
      </c>
      <c r="F62" s="466">
        <v>0</v>
      </c>
      <c r="G62" s="466">
        <v>0</v>
      </c>
      <c r="H62" s="466">
        <v>0</v>
      </c>
      <c r="I62" s="467">
        <v>0</v>
      </c>
      <c r="J62" s="467">
        <v>0</v>
      </c>
      <c r="K62" s="1694">
        <f t="shared" si="7"/>
        <v>0</v>
      </c>
      <c r="L62" s="466">
        <v>0</v>
      </c>
      <c r="M62" s="610"/>
      <c r="N62" s="610"/>
    </row>
    <row r="63" spans="1:14" s="610" customFormat="1" x14ac:dyDescent="0.2">
      <c r="A63" s="1526" t="s">
        <v>102</v>
      </c>
      <c r="B63" s="615">
        <v>2560</v>
      </c>
      <c r="C63" s="466">
        <v>17653</v>
      </c>
      <c r="D63" s="466">
        <v>9284</v>
      </c>
      <c r="E63" s="466">
        <v>209580</v>
      </c>
      <c r="F63" s="466">
        <v>704</v>
      </c>
      <c r="G63" s="466">
        <v>0</v>
      </c>
      <c r="H63" s="466">
        <v>0</v>
      </c>
      <c r="I63" s="467">
        <v>0</v>
      </c>
      <c r="J63" s="467">
        <v>0</v>
      </c>
      <c r="K63" s="1694">
        <f t="shared" si="7"/>
        <v>237221</v>
      </c>
      <c r="L63" s="466">
        <v>293750</v>
      </c>
    </row>
    <row r="64" spans="1:14" s="610" customFormat="1" x14ac:dyDescent="0.2">
      <c r="A64" s="1531" t="s">
        <v>103</v>
      </c>
      <c r="B64" s="631">
        <v>2570</v>
      </c>
      <c r="C64" s="481">
        <v>0</v>
      </c>
      <c r="D64" s="481">
        <v>0</v>
      </c>
      <c r="E64" s="481">
        <v>0</v>
      </c>
      <c r="F64" s="481">
        <v>0</v>
      </c>
      <c r="G64" s="481">
        <v>0</v>
      </c>
      <c r="H64" s="481">
        <v>0</v>
      </c>
      <c r="I64" s="467">
        <v>0</v>
      </c>
      <c r="J64" s="467">
        <v>0</v>
      </c>
      <c r="K64" s="1694">
        <f t="shared" si="7"/>
        <v>0</v>
      </c>
      <c r="L64" s="481">
        <v>0</v>
      </c>
    </row>
    <row r="65" spans="1:14" s="343" customFormat="1" ht="12.75" customHeight="1" thickBot="1" x14ac:dyDescent="0.25">
      <c r="A65" s="1690" t="s">
        <v>743</v>
      </c>
      <c r="B65" s="1691" t="s">
        <v>35</v>
      </c>
      <c r="C65" s="1692">
        <f>SUM(C59:C64)</f>
        <v>70179</v>
      </c>
      <c r="D65" s="1692">
        <f t="shared" ref="D65:L65" si="8">SUM(D59:D64)</f>
        <v>14401</v>
      </c>
      <c r="E65" s="1692">
        <f t="shared" si="8"/>
        <v>324533</v>
      </c>
      <c r="F65" s="1692">
        <f t="shared" si="8"/>
        <v>1038</v>
      </c>
      <c r="G65" s="1692">
        <f t="shared" si="8"/>
        <v>0</v>
      </c>
      <c r="H65" s="1692">
        <f t="shared" si="8"/>
        <v>1005</v>
      </c>
      <c r="I65" s="1692">
        <f t="shared" si="8"/>
        <v>0</v>
      </c>
      <c r="J65" s="1692">
        <f t="shared" si="8"/>
        <v>0</v>
      </c>
      <c r="K65" s="1692">
        <f t="shared" si="8"/>
        <v>411156</v>
      </c>
      <c r="L65" s="1692">
        <f t="shared" si="8"/>
        <v>523250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v>0</v>
      </c>
      <c r="D67" s="466">
        <v>0</v>
      </c>
      <c r="E67" s="466">
        <v>0</v>
      </c>
      <c r="F67" s="466">
        <v>0</v>
      </c>
      <c r="G67" s="466">
        <v>0</v>
      </c>
      <c r="H67" s="466">
        <v>0</v>
      </c>
      <c r="I67" s="467">
        <v>0</v>
      </c>
      <c r="J67" s="467">
        <v>0</v>
      </c>
      <c r="K67" s="1694">
        <f>SUM(C67:J67)</f>
        <v>0</v>
      </c>
      <c r="L67" s="481">
        <v>0</v>
      </c>
      <c r="M67" s="610"/>
      <c r="N67" s="610"/>
    </row>
    <row r="68" spans="1:14" s="343" customFormat="1" x14ac:dyDescent="0.2">
      <c r="A68" s="1526" t="s">
        <v>628</v>
      </c>
      <c r="B68" s="615">
        <v>2620</v>
      </c>
      <c r="C68" s="466">
        <v>0</v>
      </c>
      <c r="D68" s="466">
        <v>0</v>
      </c>
      <c r="E68" s="466">
        <v>0</v>
      </c>
      <c r="F68" s="466">
        <v>0</v>
      </c>
      <c r="G68" s="466">
        <v>0</v>
      </c>
      <c r="H68" s="466">
        <v>0</v>
      </c>
      <c r="I68" s="467">
        <v>0</v>
      </c>
      <c r="J68" s="467">
        <v>0</v>
      </c>
      <c r="K68" s="1694">
        <f>SUM(C68:J68)</f>
        <v>0</v>
      </c>
      <c r="L68" s="466">
        <v>0</v>
      </c>
      <c r="M68" s="610"/>
      <c r="N68" s="610"/>
    </row>
    <row r="69" spans="1:14" s="343" customFormat="1" x14ac:dyDescent="0.2">
      <c r="A69" s="1526" t="s">
        <v>1121</v>
      </c>
      <c r="B69" s="615">
        <v>2630</v>
      </c>
      <c r="C69" s="466">
        <v>0</v>
      </c>
      <c r="D69" s="466">
        <v>0</v>
      </c>
      <c r="E69" s="466">
        <v>0</v>
      </c>
      <c r="F69" s="466">
        <v>0</v>
      </c>
      <c r="G69" s="466">
        <v>0</v>
      </c>
      <c r="H69" s="466">
        <v>0</v>
      </c>
      <c r="I69" s="467">
        <v>0</v>
      </c>
      <c r="J69" s="467">
        <v>0</v>
      </c>
      <c r="K69" s="1694">
        <f>SUM(C69:J69)</f>
        <v>0</v>
      </c>
      <c r="L69" s="466">
        <v>0</v>
      </c>
      <c r="M69" s="610"/>
      <c r="N69" s="610"/>
    </row>
    <row r="70" spans="1:14" s="343" customFormat="1" x14ac:dyDescent="0.2">
      <c r="A70" s="1526" t="s">
        <v>423</v>
      </c>
      <c r="B70" s="615">
        <v>2640</v>
      </c>
      <c r="C70" s="466">
        <v>0</v>
      </c>
      <c r="D70" s="466">
        <v>0</v>
      </c>
      <c r="E70" s="466">
        <v>0</v>
      </c>
      <c r="F70" s="466">
        <v>0</v>
      </c>
      <c r="G70" s="466">
        <v>0</v>
      </c>
      <c r="H70" s="466">
        <v>0</v>
      </c>
      <c r="I70" s="467">
        <v>0</v>
      </c>
      <c r="J70" s="467">
        <v>0</v>
      </c>
      <c r="K70" s="1694">
        <f>SUM(C70:J70)</f>
        <v>0</v>
      </c>
      <c r="L70" s="466">
        <v>0</v>
      </c>
      <c r="M70" s="610"/>
      <c r="N70" s="610"/>
    </row>
    <row r="71" spans="1:14" s="343" customFormat="1" x14ac:dyDescent="0.2">
      <c r="A71" s="1526" t="s">
        <v>424</v>
      </c>
      <c r="B71" s="615">
        <v>2660</v>
      </c>
      <c r="C71" s="466">
        <v>48600</v>
      </c>
      <c r="D71" s="466">
        <v>16071</v>
      </c>
      <c r="E71" s="466">
        <v>115527</v>
      </c>
      <c r="F71" s="466">
        <v>70768</v>
      </c>
      <c r="G71" s="466">
        <v>91870</v>
      </c>
      <c r="H71" s="466">
        <v>2280</v>
      </c>
      <c r="I71" s="467">
        <v>0</v>
      </c>
      <c r="J71" s="467">
        <v>0</v>
      </c>
      <c r="K71" s="1694">
        <f>SUM(C71:J71)</f>
        <v>345116</v>
      </c>
      <c r="L71" s="466">
        <v>585210</v>
      </c>
      <c r="M71" s="610"/>
      <c r="N71" s="610"/>
    </row>
    <row r="72" spans="1:14" s="343" customFormat="1" ht="12.75" customHeight="1" thickBot="1" x14ac:dyDescent="0.25">
      <c r="A72" s="1690" t="s">
        <v>37</v>
      </c>
      <c r="B72" s="1697" t="s">
        <v>36</v>
      </c>
      <c r="C72" s="1692">
        <f>SUM(C67:C71)</f>
        <v>48600</v>
      </c>
      <c r="D72" s="1692">
        <f t="shared" ref="D72:K72" si="9">SUM(D67:D71)</f>
        <v>16071</v>
      </c>
      <c r="E72" s="1692">
        <f t="shared" si="9"/>
        <v>115527</v>
      </c>
      <c r="F72" s="1692">
        <f t="shared" si="9"/>
        <v>70768</v>
      </c>
      <c r="G72" s="1692">
        <f t="shared" si="9"/>
        <v>91870</v>
      </c>
      <c r="H72" s="1692">
        <f t="shared" si="9"/>
        <v>2280</v>
      </c>
      <c r="I72" s="1692">
        <f t="shared" si="9"/>
        <v>0</v>
      </c>
      <c r="J72" s="1692">
        <f t="shared" si="9"/>
        <v>0</v>
      </c>
      <c r="K72" s="1692">
        <f t="shared" si="9"/>
        <v>345116</v>
      </c>
      <c r="L72" s="1692">
        <f>SUM(L67:L71)</f>
        <v>585210</v>
      </c>
      <c r="M72" s="610"/>
      <c r="N72" s="610"/>
    </row>
    <row r="73" spans="1:14" s="343" customFormat="1" ht="14.25" thickTop="1" thickBot="1" x14ac:dyDescent="0.25">
      <c r="A73" s="1532" t="s">
        <v>1037</v>
      </c>
      <c r="B73" s="633" t="s">
        <v>595</v>
      </c>
      <c r="C73" s="573">
        <v>0</v>
      </c>
      <c r="D73" s="573">
        <v>0</v>
      </c>
      <c r="E73" s="573">
        <v>0</v>
      </c>
      <c r="F73" s="573">
        <v>0</v>
      </c>
      <c r="G73" s="573">
        <v>0</v>
      </c>
      <c r="H73" s="573">
        <v>0</v>
      </c>
      <c r="I73" s="531">
        <v>0</v>
      </c>
      <c r="J73" s="531">
        <v>0</v>
      </c>
      <c r="K73" s="1692">
        <f>SUM(C73:J73)</f>
        <v>0</v>
      </c>
      <c r="L73" s="576">
        <v>0</v>
      </c>
      <c r="M73" s="610"/>
      <c r="N73" s="610"/>
    </row>
    <row r="74" spans="1:14" ht="12.75" customHeight="1" thickTop="1" thickBot="1" x14ac:dyDescent="0.25">
      <c r="A74" s="1690" t="s">
        <v>865</v>
      </c>
      <c r="B74" s="1698">
        <v>2000</v>
      </c>
      <c r="C74" s="1699">
        <f>SUM(C42,C47,C53,C57,C65,C72,C73)</f>
        <v>1064862</v>
      </c>
      <c r="D74" s="1699">
        <f t="shared" ref="D74:K74" si="10">SUM(D42,D47,D53,D57,D65,D72,D73)</f>
        <v>225017</v>
      </c>
      <c r="E74" s="1699">
        <f t="shared" si="10"/>
        <v>1133535</v>
      </c>
      <c r="F74" s="1699">
        <f t="shared" si="10"/>
        <v>190325</v>
      </c>
      <c r="G74" s="1699">
        <f t="shared" si="10"/>
        <v>91870</v>
      </c>
      <c r="H74" s="1699">
        <f t="shared" si="10"/>
        <v>81724</v>
      </c>
      <c r="I74" s="1699">
        <f t="shared" si="10"/>
        <v>4925</v>
      </c>
      <c r="J74" s="1699">
        <f t="shared" si="10"/>
        <v>0</v>
      </c>
      <c r="K74" s="1699">
        <f t="shared" si="10"/>
        <v>2792258</v>
      </c>
      <c r="L74" s="1699">
        <f>SUM(L42,L47,L53,L57,L65,L72,L73)</f>
        <v>3207855</v>
      </c>
    </row>
    <row r="75" spans="1:14" s="259" customFormat="1" ht="15.75" customHeight="1" thickTop="1" thickBot="1" x14ac:dyDescent="0.25">
      <c r="A75" s="1632" t="s">
        <v>49</v>
      </c>
      <c r="B75" s="1633" t="s">
        <v>596</v>
      </c>
      <c r="C75" s="573">
        <v>0</v>
      </c>
      <c r="D75" s="573">
        <v>0</v>
      </c>
      <c r="E75" s="573">
        <v>0</v>
      </c>
      <c r="F75" s="573">
        <v>0</v>
      </c>
      <c r="G75" s="573">
        <v>0</v>
      </c>
      <c r="H75" s="573">
        <v>0</v>
      </c>
      <c r="I75" s="531">
        <v>0</v>
      </c>
      <c r="J75" s="531">
        <v>0</v>
      </c>
      <c r="K75" s="1692">
        <f>SUM(C75:J75)</f>
        <v>0</v>
      </c>
      <c r="L75" s="576">
        <v>0</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v>0</v>
      </c>
      <c r="F78" s="617"/>
      <c r="G78" s="617"/>
      <c r="H78" s="635">
        <v>1565</v>
      </c>
      <c r="I78" s="477"/>
      <c r="J78" s="477"/>
      <c r="K78" s="1693">
        <f t="shared" ref="K78:K83" si="11">SUM(C78:J78)</f>
        <v>1565</v>
      </c>
      <c r="L78" s="481">
        <v>200000</v>
      </c>
    </row>
    <row r="79" spans="1:14" x14ac:dyDescent="0.2">
      <c r="A79" s="1526" t="s">
        <v>322</v>
      </c>
      <c r="B79" s="615">
        <v>4120</v>
      </c>
      <c r="C79" s="617"/>
      <c r="D79" s="617"/>
      <c r="E79" s="466">
        <v>0</v>
      </c>
      <c r="F79" s="617"/>
      <c r="G79" s="617"/>
      <c r="H79" s="466">
        <v>22653</v>
      </c>
      <c r="I79" s="477"/>
      <c r="J79" s="477"/>
      <c r="K79" s="1693">
        <f t="shared" si="11"/>
        <v>22653</v>
      </c>
      <c r="L79" s="466">
        <v>55000</v>
      </c>
    </row>
    <row r="80" spans="1:14" x14ac:dyDescent="0.2">
      <c r="A80" s="1526" t="s">
        <v>323</v>
      </c>
      <c r="B80" s="615">
        <v>4130</v>
      </c>
      <c r="C80" s="617"/>
      <c r="D80" s="617"/>
      <c r="E80" s="466">
        <v>0</v>
      </c>
      <c r="F80" s="617"/>
      <c r="G80" s="617"/>
      <c r="H80" s="466">
        <v>0</v>
      </c>
      <c r="I80" s="477"/>
      <c r="J80" s="477"/>
      <c r="K80" s="1693">
        <f t="shared" si="11"/>
        <v>0</v>
      </c>
      <c r="L80" s="466">
        <v>0</v>
      </c>
    </row>
    <row r="81" spans="1:12" x14ac:dyDescent="0.2">
      <c r="A81" s="1526" t="s">
        <v>721</v>
      </c>
      <c r="B81" s="615">
        <v>4140</v>
      </c>
      <c r="C81" s="617"/>
      <c r="D81" s="617"/>
      <c r="E81" s="466">
        <v>0</v>
      </c>
      <c r="F81" s="617"/>
      <c r="G81" s="617"/>
      <c r="H81" s="466">
        <v>0</v>
      </c>
      <c r="I81" s="477"/>
      <c r="J81" s="477"/>
      <c r="K81" s="1693">
        <f t="shared" si="11"/>
        <v>0</v>
      </c>
      <c r="L81" s="466">
        <v>0</v>
      </c>
    </row>
    <row r="82" spans="1:12" x14ac:dyDescent="0.2">
      <c r="A82" s="1526" t="s">
        <v>88</v>
      </c>
      <c r="B82" s="615">
        <v>4170</v>
      </c>
      <c r="C82" s="617"/>
      <c r="D82" s="617"/>
      <c r="E82" s="466">
        <v>0</v>
      </c>
      <c r="F82" s="617"/>
      <c r="G82" s="617"/>
      <c r="H82" s="466">
        <v>0</v>
      </c>
      <c r="I82" s="477"/>
      <c r="J82" s="477"/>
      <c r="K82" s="1693">
        <f t="shared" si="11"/>
        <v>0</v>
      </c>
      <c r="L82" s="466">
        <v>0</v>
      </c>
    </row>
    <row r="83" spans="1:12" x14ac:dyDescent="0.2">
      <c r="A83" s="1530" t="s">
        <v>722</v>
      </c>
      <c r="B83" s="629">
        <v>4190</v>
      </c>
      <c r="C83" s="617"/>
      <c r="D83" s="617"/>
      <c r="E83" s="466">
        <v>0</v>
      </c>
      <c r="F83" s="617"/>
      <c r="G83" s="617"/>
      <c r="H83" s="466">
        <v>0</v>
      </c>
      <c r="I83" s="477"/>
      <c r="J83" s="477"/>
      <c r="K83" s="1693">
        <f t="shared" si="11"/>
        <v>0</v>
      </c>
      <c r="L83" s="466">
        <v>0</v>
      </c>
    </row>
    <row r="84" spans="1:12" ht="13.5" thickBot="1" x14ac:dyDescent="0.25">
      <c r="A84" s="1690" t="s">
        <v>1565</v>
      </c>
      <c r="B84" s="1700">
        <v>4100</v>
      </c>
      <c r="C84" s="617"/>
      <c r="D84" s="617"/>
      <c r="E84" s="1692">
        <f>SUM(E78:E83)</f>
        <v>0</v>
      </c>
      <c r="F84" s="617"/>
      <c r="G84" s="617"/>
      <c r="H84" s="1692">
        <f>SUM(H78:H83)</f>
        <v>24218</v>
      </c>
      <c r="I84" s="477"/>
      <c r="J84" s="477"/>
      <c r="K84" s="1692">
        <f>SUM(K78:K83)</f>
        <v>24218</v>
      </c>
      <c r="L84" s="1692">
        <f>SUM(L78:L83)</f>
        <v>255000</v>
      </c>
    </row>
    <row r="85" spans="1:12" ht="12.75" customHeight="1" thickTop="1" thickBot="1" x14ac:dyDescent="0.25">
      <c r="A85" s="1533" t="s">
        <v>273</v>
      </c>
      <c r="B85" s="636">
        <v>4210</v>
      </c>
      <c r="C85" s="617"/>
      <c r="D85" s="617"/>
      <c r="E85" s="637"/>
      <c r="F85" s="617"/>
      <c r="G85" s="617"/>
      <c r="H85" s="535">
        <v>0</v>
      </c>
      <c r="I85" s="477"/>
      <c r="J85" s="477"/>
      <c r="K85" s="1699">
        <f>H85</f>
        <v>0</v>
      </c>
      <c r="L85" s="530">
        <v>0</v>
      </c>
    </row>
    <row r="86" spans="1:12" ht="12.75" customHeight="1" thickTop="1" thickBot="1" x14ac:dyDescent="0.25">
      <c r="A86" s="1534" t="s">
        <v>723</v>
      </c>
      <c r="B86" s="638">
        <v>4220</v>
      </c>
      <c r="C86" s="617"/>
      <c r="D86" s="617"/>
      <c r="E86" s="639"/>
      <c r="F86" s="617"/>
      <c r="G86" s="617"/>
      <c r="H86" s="467">
        <v>48384</v>
      </c>
      <c r="I86" s="477"/>
      <c r="J86" s="477"/>
      <c r="K86" s="1699">
        <f t="shared" ref="K86:K98" si="12">H86</f>
        <v>48384</v>
      </c>
      <c r="L86" s="530">
        <v>101500</v>
      </c>
    </row>
    <row r="87" spans="1:12" ht="14.25" thickTop="1" thickBot="1" x14ac:dyDescent="0.25">
      <c r="A87" s="1535" t="s">
        <v>724</v>
      </c>
      <c r="B87" s="640">
        <v>4230</v>
      </c>
      <c r="C87" s="617"/>
      <c r="D87" s="617"/>
      <c r="E87" s="639"/>
      <c r="F87" s="617"/>
      <c r="G87" s="617"/>
      <c r="H87" s="467">
        <v>0</v>
      </c>
      <c r="I87" s="477"/>
      <c r="J87" s="477"/>
      <c r="K87" s="1699">
        <f t="shared" si="12"/>
        <v>0</v>
      </c>
      <c r="L87" s="530">
        <v>0</v>
      </c>
    </row>
    <row r="88" spans="1:12" ht="12.75" customHeight="1" thickTop="1" thickBot="1" x14ac:dyDescent="0.25">
      <c r="A88" s="1535" t="s">
        <v>789</v>
      </c>
      <c r="B88" s="640">
        <v>4240</v>
      </c>
      <c r="C88" s="617"/>
      <c r="D88" s="617"/>
      <c r="E88" s="639"/>
      <c r="F88" s="617"/>
      <c r="G88" s="617"/>
      <c r="H88" s="467">
        <v>1833</v>
      </c>
      <c r="I88" s="477"/>
      <c r="J88" s="477"/>
      <c r="K88" s="1699">
        <f t="shared" si="12"/>
        <v>1833</v>
      </c>
      <c r="L88" s="530">
        <v>0</v>
      </c>
    </row>
    <row r="89" spans="1:12" ht="12.75" customHeight="1" thickTop="1" thickBot="1" x14ac:dyDescent="0.25">
      <c r="A89" s="1535" t="s">
        <v>725</v>
      </c>
      <c r="B89" s="640">
        <v>4270</v>
      </c>
      <c r="C89" s="617"/>
      <c r="D89" s="617"/>
      <c r="E89" s="639"/>
      <c r="F89" s="617"/>
      <c r="G89" s="617"/>
      <c r="H89" s="467">
        <v>0</v>
      </c>
      <c r="I89" s="477"/>
      <c r="J89" s="477"/>
      <c r="K89" s="1699">
        <f t="shared" si="12"/>
        <v>0</v>
      </c>
      <c r="L89" s="530">
        <v>0</v>
      </c>
    </row>
    <row r="90" spans="1:12" ht="12.75" customHeight="1" thickTop="1" thickBot="1" x14ac:dyDescent="0.25">
      <c r="A90" s="1535" t="s">
        <v>710</v>
      </c>
      <c r="B90" s="640">
        <v>4280</v>
      </c>
      <c r="C90" s="617"/>
      <c r="D90" s="617"/>
      <c r="E90" s="639"/>
      <c r="F90" s="617"/>
      <c r="G90" s="617"/>
      <c r="H90" s="467">
        <v>0</v>
      </c>
      <c r="I90" s="477"/>
      <c r="J90" s="477"/>
      <c r="K90" s="1699">
        <f t="shared" si="12"/>
        <v>0</v>
      </c>
      <c r="L90" s="530">
        <v>0</v>
      </c>
    </row>
    <row r="91" spans="1:12" ht="12.75" customHeight="1" thickTop="1" thickBot="1" x14ac:dyDescent="0.25">
      <c r="A91" s="1535" t="s">
        <v>711</v>
      </c>
      <c r="B91" s="640">
        <v>4290</v>
      </c>
      <c r="C91" s="617"/>
      <c r="D91" s="617"/>
      <c r="E91" s="639"/>
      <c r="F91" s="617"/>
      <c r="G91" s="617"/>
      <c r="H91" s="467">
        <v>0</v>
      </c>
      <c r="I91" s="477"/>
      <c r="J91" s="477"/>
      <c r="K91" s="1699">
        <f t="shared" si="12"/>
        <v>0</v>
      </c>
      <c r="L91" s="530">
        <v>0</v>
      </c>
    </row>
    <row r="92" spans="1:12" ht="14.25" thickTop="1" thickBot="1" x14ac:dyDescent="0.25">
      <c r="A92" s="1702" t="s">
        <v>1641</v>
      </c>
      <c r="B92" s="1700">
        <v>4200</v>
      </c>
      <c r="C92" s="617"/>
      <c r="D92" s="617"/>
      <c r="E92" s="639"/>
      <c r="F92" s="617"/>
      <c r="G92" s="617"/>
      <c r="H92" s="1692">
        <f>SUM(H85:H91)</f>
        <v>50217</v>
      </c>
      <c r="I92" s="477"/>
      <c r="J92" s="477"/>
      <c r="K92" s="1699">
        <f t="shared" si="12"/>
        <v>50217</v>
      </c>
      <c r="L92" s="1692">
        <f>SUM(L85:L91)</f>
        <v>101500</v>
      </c>
    </row>
    <row r="93" spans="1:12" ht="14.25" thickTop="1" thickBot="1" x14ac:dyDescent="0.25">
      <c r="A93" s="1534" t="s">
        <v>712</v>
      </c>
      <c r="B93" s="641">
        <v>4310</v>
      </c>
      <c r="C93" s="617"/>
      <c r="D93" s="617"/>
      <c r="E93" s="639"/>
      <c r="F93" s="617"/>
      <c r="G93" s="617"/>
      <c r="H93" s="642">
        <v>0</v>
      </c>
      <c r="I93" s="477"/>
      <c r="J93" s="477"/>
      <c r="K93" s="1699">
        <f t="shared" si="12"/>
        <v>0</v>
      </c>
      <c r="L93" s="532">
        <v>0</v>
      </c>
    </row>
    <row r="94" spans="1:12" ht="12.75" customHeight="1" thickTop="1" thickBot="1" x14ac:dyDescent="0.25">
      <c r="A94" s="1535" t="s">
        <v>713</v>
      </c>
      <c r="B94" s="640">
        <v>4320</v>
      </c>
      <c r="C94" s="617"/>
      <c r="D94" s="617"/>
      <c r="E94" s="639"/>
      <c r="F94" s="617"/>
      <c r="G94" s="617"/>
      <c r="H94" s="467">
        <v>0</v>
      </c>
      <c r="I94" s="477"/>
      <c r="J94" s="477"/>
      <c r="K94" s="1699">
        <f t="shared" si="12"/>
        <v>0</v>
      </c>
      <c r="L94" s="530">
        <v>0</v>
      </c>
    </row>
    <row r="95" spans="1:12" ht="15" customHeight="1" thickTop="1" thickBot="1" x14ac:dyDescent="0.25">
      <c r="A95" s="1535" t="s">
        <v>1568</v>
      </c>
      <c r="B95" s="640">
        <v>4330</v>
      </c>
      <c r="C95" s="617"/>
      <c r="D95" s="617"/>
      <c r="E95" s="639"/>
      <c r="F95" s="617"/>
      <c r="G95" s="617"/>
      <c r="H95" s="467">
        <v>0</v>
      </c>
      <c r="I95" s="477"/>
      <c r="J95" s="477"/>
      <c r="K95" s="1699">
        <f t="shared" si="12"/>
        <v>0</v>
      </c>
      <c r="L95" s="530">
        <v>0</v>
      </c>
    </row>
    <row r="96" spans="1:12" ht="14.25" thickTop="1" thickBot="1" x14ac:dyDescent="0.25">
      <c r="A96" s="1535" t="s">
        <v>714</v>
      </c>
      <c r="B96" s="640">
        <v>4340</v>
      </c>
      <c r="C96" s="617"/>
      <c r="D96" s="617"/>
      <c r="E96" s="639"/>
      <c r="F96" s="617"/>
      <c r="G96" s="617"/>
      <c r="H96" s="467">
        <v>0</v>
      </c>
      <c r="I96" s="477"/>
      <c r="J96" s="477"/>
      <c r="K96" s="1699">
        <f t="shared" si="12"/>
        <v>0</v>
      </c>
      <c r="L96" s="530">
        <v>0</v>
      </c>
    </row>
    <row r="97" spans="1:14" ht="12.75" customHeight="1" thickTop="1" thickBot="1" x14ac:dyDescent="0.25">
      <c r="A97" s="1535" t="s">
        <v>787</v>
      </c>
      <c r="B97" s="640">
        <v>4370</v>
      </c>
      <c r="C97" s="617"/>
      <c r="D97" s="617"/>
      <c r="E97" s="639"/>
      <c r="F97" s="617"/>
      <c r="G97" s="617"/>
      <c r="H97" s="467">
        <v>0</v>
      </c>
      <c r="I97" s="477"/>
      <c r="J97" s="477"/>
      <c r="K97" s="1699">
        <f t="shared" si="12"/>
        <v>0</v>
      </c>
      <c r="L97" s="530">
        <v>0</v>
      </c>
    </row>
    <row r="98" spans="1:14" ht="14.25" thickTop="1" thickBot="1" x14ac:dyDescent="0.25">
      <c r="A98" s="1535" t="s">
        <v>788</v>
      </c>
      <c r="B98" s="640">
        <v>4380</v>
      </c>
      <c r="C98" s="617"/>
      <c r="D98" s="617"/>
      <c r="E98" s="643"/>
      <c r="F98" s="617"/>
      <c r="G98" s="617"/>
      <c r="H98" s="467">
        <v>0</v>
      </c>
      <c r="I98" s="477"/>
      <c r="J98" s="477"/>
      <c r="K98" s="1699">
        <f t="shared" si="12"/>
        <v>0</v>
      </c>
      <c r="L98" s="530">
        <v>0</v>
      </c>
    </row>
    <row r="99" spans="1:14" ht="14.25" thickTop="1" thickBot="1" x14ac:dyDescent="0.25">
      <c r="A99" s="1535" t="s">
        <v>385</v>
      </c>
      <c r="B99" s="640">
        <v>4390</v>
      </c>
      <c r="C99" s="617"/>
      <c r="D99" s="617"/>
      <c r="E99" s="532">
        <v>0</v>
      </c>
      <c r="F99" s="617"/>
      <c r="G99" s="617"/>
      <c r="H99" s="467">
        <v>0</v>
      </c>
      <c r="I99" s="477"/>
      <c r="J99" s="477"/>
      <c r="K99" s="1699">
        <f>SUM(E99,H99)</f>
        <v>0</v>
      </c>
      <c r="L99" s="530">
        <v>0</v>
      </c>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v>0</v>
      </c>
      <c r="F101" s="617"/>
      <c r="G101" s="617"/>
      <c r="H101" s="531">
        <v>0</v>
      </c>
      <c r="I101" s="477"/>
      <c r="J101" s="477"/>
      <c r="K101" s="1701">
        <f>SUM(C101:J101)</f>
        <v>0</v>
      </c>
      <c r="L101" s="530">
        <v>0</v>
      </c>
    </row>
    <row r="102" spans="1:14" ht="12.75" customHeight="1" thickTop="1" thickBot="1" x14ac:dyDescent="0.25">
      <c r="A102" s="1690" t="s">
        <v>1567</v>
      </c>
      <c r="B102" s="1700">
        <v>4000</v>
      </c>
      <c r="C102" s="617"/>
      <c r="D102" s="617"/>
      <c r="E102" s="1699">
        <f>SUM(E84,E92,E100,E101)</f>
        <v>0</v>
      </c>
      <c r="F102" s="617"/>
      <c r="G102" s="617"/>
      <c r="H102" s="1699">
        <f>SUM(H84,H92,H100,H101)</f>
        <v>74435</v>
      </c>
      <c r="I102" s="477"/>
      <c r="J102" s="477"/>
      <c r="K102" s="1699">
        <f>SUM(K84,K92,K100,K101)</f>
        <v>74435</v>
      </c>
      <c r="L102" s="1699">
        <f>SUM(L84,L92,L100,L101)</f>
        <v>356500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v>0</v>
      </c>
      <c r="I105" s="468"/>
      <c r="J105" s="468"/>
      <c r="K105" s="1693">
        <f>H105</f>
        <v>0</v>
      </c>
      <c r="L105" s="481">
        <v>0</v>
      </c>
      <c r="M105" s="210"/>
      <c r="N105" s="210"/>
    </row>
    <row r="106" spans="1:14" s="598" customFormat="1" x14ac:dyDescent="0.2">
      <c r="A106" s="1526" t="s">
        <v>90</v>
      </c>
      <c r="B106" s="615">
        <v>5120</v>
      </c>
      <c r="C106" s="617"/>
      <c r="D106" s="617"/>
      <c r="E106" s="617"/>
      <c r="F106" s="617"/>
      <c r="G106" s="617"/>
      <c r="H106" s="466">
        <v>0</v>
      </c>
      <c r="I106" s="468"/>
      <c r="J106" s="468"/>
      <c r="K106" s="1693">
        <f>H106</f>
        <v>0</v>
      </c>
      <c r="L106" s="466">
        <v>0</v>
      </c>
      <c r="M106" s="210"/>
      <c r="N106" s="210"/>
    </row>
    <row r="107" spans="1:14" s="598" customFormat="1" ht="12.75" customHeight="1" x14ac:dyDescent="0.2">
      <c r="A107" s="1526" t="s">
        <v>1232</v>
      </c>
      <c r="B107" s="615">
        <v>5130</v>
      </c>
      <c r="C107" s="617"/>
      <c r="D107" s="617"/>
      <c r="E107" s="617"/>
      <c r="F107" s="617"/>
      <c r="G107" s="617"/>
      <c r="H107" s="466">
        <v>0</v>
      </c>
      <c r="I107" s="468"/>
      <c r="J107" s="468"/>
      <c r="K107" s="1693">
        <f>H107</f>
        <v>0</v>
      </c>
      <c r="L107" s="466">
        <v>0</v>
      </c>
      <c r="M107" s="210"/>
      <c r="N107" s="210"/>
    </row>
    <row r="108" spans="1:14" s="598" customFormat="1" x14ac:dyDescent="0.2">
      <c r="A108" s="1526" t="s">
        <v>91</v>
      </c>
      <c r="B108" s="615" t="s">
        <v>610</v>
      </c>
      <c r="C108" s="617"/>
      <c r="D108" s="617"/>
      <c r="E108" s="617"/>
      <c r="F108" s="617"/>
      <c r="G108" s="617"/>
      <c r="H108" s="466">
        <v>0</v>
      </c>
      <c r="I108" s="468"/>
      <c r="J108" s="468"/>
      <c r="K108" s="1693">
        <f>H108</f>
        <v>0</v>
      </c>
      <c r="L108" s="466">
        <v>0</v>
      </c>
      <c r="M108" s="210"/>
      <c r="N108" s="210"/>
    </row>
    <row r="109" spans="1:14" s="598" customFormat="1" x14ac:dyDescent="0.2">
      <c r="A109" s="1526" t="s">
        <v>272</v>
      </c>
      <c r="B109" s="629">
        <v>5150</v>
      </c>
      <c r="C109" s="617"/>
      <c r="D109" s="617"/>
      <c r="E109" s="617"/>
      <c r="F109" s="617"/>
      <c r="G109" s="617"/>
      <c r="H109" s="466">
        <v>0</v>
      </c>
      <c r="I109" s="468"/>
      <c r="J109" s="468"/>
      <c r="K109" s="1693">
        <f>H109</f>
        <v>0</v>
      </c>
      <c r="L109" s="466">
        <v>0</v>
      </c>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v>0</v>
      </c>
      <c r="I111" s="468"/>
      <c r="J111" s="468"/>
      <c r="K111" s="1705">
        <f>H111</f>
        <v>0</v>
      </c>
      <c r="L111" s="532">
        <v>0</v>
      </c>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v>0</v>
      </c>
      <c r="M113" s="614"/>
      <c r="N113" s="614"/>
    </row>
    <row r="114" spans="1:14" ht="12.75" customHeight="1" thickTop="1" thickBot="1" x14ac:dyDescent="0.25">
      <c r="A114" s="1690" t="s">
        <v>50</v>
      </c>
      <c r="B114" s="1704"/>
      <c r="C114" s="1692">
        <f>SUM(C33,C74,C75,C102,C112,C113)</f>
        <v>5154159</v>
      </c>
      <c r="D114" s="1692">
        <f t="shared" ref="D114:K114" si="13">SUM(D33,D74,D75,D102,D112,D113)</f>
        <v>821568</v>
      </c>
      <c r="E114" s="1692">
        <f t="shared" si="13"/>
        <v>1425316</v>
      </c>
      <c r="F114" s="1692">
        <f t="shared" si="13"/>
        <v>460237</v>
      </c>
      <c r="G114" s="1692">
        <f t="shared" si="13"/>
        <v>204621</v>
      </c>
      <c r="H114" s="1692">
        <f>SUM(H33,H74,H75,H102,H112,H113)</f>
        <v>356221</v>
      </c>
      <c r="I114" s="1692">
        <f t="shared" si="13"/>
        <v>15255</v>
      </c>
      <c r="J114" s="1692">
        <f t="shared" si="13"/>
        <v>0</v>
      </c>
      <c r="K114" s="1692">
        <f t="shared" si="13"/>
        <v>8437377</v>
      </c>
      <c r="L114" s="1692">
        <f>SUM(L33,L74,L75,L102,L112,L113)</f>
        <v>9725485</v>
      </c>
    </row>
    <row r="115" spans="1:14" ht="13.5" thickTop="1" x14ac:dyDescent="0.2">
      <c r="A115" s="2172" t="s">
        <v>1053</v>
      </c>
      <c r="B115" s="2173"/>
      <c r="C115" s="619"/>
      <c r="D115" s="619"/>
      <c r="E115" s="619"/>
      <c r="F115" s="619"/>
      <c r="G115" s="619"/>
      <c r="H115" s="619"/>
      <c r="I115" s="619"/>
      <c r="J115" s="619"/>
      <c r="K115" s="1706">
        <f>'Revenues 9-14'!C275-'Expenditures 15-22'!K114</f>
        <v>1960914</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7" t="s">
        <v>314</v>
      </c>
      <c r="B117" s="2178"/>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v>0</v>
      </c>
      <c r="D120" s="466">
        <v>0</v>
      </c>
      <c r="E120" s="466">
        <v>0</v>
      </c>
      <c r="F120" s="466">
        <v>0</v>
      </c>
      <c r="G120" s="466">
        <v>0</v>
      </c>
      <c r="H120" s="466">
        <v>0</v>
      </c>
      <c r="I120" s="467">
        <v>0</v>
      </c>
      <c r="J120" s="467">
        <v>0</v>
      </c>
      <c r="K120" s="1693">
        <f>SUM(C120:J120)</f>
        <v>0</v>
      </c>
      <c r="L120" s="466">
        <v>0</v>
      </c>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v>0</v>
      </c>
      <c r="D122" s="466">
        <v>0</v>
      </c>
      <c r="E122" s="466">
        <v>0</v>
      </c>
      <c r="F122" s="466">
        <v>0</v>
      </c>
      <c r="G122" s="466">
        <v>0</v>
      </c>
      <c r="H122" s="466">
        <v>0</v>
      </c>
      <c r="I122" s="467">
        <v>0</v>
      </c>
      <c r="J122" s="467">
        <v>0</v>
      </c>
      <c r="K122" s="1692">
        <f>SUM(C122:J122)</f>
        <v>0</v>
      </c>
      <c r="L122" s="466">
        <v>0</v>
      </c>
    </row>
    <row r="123" spans="1:14" ht="14.25" thickTop="1" thickBot="1" x14ac:dyDescent="0.25">
      <c r="A123" s="1526" t="s">
        <v>4</v>
      </c>
      <c r="B123" s="615">
        <v>2530</v>
      </c>
      <c r="C123" s="466">
        <v>0</v>
      </c>
      <c r="D123" s="466">
        <v>0</v>
      </c>
      <c r="E123" s="466">
        <v>0</v>
      </c>
      <c r="F123" s="466">
        <v>0</v>
      </c>
      <c r="G123" s="466">
        <v>0</v>
      </c>
      <c r="H123" s="466">
        <v>0</v>
      </c>
      <c r="I123" s="467">
        <v>0</v>
      </c>
      <c r="J123" s="467">
        <v>0</v>
      </c>
      <c r="K123" s="1692">
        <f>SUM(C123:J123)</f>
        <v>0</v>
      </c>
      <c r="L123" s="466">
        <v>0</v>
      </c>
    </row>
    <row r="124" spans="1:14" ht="14.25" thickTop="1" thickBot="1" x14ac:dyDescent="0.25">
      <c r="A124" s="1526" t="s">
        <v>206</v>
      </c>
      <c r="B124" s="615">
        <v>2540</v>
      </c>
      <c r="C124" s="466">
        <v>206207</v>
      </c>
      <c r="D124" s="466">
        <v>26261</v>
      </c>
      <c r="E124" s="466">
        <v>562546</v>
      </c>
      <c r="F124" s="466">
        <v>354071</v>
      </c>
      <c r="G124" s="466">
        <v>60109</v>
      </c>
      <c r="H124" s="466">
        <v>505</v>
      </c>
      <c r="I124" s="467">
        <v>18875</v>
      </c>
      <c r="J124" s="467">
        <v>0</v>
      </c>
      <c r="K124" s="1692">
        <f>SUM(C124:J124)</f>
        <v>1228574</v>
      </c>
      <c r="L124" s="466">
        <v>1558500</v>
      </c>
    </row>
    <row r="125" spans="1:14" ht="14.25" thickTop="1" thickBot="1" x14ac:dyDescent="0.25">
      <c r="A125" s="1526" t="s">
        <v>1010</v>
      </c>
      <c r="B125" s="615">
        <v>2550</v>
      </c>
      <c r="C125" s="466">
        <v>0</v>
      </c>
      <c r="D125" s="466">
        <v>0</v>
      </c>
      <c r="E125" s="466">
        <v>0</v>
      </c>
      <c r="F125" s="466">
        <v>0</v>
      </c>
      <c r="G125" s="466">
        <v>0</v>
      </c>
      <c r="H125" s="466">
        <v>0</v>
      </c>
      <c r="I125" s="467">
        <v>0</v>
      </c>
      <c r="J125" s="467">
        <v>0</v>
      </c>
      <c r="K125" s="1692">
        <f>SUM(C125:J125)</f>
        <v>0</v>
      </c>
      <c r="L125" s="466">
        <v>0</v>
      </c>
    </row>
    <row r="126" spans="1:14" ht="14.25" thickTop="1" thickBot="1" x14ac:dyDescent="0.25">
      <c r="A126" s="1526" t="s">
        <v>102</v>
      </c>
      <c r="B126" s="615">
        <v>2560</v>
      </c>
      <c r="C126" s="655"/>
      <c r="D126" s="655"/>
      <c r="E126" s="655"/>
      <c r="F126" s="655"/>
      <c r="G126" s="466">
        <v>0</v>
      </c>
      <c r="H126" s="655"/>
      <c r="I126" s="474">
        <v>0</v>
      </c>
      <c r="J126" s="617"/>
      <c r="K126" s="1692">
        <f>SUM(C126:J126)</f>
        <v>0</v>
      </c>
      <c r="L126" s="466">
        <v>0</v>
      </c>
    </row>
    <row r="127" spans="1:14" ht="12.75" customHeight="1" thickTop="1" thickBot="1" x14ac:dyDescent="0.25">
      <c r="A127" s="1690" t="s">
        <v>743</v>
      </c>
      <c r="B127" s="1691" t="s">
        <v>35</v>
      </c>
      <c r="C127" s="1692">
        <f>SUM(C122:C126)</f>
        <v>206207</v>
      </c>
      <c r="D127" s="1692">
        <f t="shared" ref="D127:L127" si="14">SUM(D122:D126)</f>
        <v>26261</v>
      </c>
      <c r="E127" s="1692">
        <f t="shared" si="14"/>
        <v>562546</v>
      </c>
      <c r="F127" s="1692">
        <f t="shared" si="14"/>
        <v>354071</v>
      </c>
      <c r="G127" s="1692">
        <f t="shared" si="14"/>
        <v>60109</v>
      </c>
      <c r="H127" s="1692">
        <f t="shared" si="14"/>
        <v>505</v>
      </c>
      <c r="I127" s="1692">
        <f t="shared" si="14"/>
        <v>18875</v>
      </c>
      <c r="J127" s="1692">
        <f t="shared" si="14"/>
        <v>0</v>
      </c>
      <c r="K127" s="1692">
        <f t="shared" si="14"/>
        <v>1228574</v>
      </c>
      <c r="L127" s="1692">
        <f t="shared" si="14"/>
        <v>1558500</v>
      </c>
    </row>
    <row r="128" spans="1:14" ht="12.75" customHeight="1" thickTop="1" x14ac:dyDescent="0.2">
      <c r="A128" s="1533" t="s">
        <v>1037</v>
      </c>
      <c r="B128" s="656" t="s">
        <v>595</v>
      </c>
      <c r="C128" s="657">
        <v>0</v>
      </c>
      <c r="D128" s="657">
        <v>0</v>
      </c>
      <c r="E128" s="657">
        <v>0</v>
      </c>
      <c r="F128" s="657">
        <v>0</v>
      </c>
      <c r="G128" s="657">
        <v>0</v>
      </c>
      <c r="H128" s="657">
        <v>0</v>
      </c>
      <c r="I128" s="535">
        <v>0</v>
      </c>
      <c r="J128" s="535">
        <v>0</v>
      </c>
      <c r="K128" s="1707">
        <f>SUM(C128:J128)</f>
        <v>0</v>
      </c>
      <c r="L128" s="657">
        <v>0</v>
      </c>
    </row>
    <row r="129" spans="1:14" ht="12.75" customHeight="1" thickBot="1" x14ac:dyDescent="0.25">
      <c r="A129" s="1708" t="s">
        <v>865</v>
      </c>
      <c r="B129" s="1709" t="s">
        <v>590</v>
      </c>
      <c r="C129" s="1699">
        <f>SUM(C120,C127,C128)</f>
        <v>206207</v>
      </c>
      <c r="D129" s="1699">
        <f t="shared" ref="D129:L129" si="15">SUM(D120,D127,D128)</f>
        <v>26261</v>
      </c>
      <c r="E129" s="1699">
        <f t="shared" si="15"/>
        <v>562546</v>
      </c>
      <c r="F129" s="1699">
        <f t="shared" si="15"/>
        <v>354071</v>
      </c>
      <c r="G129" s="1699">
        <f t="shared" si="15"/>
        <v>60109</v>
      </c>
      <c r="H129" s="1699">
        <f t="shared" si="15"/>
        <v>505</v>
      </c>
      <c r="I129" s="1699">
        <f t="shared" si="15"/>
        <v>18875</v>
      </c>
      <c r="J129" s="1699">
        <f t="shared" si="15"/>
        <v>0</v>
      </c>
      <c r="K129" s="1699">
        <f t="shared" si="15"/>
        <v>1228574</v>
      </c>
      <c r="L129" s="1699">
        <f t="shared" si="15"/>
        <v>1558500</v>
      </c>
    </row>
    <row r="130" spans="1:14" ht="15.75" customHeight="1" thickTop="1" thickBot="1" x14ac:dyDescent="0.25">
      <c r="A130" s="1632" t="s">
        <v>1096</v>
      </c>
      <c r="B130" s="1633" t="s">
        <v>596</v>
      </c>
      <c r="C130" s="576">
        <v>0</v>
      </c>
      <c r="D130" s="576">
        <v>0</v>
      </c>
      <c r="E130" s="576">
        <v>0</v>
      </c>
      <c r="F130" s="576">
        <v>0</v>
      </c>
      <c r="G130" s="576">
        <v>0</v>
      </c>
      <c r="H130" s="576">
        <v>0</v>
      </c>
      <c r="I130" s="531">
        <v>0</v>
      </c>
      <c r="J130" s="531">
        <v>0</v>
      </c>
      <c r="K130" s="1692">
        <f>SUM(C130:J130)</f>
        <v>0</v>
      </c>
      <c r="L130" s="576">
        <v>0</v>
      </c>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1957</v>
      </c>
      <c r="C133" s="468"/>
      <c r="D133" s="468"/>
      <c r="E133" s="642">
        <v>0</v>
      </c>
      <c r="F133" s="468"/>
      <c r="G133" s="468"/>
      <c r="H133" s="642">
        <v>0</v>
      </c>
      <c r="I133" s="468"/>
      <c r="J133" s="468"/>
      <c r="K133" s="1844">
        <f>SUM(E133,H133)</f>
        <v>0</v>
      </c>
      <c r="L133" s="642">
        <v>0</v>
      </c>
      <c r="M133" s="206"/>
      <c r="N133" s="206"/>
    </row>
    <row r="134" spans="1:14" x14ac:dyDescent="0.2">
      <c r="A134" s="1526" t="s">
        <v>322</v>
      </c>
      <c r="B134" s="615">
        <v>4120</v>
      </c>
      <c r="C134" s="617"/>
      <c r="D134" s="617"/>
      <c r="E134" s="478">
        <v>0</v>
      </c>
      <c r="F134" s="617"/>
      <c r="G134" s="617"/>
      <c r="H134" s="481">
        <v>0</v>
      </c>
      <c r="I134" s="477"/>
      <c r="J134" s="617"/>
      <c r="K134" s="1694">
        <f>SUM(E134,H134)</f>
        <v>0</v>
      </c>
      <c r="L134" s="481">
        <v>0</v>
      </c>
    </row>
    <row r="135" spans="1:14" x14ac:dyDescent="0.2">
      <c r="A135" s="1526" t="s">
        <v>721</v>
      </c>
      <c r="B135" s="615">
        <v>4140</v>
      </c>
      <c r="C135" s="617"/>
      <c r="D135" s="617"/>
      <c r="E135" s="467">
        <v>0</v>
      </c>
      <c r="F135" s="617"/>
      <c r="G135" s="617"/>
      <c r="H135" s="466">
        <v>0</v>
      </c>
      <c r="I135" s="477"/>
      <c r="J135" s="617"/>
      <c r="K135" s="1694">
        <f>SUM(E135,H135)</f>
        <v>0</v>
      </c>
      <c r="L135" s="466">
        <v>0</v>
      </c>
    </row>
    <row r="136" spans="1:14" x14ac:dyDescent="0.2">
      <c r="A136" s="1530" t="s">
        <v>722</v>
      </c>
      <c r="B136" s="629">
        <v>4190</v>
      </c>
      <c r="C136" s="617"/>
      <c r="D136" s="617"/>
      <c r="E136" s="467">
        <v>0</v>
      </c>
      <c r="F136" s="617"/>
      <c r="G136" s="617"/>
      <c r="H136" s="466">
        <v>0</v>
      </c>
      <c r="I136" s="477"/>
      <c r="J136" s="617"/>
      <c r="K136" s="1694">
        <f>SUM(E136,H136)</f>
        <v>0</v>
      </c>
      <c r="L136" s="466">
        <v>0</v>
      </c>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v>0</v>
      </c>
      <c r="I138" s="477"/>
      <c r="J138" s="617"/>
      <c r="K138" s="1694">
        <f>SUM(E138,H138)</f>
        <v>0</v>
      </c>
      <c r="L138" s="576">
        <v>0</v>
      </c>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v>0</v>
      </c>
      <c r="I142" s="468"/>
      <c r="J142" s="617"/>
      <c r="K142" s="1694">
        <f>SUM(H142)</f>
        <v>0</v>
      </c>
      <c r="L142" s="481">
        <v>0</v>
      </c>
    </row>
    <row r="143" spans="1:14" x14ac:dyDescent="0.2">
      <c r="A143" s="1526" t="s">
        <v>90</v>
      </c>
      <c r="B143" s="615">
        <v>5120</v>
      </c>
      <c r="C143" s="617"/>
      <c r="D143" s="617"/>
      <c r="E143" s="617"/>
      <c r="F143" s="617"/>
      <c r="G143" s="617"/>
      <c r="H143" s="466">
        <v>0</v>
      </c>
      <c r="I143" s="468"/>
      <c r="J143" s="617"/>
      <c r="K143" s="1694">
        <f>SUM(H143)</f>
        <v>0</v>
      </c>
      <c r="L143" s="466">
        <v>0</v>
      </c>
    </row>
    <row r="144" spans="1:14" ht="12.75" customHeight="1" x14ac:dyDescent="0.2">
      <c r="A144" s="1526" t="s">
        <v>1232</v>
      </c>
      <c r="B144" s="629" t="s">
        <v>638</v>
      </c>
      <c r="C144" s="617"/>
      <c r="D144" s="617"/>
      <c r="E144" s="617"/>
      <c r="F144" s="617"/>
      <c r="G144" s="617"/>
      <c r="H144" s="466">
        <v>0</v>
      </c>
      <c r="I144" s="468"/>
      <c r="J144" s="617"/>
      <c r="K144" s="1694">
        <f>SUM(H144)</f>
        <v>0</v>
      </c>
      <c r="L144" s="466">
        <v>0</v>
      </c>
    </row>
    <row r="145" spans="1:14" x14ac:dyDescent="0.2">
      <c r="A145" s="1526" t="s">
        <v>91</v>
      </c>
      <c r="B145" s="615" t="s">
        <v>610</v>
      </c>
      <c r="C145" s="617"/>
      <c r="D145" s="617"/>
      <c r="E145" s="617"/>
      <c r="F145" s="617"/>
      <c r="G145" s="617"/>
      <c r="H145" s="466">
        <v>0</v>
      </c>
      <c r="I145" s="468"/>
      <c r="J145" s="617"/>
      <c r="K145" s="1694">
        <f>SUM(H145)</f>
        <v>0</v>
      </c>
      <c r="L145" s="466">
        <v>0</v>
      </c>
    </row>
    <row r="146" spans="1:14" ht="12.75" customHeight="1" x14ac:dyDescent="0.2">
      <c r="A146" s="1526" t="s">
        <v>640</v>
      </c>
      <c r="B146" s="615" t="s">
        <v>639</v>
      </c>
      <c r="C146" s="617"/>
      <c r="D146" s="617"/>
      <c r="E146" s="617"/>
      <c r="F146" s="617"/>
      <c r="G146" s="617"/>
      <c r="H146" s="466">
        <v>0</v>
      </c>
      <c r="I146" s="468"/>
      <c r="J146" s="617"/>
      <c r="K146" s="1694">
        <f>SUM(H146)</f>
        <v>0</v>
      </c>
      <c r="L146" s="466">
        <v>0</v>
      </c>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v>0</v>
      </c>
      <c r="I148" s="468"/>
      <c r="J148" s="617"/>
      <c r="K148" s="1694">
        <f>SUM(H148)</f>
        <v>0</v>
      </c>
      <c r="L148" s="492">
        <v>0</v>
      </c>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v>0</v>
      </c>
    </row>
    <row r="151" spans="1:14" ht="12.75" customHeight="1" thickTop="1" thickBot="1" x14ac:dyDescent="0.25">
      <c r="A151" s="2189" t="s">
        <v>641</v>
      </c>
      <c r="B151" s="2169"/>
      <c r="C151" s="1692">
        <f>SUM(C129,C130,C139,C149,C150)</f>
        <v>206207</v>
      </c>
      <c r="D151" s="1692">
        <f t="shared" ref="D151:K151" si="16">SUM(D129,D130,D139,D149,D150)</f>
        <v>26261</v>
      </c>
      <c r="E151" s="1692">
        <f t="shared" si="16"/>
        <v>562546</v>
      </c>
      <c r="F151" s="1692">
        <f t="shared" si="16"/>
        <v>354071</v>
      </c>
      <c r="G151" s="1692">
        <f t="shared" si="16"/>
        <v>60109</v>
      </c>
      <c r="H151" s="1692">
        <f t="shared" si="16"/>
        <v>505</v>
      </c>
      <c r="I151" s="1692">
        <f t="shared" si="16"/>
        <v>18875</v>
      </c>
      <c r="J151" s="1692">
        <f t="shared" si="16"/>
        <v>0</v>
      </c>
      <c r="K151" s="1692">
        <f t="shared" si="16"/>
        <v>1228574</v>
      </c>
      <c r="L151" s="1692">
        <f>SUM(L129,L130,L139,L149,L150)</f>
        <v>1558500</v>
      </c>
    </row>
    <row r="152" spans="1:14" ht="12.75" customHeight="1" thickTop="1" x14ac:dyDescent="0.2">
      <c r="A152" s="2192" t="s">
        <v>1240</v>
      </c>
      <c r="B152" s="2193"/>
      <c r="C152" s="619"/>
      <c r="D152" s="619"/>
      <c r="E152" s="619"/>
      <c r="F152" s="619"/>
      <c r="G152" s="619"/>
      <c r="H152" s="619"/>
      <c r="I152" s="619"/>
      <c r="J152" s="617"/>
      <c r="K152" s="1706">
        <f>'Revenues 9-14'!D275-'Expenditures 15-22'!K151</f>
        <v>367309</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7" t="s">
        <v>642</v>
      </c>
      <c r="B154" s="2179"/>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1958</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1957</v>
      </c>
      <c r="C157" s="617"/>
      <c r="D157" s="617"/>
      <c r="E157" s="617"/>
      <c r="F157" s="617"/>
      <c r="G157" s="617"/>
      <c r="H157" s="642">
        <v>0</v>
      </c>
      <c r="I157" s="617"/>
      <c r="J157" s="617"/>
      <c r="K157" s="1693">
        <f>H157</f>
        <v>0</v>
      </c>
      <c r="L157" s="467">
        <v>0</v>
      </c>
      <c r="M157" s="620"/>
      <c r="N157" s="620"/>
    </row>
    <row r="158" spans="1:14" s="621" customFormat="1" ht="12" x14ac:dyDescent="0.2">
      <c r="A158" s="1849" t="s">
        <v>322</v>
      </c>
      <c r="B158" s="1850" t="s">
        <v>1959</v>
      </c>
      <c r="C158" s="617"/>
      <c r="D158" s="617"/>
      <c r="E158" s="617"/>
      <c r="F158" s="617"/>
      <c r="G158" s="617"/>
      <c r="H158" s="467">
        <v>0</v>
      </c>
      <c r="I158" s="617"/>
      <c r="J158" s="617"/>
      <c r="K158" s="1693">
        <f>H158</f>
        <v>0</v>
      </c>
      <c r="L158" s="467">
        <v>0</v>
      </c>
      <c r="M158" s="620"/>
      <c r="N158" s="620"/>
    </row>
    <row r="159" spans="1:14" s="621" customFormat="1" ht="12" x14ac:dyDescent="0.2">
      <c r="A159" s="1849" t="s">
        <v>1960</v>
      </c>
      <c r="B159" s="1850" t="s">
        <v>579</v>
      </c>
      <c r="C159" s="617"/>
      <c r="D159" s="617"/>
      <c r="E159" s="617"/>
      <c r="F159" s="617"/>
      <c r="G159" s="617"/>
      <c r="H159" s="467">
        <v>0</v>
      </c>
      <c r="I159" s="617"/>
      <c r="J159" s="617"/>
      <c r="K159" s="1693">
        <f>H159</f>
        <v>0</v>
      </c>
      <c r="L159" s="467">
        <v>0</v>
      </c>
      <c r="M159" s="620"/>
      <c r="N159" s="620"/>
    </row>
    <row r="160" spans="1:14" s="621" customFormat="1" ht="15.75" customHeight="1" thickBot="1" x14ac:dyDescent="0.25">
      <c r="A160" s="1851" t="s">
        <v>1961</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v>0</v>
      </c>
      <c r="I163" s="617"/>
      <c r="J163" s="617"/>
      <c r="K163" s="1693">
        <f>SUM(C163:J163)</f>
        <v>0</v>
      </c>
      <c r="L163" s="466">
        <v>0</v>
      </c>
    </row>
    <row r="164" spans="1:14" x14ac:dyDescent="0.2">
      <c r="A164" s="1526" t="s">
        <v>90</v>
      </c>
      <c r="B164" s="615">
        <v>5120</v>
      </c>
      <c r="C164" s="617"/>
      <c r="D164" s="617"/>
      <c r="E164" s="617"/>
      <c r="F164" s="617"/>
      <c r="G164" s="617"/>
      <c r="H164" s="466">
        <v>0</v>
      </c>
      <c r="I164" s="617"/>
      <c r="J164" s="617"/>
      <c r="K164" s="1693">
        <f>SUM(C164:J164)</f>
        <v>0</v>
      </c>
      <c r="L164" s="466">
        <v>0</v>
      </c>
    </row>
    <row r="165" spans="1:14" ht="12.75" customHeight="1" x14ac:dyDescent="0.2">
      <c r="A165" s="1526" t="s">
        <v>1232</v>
      </c>
      <c r="B165" s="615" t="s">
        <v>638</v>
      </c>
      <c r="C165" s="617"/>
      <c r="D165" s="617"/>
      <c r="E165" s="617"/>
      <c r="F165" s="617"/>
      <c r="G165" s="617"/>
      <c r="H165" s="466">
        <v>0</v>
      </c>
      <c r="I165" s="617"/>
      <c r="J165" s="617"/>
      <c r="K165" s="1693">
        <f>SUM(C165:J165)</f>
        <v>0</v>
      </c>
      <c r="L165" s="466">
        <v>0</v>
      </c>
    </row>
    <row r="166" spans="1:14" x14ac:dyDescent="0.2">
      <c r="A166" s="1526" t="s">
        <v>91</v>
      </c>
      <c r="B166" s="629" t="s">
        <v>610</v>
      </c>
      <c r="C166" s="617"/>
      <c r="D166" s="617"/>
      <c r="E166" s="617"/>
      <c r="F166" s="617"/>
      <c r="G166" s="617"/>
      <c r="H166" s="466">
        <v>0</v>
      </c>
      <c r="I166" s="617"/>
      <c r="J166" s="617"/>
      <c r="K166" s="1693">
        <f>SUM(C166:J166)</f>
        <v>0</v>
      </c>
      <c r="L166" s="466">
        <v>0</v>
      </c>
    </row>
    <row r="167" spans="1:14" ht="12.75" customHeight="1" x14ac:dyDescent="0.2">
      <c r="A167" s="1526" t="s">
        <v>640</v>
      </c>
      <c r="B167" s="615" t="s">
        <v>639</v>
      </c>
      <c r="C167" s="617"/>
      <c r="D167" s="617"/>
      <c r="E167" s="617"/>
      <c r="F167" s="617"/>
      <c r="G167" s="617"/>
      <c r="H167" s="466">
        <v>0</v>
      </c>
      <c r="I167" s="617"/>
      <c r="J167" s="617"/>
      <c r="K167" s="1693">
        <f>SUM(C167:J167)</f>
        <v>0</v>
      </c>
      <c r="L167" s="466">
        <v>0</v>
      </c>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147639</v>
      </c>
      <c r="I169" s="617"/>
      <c r="J169" s="617"/>
      <c r="K169" s="1693">
        <f>SUM(C169:H169)</f>
        <v>147639</v>
      </c>
      <c r="L169" s="657">
        <v>151000</v>
      </c>
    </row>
    <row r="170" spans="1:14" ht="33.75" customHeight="1" x14ac:dyDescent="0.2">
      <c r="A170" s="670" t="s">
        <v>1769</v>
      </c>
      <c r="B170" s="672" t="s">
        <v>31</v>
      </c>
      <c r="C170" s="617"/>
      <c r="D170" s="617"/>
      <c r="E170" s="617"/>
      <c r="F170" s="617"/>
      <c r="G170" s="617"/>
      <c r="H170" s="569">
        <v>1710000</v>
      </c>
      <c r="I170" s="617"/>
      <c r="J170" s="617"/>
      <c r="K170" s="1693">
        <f>SUM(C170:J170)</f>
        <v>1710000</v>
      </c>
      <c r="L170" s="569">
        <v>1710000</v>
      </c>
    </row>
    <row r="171" spans="1:14" ht="15.75" customHeight="1" x14ac:dyDescent="0.2">
      <c r="A171" s="622" t="s">
        <v>790</v>
      </c>
      <c r="B171" s="673" t="s">
        <v>86</v>
      </c>
      <c r="C171" s="617"/>
      <c r="D171" s="617"/>
      <c r="E171" s="466">
        <v>0</v>
      </c>
      <c r="F171" s="617"/>
      <c r="G171" s="617"/>
      <c r="H171" s="569">
        <v>2750</v>
      </c>
      <c r="I171" s="477"/>
      <c r="J171" s="617"/>
      <c r="K171" s="1693">
        <f>SUM(C171:J171)</f>
        <v>2750</v>
      </c>
      <c r="L171" s="569">
        <v>0</v>
      </c>
    </row>
    <row r="172" spans="1:14" ht="12.75" customHeight="1" thickBot="1" x14ac:dyDescent="0.25">
      <c r="A172" s="1690" t="s">
        <v>659</v>
      </c>
      <c r="B172" s="1691" t="s">
        <v>513</v>
      </c>
      <c r="C172" s="617"/>
      <c r="D172" s="617"/>
      <c r="E172" s="1699">
        <f>SUM(E168,E169,E170,E171)</f>
        <v>0</v>
      </c>
      <c r="F172" s="617"/>
      <c r="G172" s="617"/>
      <c r="H172" s="1699">
        <f>SUM(H168,H169,H170,H171)</f>
        <v>1860389</v>
      </c>
      <c r="I172" s="639"/>
      <c r="J172" s="617"/>
      <c r="K172" s="1699">
        <f>SUM(K168,K169,K170,K171)</f>
        <v>1860389</v>
      </c>
      <c r="L172" s="1699">
        <f>SUM(L168,L169,L170,L171)</f>
        <v>1861000</v>
      </c>
    </row>
    <row r="173" spans="1:14" ht="15.75" customHeight="1" thickTop="1" thickBot="1" x14ac:dyDescent="0.25">
      <c r="A173" s="1641" t="s">
        <v>87</v>
      </c>
      <c r="B173" s="1633" t="s">
        <v>916</v>
      </c>
      <c r="C173" s="617"/>
      <c r="D173" s="617"/>
      <c r="E173" s="624"/>
      <c r="F173" s="617"/>
      <c r="G173" s="617"/>
      <c r="H173" s="627"/>
      <c r="I173" s="639"/>
      <c r="J173" s="617"/>
      <c r="K173" s="624"/>
      <c r="L173" s="576">
        <v>0</v>
      </c>
    </row>
    <row r="174" spans="1:14" ht="12.75" customHeight="1" thickTop="1" thickBot="1" x14ac:dyDescent="0.25">
      <c r="A174" s="1711" t="s">
        <v>92</v>
      </c>
      <c r="B174" s="1712"/>
      <c r="C174" s="617"/>
      <c r="D174" s="617"/>
      <c r="E174" s="1699">
        <f>SUM(E155,E172,E173)</f>
        <v>0</v>
      </c>
      <c r="F174" s="617"/>
      <c r="G174" s="617"/>
      <c r="H174" s="1699">
        <f>SUM(H160,H172,H173)</f>
        <v>1860389</v>
      </c>
      <c r="I174" s="639"/>
      <c r="J174" s="617"/>
      <c r="K174" s="1699">
        <f>SUM(K160,K172,K173)</f>
        <v>1860389</v>
      </c>
      <c r="L174" s="1699">
        <f>SUM(L160,L172,L173)</f>
        <v>1861000</v>
      </c>
    </row>
    <row r="175" spans="1:14" ht="13.5" thickTop="1" x14ac:dyDescent="0.2">
      <c r="A175" s="2172" t="s">
        <v>1053</v>
      </c>
      <c r="B175" s="2173"/>
      <c r="C175" s="617"/>
      <c r="D175" s="617"/>
      <c r="E175" s="617"/>
      <c r="F175" s="617"/>
      <c r="G175" s="617"/>
      <c r="H175" s="619"/>
      <c r="I175" s="617"/>
      <c r="J175" s="617"/>
      <c r="K175" s="1706">
        <f>'Revenues 9-14'!E275-'Expenditures 15-22'!K174</f>
        <v>-137440</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v>0</v>
      </c>
      <c r="D180" s="466">
        <v>0</v>
      </c>
      <c r="E180" s="466">
        <v>0</v>
      </c>
      <c r="F180" s="466">
        <v>0</v>
      </c>
      <c r="G180" s="466">
        <v>0</v>
      </c>
      <c r="H180" s="466">
        <v>0</v>
      </c>
      <c r="I180" s="467">
        <v>0</v>
      </c>
      <c r="J180" s="467">
        <v>0</v>
      </c>
      <c r="K180" s="1693">
        <f>SUM(C180:J180)</f>
        <v>0</v>
      </c>
      <c r="L180" s="466">
        <v>0</v>
      </c>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805386</v>
      </c>
      <c r="D182" s="466">
        <v>254523</v>
      </c>
      <c r="E182" s="466">
        <v>577820</v>
      </c>
      <c r="F182" s="466">
        <v>147269</v>
      </c>
      <c r="G182" s="466">
        <v>0</v>
      </c>
      <c r="H182" s="466">
        <v>1055</v>
      </c>
      <c r="I182" s="467">
        <v>0</v>
      </c>
      <c r="J182" s="467">
        <v>0</v>
      </c>
      <c r="K182" s="1693">
        <f>SUM(C182:J182)</f>
        <v>1786053</v>
      </c>
      <c r="L182" s="466">
        <v>1788500</v>
      </c>
    </row>
    <row r="183" spans="1:14" ht="12.75" customHeight="1" thickBot="1" x14ac:dyDescent="0.25">
      <c r="A183" s="1531" t="s">
        <v>1037</v>
      </c>
      <c r="B183" s="678">
        <v>2900</v>
      </c>
      <c r="C183" s="573">
        <v>0</v>
      </c>
      <c r="D183" s="573">
        <v>0</v>
      </c>
      <c r="E183" s="573">
        <v>0</v>
      </c>
      <c r="F183" s="573">
        <v>0</v>
      </c>
      <c r="G183" s="573">
        <v>0</v>
      </c>
      <c r="H183" s="573">
        <v>0</v>
      </c>
      <c r="I183" s="532">
        <v>0</v>
      </c>
      <c r="J183" s="532">
        <v>0</v>
      </c>
      <c r="K183" s="1699">
        <f>SUM(C183:J183)</f>
        <v>0</v>
      </c>
      <c r="L183" s="573">
        <v>0</v>
      </c>
    </row>
    <row r="184" spans="1:14" ht="12.75" customHeight="1" thickTop="1" thickBot="1" x14ac:dyDescent="0.25">
      <c r="A184" s="1713" t="s">
        <v>865</v>
      </c>
      <c r="B184" s="1691" t="s">
        <v>590</v>
      </c>
      <c r="C184" s="1699">
        <f>SUM(C180,C182,C183)</f>
        <v>805386</v>
      </c>
      <c r="D184" s="1699">
        <f t="shared" ref="D184:J184" si="17">SUM(D180,D182,D183)</f>
        <v>254523</v>
      </c>
      <c r="E184" s="1699">
        <f t="shared" si="17"/>
        <v>577820</v>
      </c>
      <c r="F184" s="1699">
        <f t="shared" si="17"/>
        <v>147269</v>
      </c>
      <c r="G184" s="1699">
        <f t="shared" si="17"/>
        <v>0</v>
      </c>
      <c r="H184" s="1699">
        <f t="shared" si="17"/>
        <v>1055</v>
      </c>
      <c r="I184" s="1699">
        <f t="shared" si="17"/>
        <v>0</v>
      </c>
      <c r="J184" s="1699">
        <f t="shared" si="17"/>
        <v>0</v>
      </c>
      <c r="K184" s="1699">
        <f>SUM(K180,K182,K183)</f>
        <v>1786053</v>
      </c>
      <c r="L184" s="1699">
        <f>SUM(L180, L182:L183)</f>
        <v>1788500</v>
      </c>
    </row>
    <row r="185" spans="1:14" ht="15.75" customHeight="1" thickTop="1" thickBot="1" x14ac:dyDescent="0.25">
      <c r="A185" s="1644" t="s">
        <v>996</v>
      </c>
      <c r="B185" s="1633">
        <v>3000</v>
      </c>
      <c r="C185" s="576">
        <v>0</v>
      </c>
      <c r="D185" s="576">
        <v>0</v>
      </c>
      <c r="E185" s="576">
        <v>0</v>
      </c>
      <c r="F185" s="576">
        <v>0</v>
      </c>
      <c r="G185" s="576">
        <v>0</v>
      </c>
      <c r="H185" s="576">
        <v>0</v>
      </c>
      <c r="I185" s="531">
        <v>0</v>
      </c>
      <c r="J185" s="531">
        <v>0</v>
      </c>
      <c r="K185" s="1692">
        <f>SUM(C185:J185)</f>
        <v>0</v>
      </c>
      <c r="L185" s="576">
        <v>0</v>
      </c>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v>0</v>
      </c>
      <c r="F188" s="617"/>
      <c r="G188" s="617"/>
      <c r="H188" s="466">
        <v>0</v>
      </c>
      <c r="I188" s="477"/>
      <c r="J188" s="617"/>
      <c r="K188" s="1693">
        <f t="shared" ref="K188:K193" si="18">SUM(E188,H188)</f>
        <v>0</v>
      </c>
      <c r="L188" s="466">
        <v>0</v>
      </c>
    </row>
    <row r="189" spans="1:14" x14ac:dyDescent="0.2">
      <c r="A189" s="1526" t="s">
        <v>322</v>
      </c>
      <c r="B189" s="615">
        <v>4120</v>
      </c>
      <c r="C189" s="617"/>
      <c r="D189" s="617"/>
      <c r="E189" s="466">
        <v>0</v>
      </c>
      <c r="F189" s="617"/>
      <c r="G189" s="617"/>
      <c r="H189" s="466">
        <v>0</v>
      </c>
      <c r="I189" s="477"/>
      <c r="J189" s="617"/>
      <c r="K189" s="1693">
        <f t="shared" si="18"/>
        <v>0</v>
      </c>
      <c r="L189" s="466">
        <v>0</v>
      </c>
    </row>
    <row r="190" spans="1:14" x14ac:dyDescent="0.2">
      <c r="A190" s="1526" t="s">
        <v>323</v>
      </c>
      <c r="B190" s="629">
        <v>4130</v>
      </c>
      <c r="C190" s="617"/>
      <c r="D190" s="617"/>
      <c r="E190" s="466">
        <v>0</v>
      </c>
      <c r="F190" s="617"/>
      <c r="G190" s="617"/>
      <c r="H190" s="466">
        <v>0</v>
      </c>
      <c r="I190" s="477"/>
      <c r="J190" s="617"/>
      <c r="K190" s="1693">
        <f t="shared" si="18"/>
        <v>0</v>
      </c>
      <c r="L190" s="466">
        <v>0</v>
      </c>
    </row>
    <row r="191" spans="1:14" x14ac:dyDescent="0.2">
      <c r="A191" s="1526" t="s">
        <v>721</v>
      </c>
      <c r="B191" s="615">
        <v>4140</v>
      </c>
      <c r="C191" s="617"/>
      <c r="D191" s="617"/>
      <c r="E191" s="466">
        <v>0</v>
      </c>
      <c r="F191" s="617"/>
      <c r="G191" s="617"/>
      <c r="H191" s="466">
        <v>0</v>
      </c>
      <c r="I191" s="477"/>
      <c r="J191" s="617"/>
      <c r="K191" s="1693">
        <f t="shared" si="18"/>
        <v>0</v>
      </c>
      <c r="L191" s="466">
        <v>0</v>
      </c>
    </row>
    <row r="192" spans="1:14" x14ac:dyDescent="0.2">
      <c r="A192" s="1526" t="s">
        <v>88</v>
      </c>
      <c r="B192" s="615">
        <v>4170</v>
      </c>
      <c r="C192" s="617"/>
      <c r="D192" s="617"/>
      <c r="E192" s="466">
        <v>0</v>
      </c>
      <c r="F192" s="617"/>
      <c r="G192" s="617"/>
      <c r="H192" s="466">
        <v>0</v>
      </c>
      <c r="I192" s="477"/>
      <c r="J192" s="617"/>
      <c r="K192" s="1693">
        <f t="shared" si="18"/>
        <v>0</v>
      </c>
      <c r="L192" s="466">
        <v>0</v>
      </c>
    </row>
    <row r="193" spans="1:14" x14ac:dyDescent="0.2">
      <c r="A193" s="1530" t="s">
        <v>722</v>
      </c>
      <c r="B193" s="629">
        <v>4190</v>
      </c>
      <c r="C193" s="617"/>
      <c r="D193" s="617"/>
      <c r="E193" s="466">
        <v>0</v>
      </c>
      <c r="F193" s="617"/>
      <c r="G193" s="617"/>
      <c r="H193" s="466">
        <v>0</v>
      </c>
      <c r="I193" s="477"/>
      <c r="J193" s="617"/>
      <c r="K193" s="1693">
        <f t="shared" si="18"/>
        <v>0</v>
      </c>
      <c r="L193" s="466">
        <v>0</v>
      </c>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v>0</v>
      </c>
      <c r="F195" s="617"/>
      <c r="G195" s="617"/>
      <c r="H195" s="657">
        <v>0</v>
      </c>
      <c r="I195" s="477"/>
      <c r="J195" s="617"/>
      <c r="K195" s="1707">
        <f>SUM(E195,H195)</f>
        <v>0</v>
      </c>
      <c r="L195" s="657">
        <v>0</v>
      </c>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v>0</v>
      </c>
      <c r="I199" s="617"/>
      <c r="J199" s="617"/>
      <c r="K199" s="1693">
        <f>SUM(H199)</f>
        <v>0</v>
      </c>
      <c r="L199" s="466">
        <v>0</v>
      </c>
    </row>
    <row r="200" spans="1:14" x14ac:dyDescent="0.2">
      <c r="A200" s="1526" t="s">
        <v>90</v>
      </c>
      <c r="B200" s="615">
        <v>5120</v>
      </c>
      <c r="C200" s="617"/>
      <c r="D200" s="617"/>
      <c r="E200" s="617"/>
      <c r="F200" s="617"/>
      <c r="G200" s="617"/>
      <c r="H200" s="466">
        <v>0</v>
      </c>
      <c r="I200" s="617"/>
      <c r="J200" s="617"/>
      <c r="K200" s="1693">
        <f>SUM(H200)</f>
        <v>0</v>
      </c>
      <c r="L200" s="466">
        <v>0</v>
      </c>
    </row>
    <row r="201" spans="1:14" ht="12.75" customHeight="1" x14ac:dyDescent="0.2">
      <c r="A201" s="1526" t="s">
        <v>1232</v>
      </c>
      <c r="B201" s="629" t="s">
        <v>638</v>
      </c>
      <c r="C201" s="617"/>
      <c r="D201" s="617"/>
      <c r="E201" s="617"/>
      <c r="F201" s="617"/>
      <c r="G201" s="617"/>
      <c r="H201" s="466">
        <v>0</v>
      </c>
      <c r="I201" s="617"/>
      <c r="J201" s="617"/>
      <c r="K201" s="1693">
        <f>SUM(H201)</f>
        <v>0</v>
      </c>
      <c r="L201" s="466">
        <v>0</v>
      </c>
    </row>
    <row r="202" spans="1:14" x14ac:dyDescent="0.2">
      <c r="A202" s="1526" t="s">
        <v>91</v>
      </c>
      <c r="B202" s="615" t="s">
        <v>610</v>
      </c>
      <c r="C202" s="617"/>
      <c r="D202" s="617"/>
      <c r="E202" s="617"/>
      <c r="F202" s="617"/>
      <c r="G202" s="617"/>
      <c r="H202" s="466">
        <v>0</v>
      </c>
      <c r="I202" s="617"/>
      <c r="J202" s="617"/>
      <c r="K202" s="1693">
        <f>SUM(H202)</f>
        <v>0</v>
      </c>
      <c r="L202" s="466">
        <v>0</v>
      </c>
    </row>
    <row r="203" spans="1:14" x14ac:dyDescent="0.2">
      <c r="A203" s="1538" t="s">
        <v>640</v>
      </c>
      <c r="B203" s="615" t="s">
        <v>639</v>
      </c>
      <c r="C203" s="617"/>
      <c r="D203" s="617"/>
      <c r="E203" s="617"/>
      <c r="F203" s="617"/>
      <c r="G203" s="617"/>
      <c r="H203" s="471">
        <v>0</v>
      </c>
      <c r="I203" s="617"/>
      <c r="J203" s="617"/>
      <c r="K203" s="1693">
        <f>SUM(H203)</f>
        <v>0</v>
      </c>
      <c r="L203" s="471">
        <v>0</v>
      </c>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v>0</v>
      </c>
      <c r="I205" s="617"/>
      <c r="J205" s="617"/>
      <c r="K205" s="1707">
        <f>SUM(H205)</f>
        <v>0</v>
      </c>
      <c r="L205" s="535">
        <v>0</v>
      </c>
    </row>
    <row r="206" spans="1:14" ht="30" customHeight="1" x14ac:dyDescent="0.2">
      <c r="A206" s="682" t="s">
        <v>1770</v>
      </c>
      <c r="B206" s="673" t="s">
        <v>31</v>
      </c>
      <c r="C206" s="617"/>
      <c r="D206" s="617"/>
      <c r="E206" s="617"/>
      <c r="F206" s="617"/>
      <c r="G206" s="617"/>
      <c r="H206" s="466">
        <v>0</v>
      </c>
      <c r="I206" s="617"/>
      <c r="J206" s="617"/>
      <c r="K206" s="1693">
        <f>SUM(H206)</f>
        <v>0</v>
      </c>
      <c r="L206" s="466">
        <v>0</v>
      </c>
    </row>
    <row r="207" spans="1:14" ht="15.75" customHeight="1" x14ac:dyDescent="0.2">
      <c r="A207" s="622" t="s">
        <v>790</v>
      </c>
      <c r="B207" s="673" t="s">
        <v>86</v>
      </c>
      <c r="C207" s="617"/>
      <c r="D207" s="617"/>
      <c r="E207" s="617"/>
      <c r="F207" s="617"/>
      <c r="G207" s="617"/>
      <c r="H207" s="467">
        <v>0</v>
      </c>
      <c r="I207" s="617"/>
      <c r="J207" s="617"/>
      <c r="K207" s="1693">
        <f>H207</f>
        <v>0</v>
      </c>
      <c r="L207" s="466">
        <v>0</v>
      </c>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v>0</v>
      </c>
    </row>
    <row r="210" spans="1:14" ht="12.75" customHeight="1" thickTop="1" thickBot="1" x14ac:dyDescent="0.25">
      <c r="A210" s="1714" t="s">
        <v>295</v>
      </c>
      <c r="B210" s="1715"/>
      <c r="C210" s="1692">
        <f>SUM(C184,C185)</f>
        <v>805386</v>
      </c>
      <c r="D210" s="1692">
        <f>SUM(D184,D185)</f>
        <v>254523</v>
      </c>
      <c r="E210" s="1692">
        <f>SUM(E184,E185,E196)</f>
        <v>577820</v>
      </c>
      <c r="F210" s="1692">
        <f>SUM(F184,F185)</f>
        <v>147269</v>
      </c>
      <c r="G210" s="1692">
        <f>SUM(G184,G185)</f>
        <v>0</v>
      </c>
      <c r="H210" s="1692">
        <f>SUM(H184,H185,H196,H208,H209)</f>
        <v>1055</v>
      </c>
      <c r="I210" s="1692">
        <f>SUM(I184,I185)</f>
        <v>0</v>
      </c>
      <c r="J210" s="1692">
        <f>SUM(J184,J185)</f>
        <v>0</v>
      </c>
      <c r="K210" s="1693">
        <f>SUM(K184,K185,K196,K208,K209)</f>
        <v>1786053</v>
      </c>
      <c r="L210" s="1692">
        <f>SUM(L184,L185,L196,L208,L209)</f>
        <v>1788500</v>
      </c>
    </row>
    <row r="211" spans="1:14" ht="13.5" thickTop="1" x14ac:dyDescent="0.2">
      <c r="A211" s="2172" t="s">
        <v>1053</v>
      </c>
      <c r="B211" s="2173"/>
      <c r="C211" s="619"/>
      <c r="D211" s="619"/>
      <c r="E211" s="619"/>
      <c r="F211" s="619"/>
      <c r="G211" s="619"/>
      <c r="H211" s="619"/>
      <c r="I211" s="617"/>
      <c r="J211" s="617"/>
      <c r="K211" s="1706">
        <f>'Revenues 9-14'!F275-'Expenditures 15-22'!K210</f>
        <v>-43966</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4" t="s">
        <v>1022</v>
      </c>
      <c r="B213" s="2195"/>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42584</v>
      </c>
      <c r="E215" s="617"/>
      <c r="F215" s="617"/>
      <c r="G215" s="617"/>
      <c r="H215" s="617"/>
      <c r="I215" s="617"/>
      <c r="J215" s="617"/>
      <c r="K215" s="1693">
        <f>D215</f>
        <v>42584</v>
      </c>
      <c r="L215" s="466">
        <v>46000</v>
      </c>
    </row>
    <row r="216" spans="1:14" x14ac:dyDescent="0.2">
      <c r="A216" s="1526" t="s">
        <v>165</v>
      </c>
      <c r="B216" s="615" t="s">
        <v>1024</v>
      </c>
      <c r="C216" s="617"/>
      <c r="D216" s="467">
        <v>0</v>
      </c>
      <c r="E216" s="617"/>
      <c r="F216" s="617"/>
      <c r="G216" s="617"/>
      <c r="H216" s="617"/>
      <c r="I216" s="617"/>
      <c r="J216" s="617"/>
      <c r="K216" s="1693">
        <f t="shared" ref="K216:K228" si="19">D216</f>
        <v>0</v>
      </c>
      <c r="L216" s="466">
        <v>0</v>
      </c>
    </row>
    <row r="217" spans="1:14" x14ac:dyDescent="0.2">
      <c r="A217" s="1526" t="s">
        <v>166</v>
      </c>
      <c r="B217" s="615">
        <v>1200</v>
      </c>
      <c r="C217" s="617"/>
      <c r="D217" s="466">
        <v>39179</v>
      </c>
      <c r="E217" s="617"/>
      <c r="F217" s="617"/>
      <c r="G217" s="617"/>
      <c r="H217" s="617"/>
      <c r="I217" s="617"/>
      <c r="J217" s="617"/>
      <c r="K217" s="1693">
        <f t="shared" si="19"/>
        <v>39179</v>
      </c>
      <c r="L217" s="466">
        <v>39000</v>
      </c>
    </row>
    <row r="218" spans="1:14" x14ac:dyDescent="0.2">
      <c r="A218" s="1526" t="s">
        <v>296</v>
      </c>
      <c r="B218" s="615" t="s">
        <v>1025</v>
      </c>
      <c r="C218" s="617"/>
      <c r="D218" s="467">
        <v>0</v>
      </c>
      <c r="E218" s="617"/>
      <c r="F218" s="617"/>
      <c r="G218" s="617"/>
      <c r="H218" s="617"/>
      <c r="I218" s="617"/>
      <c r="J218" s="617"/>
      <c r="K218" s="1693">
        <f t="shared" si="19"/>
        <v>0</v>
      </c>
      <c r="L218" s="466">
        <v>0</v>
      </c>
    </row>
    <row r="219" spans="1:14" x14ac:dyDescent="0.2">
      <c r="A219" s="1526" t="s">
        <v>297</v>
      </c>
      <c r="B219" s="615">
        <v>1250</v>
      </c>
      <c r="C219" s="617"/>
      <c r="D219" s="466">
        <v>0</v>
      </c>
      <c r="E219" s="617"/>
      <c r="F219" s="617"/>
      <c r="G219" s="617"/>
      <c r="H219" s="617"/>
      <c r="I219" s="617"/>
      <c r="J219" s="617"/>
      <c r="K219" s="1693">
        <f t="shared" si="19"/>
        <v>0</v>
      </c>
      <c r="L219" s="466">
        <v>0</v>
      </c>
    </row>
    <row r="220" spans="1:14" x14ac:dyDescent="0.2">
      <c r="A220" s="1526" t="s">
        <v>298</v>
      </c>
      <c r="B220" s="615" t="s">
        <v>163</v>
      </c>
      <c r="C220" s="617"/>
      <c r="D220" s="467">
        <v>0</v>
      </c>
      <c r="E220" s="617"/>
      <c r="F220" s="617"/>
      <c r="G220" s="617"/>
      <c r="H220" s="617"/>
      <c r="I220" s="617"/>
      <c r="J220" s="617"/>
      <c r="K220" s="1693">
        <f t="shared" si="19"/>
        <v>0</v>
      </c>
      <c r="L220" s="466">
        <v>0</v>
      </c>
    </row>
    <row r="221" spans="1:14" x14ac:dyDescent="0.2">
      <c r="A221" s="1526" t="s">
        <v>1019</v>
      </c>
      <c r="B221" s="615">
        <v>1300</v>
      </c>
      <c r="C221" s="617"/>
      <c r="D221" s="466">
        <v>0</v>
      </c>
      <c r="E221" s="617"/>
      <c r="F221" s="617"/>
      <c r="G221" s="617"/>
      <c r="H221" s="617"/>
      <c r="I221" s="617"/>
      <c r="J221" s="617"/>
      <c r="K221" s="1693">
        <f t="shared" si="19"/>
        <v>0</v>
      </c>
      <c r="L221" s="466">
        <v>0</v>
      </c>
    </row>
    <row r="222" spans="1:14" x14ac:dyDescent="0.2">
      <c r="A222" s="1526" t="s">
        <v>747</v>
      </c>
      <c r="B222" s="615">
        <v>1400</v>
      </c>
      <c r="C222" s="617"/>
      <c r="D222" s="466">
        <v>0</v>
      </c>
      <c r="E222" s="617"/>
      <c r="F222" s="617"/>
      <c r="G222" s="617"/>
      <c r="H222" s="617"/>
      <c r="I222" s="617"/>
      <c r="J222" s="617"/>
      <c r="K222" s="1693">
        <f t="shared" si="19"/>
        <v>0</v>
      </c>
      <c r="L222" s="466">
        <v>0</v>
      </c>
    </row>
    <row r="223" spans="1:14" x14ac:dyDescent="0.2">
      <c r="A223" s="1526" t="s">
        <v>1020</v>
      </c>
      <c r="B223" s="615">
        <v>1500</v>
      </c>
      <c r="C223" s="617"/>
      <c r="D223" s="466">
        <v>25979</v>
      </c>
      <c r="E223" s="617"/>
      <c r="F223" s="617"/>
      <c r="G223" s="617"/>
      <c r="H223" s="617"/>
      <c r="I223" s="617"/>
      <c r="J223" s="617"/>
      <c r="K223" s="1693">
        <f t="shared" si="19"/>
        <v>25979</v>
      </c>
      <c r="L223" s="466">
        <v>30000</v>
      </c>
    </row>
    <row r="224" spans="1:14" x14ac:dyDescent="0.2">
      <c r="A224" s="1526" t="s">
        <v>1021</v>
      </c>
      <c r="B224" s="615">
        <v>1600</v>
      </c>
      <c r="C224" s="617"/>
      <c r="D224" s="466">
        <v>0</v>
      </c>
      <c r="E224" s="617"/>
      <c r="F224" s="617"/>
      <c r="G224" s="617"/>
      <c r="H224" s="617"/>
      <c r="I224" s="617"/>
      <c r="J224" s="617"/>
      <c r="K224" s="1693">
        <f t="shared" si="19"/>
        <v>0</v>
      </c>
      <c r="L224" s="466">
        <v>0</v>
      </c>
    </row>
    <row r="225" spans="1:12" x14ac:dyDescent="0.2">
      <c r="A225" s="1526" t="s">
        <v>1044</v>
      </c>
      <c r="B225" s="615">
        <v>1650</v>
      </c>
      <c r="C225" s="617"/>
      <c r="D225" s="466">
        <v>0</v>
      </c>
      <c r="E225" s="617"/>
      <c r="F225" s="617"/>
      <c r="G225" s="617"/>
      <c r="H225" s="617"/>
      <c r="I225" s="617"/>
      <c r="J225" s="617"/>
      <c r="K225" s="1693">
        <f t="shared" si="19"/>
        <v>0</v>
      </c>
      <c r="L225" s="466">
        <v>0</v>
      </c>
    </row>
    <row r="226" spans="1:12" x14ac:dyDescent="0.2">
      <c r="A226" s="1526" t="s">
        <v>748</v>
      </c>
      <c r="B226" s="615" t="s">
        <v>164</v>
      </c>
      <c r="C226" s="617"/>
      <c r="D226" s="467">
        <v>1243</v>
      </c>
      <c r="E226" s="617"/>
      <c r="F226" s="617"/>
      <c r="G226" s="617"/>
      <c r="H226" s="617"/>
      <c r="I226" s="617"/>
      <c r="J226" s="617"/>
      <c r="K226" s="1693">
        <f t="shared" si="19"/>
        <v>1243</v>
      </c>
      <c r="L226" s="466">
        <v>1600</v>
      </c>
    </row>
    <row r="227" spans="1:12" x14ac:dyDescent="0.2">
      <c r="A227" s="1526" t="s">
        <v>1148</v>
      </c>
      <c r="B227" s="615">
        <v>1800</v>
      </c>
      <c r="C227" s="617"/>
      <c r="D227" s="466">
        <v>0</v>
      </c>
      <c r="E227" s="617"/>
      <c r="F227" s="617"/>
      <c r="G227" s="617"/>
      <c r="H227" s="617"/>
      <c r="I227" s="617"/>
      <c r="J227" s="617"/>
      <c r="K227" s="1693">
        <f t="shared" si="19"/>
        <v>0</v>
      </c>
      <c r="L227" s="466">
        <v>0</v>
      </c>
    </row>
    <row r="228" spans="1:12" x14ac:dyDescent="0.2">
      <c r="A228" s="1526" t="s">
        <v>1149</v>
      </c>
      <c r="B228" s="615">
        <v>1900</v>
      </c>
      <c r="C228" s="617"/>
      <c r="D228" s="466">
        <v>0</v>
      </c>
      <c r="E228" s="617"/>
      <c r="F228" s="617"/>
      <c r="G228" s="617"/>
      <c r="H228" s="617"/>
      <c r="I228" s="617"/>
      <c r="J228" s="617"/>
      <c r="K228" s="1693">
        <f t="shared" si="19"/>
        <v>0</v>
      </c>
      <c r="L228" s="466">
        <v>0</v>
      </c>
    </row>
    <row r="229" spans="1:12" ht="12.75" customHeight="1" thickBot="1" x14ac:dyDescent="0.25">
      <c r="A229" s="1690" t="s">
        <v>739</v>
      </c>
      <c r="B229" s="1697" t="s">
        <v>591</v>
      </c>
      <c r="C229" s="617"/>
      <c r="D229" s="1692">
        <f>SUM(D215:D228)</f>
        <v>108985</v>
      </c>
      <c r="E229" s="617"/>
      <c r="F229" s="617"/>
      <c r="G229" s="617"/>
      <c r="H229" s="617"/>
      <c r="I229" s="617"/>
      <c r="J229" s="617"/>
      <c r="K229" s="1692">
        <f>SUM(K215:K228)</f>
        <v>108985</v>
      </c>
      <c r="L229" s="1692">
        <f>SUM(L215:L228)</f>
        <v>116600</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v>1697</v>
      </c>
      <c r="E232" s="617"/>
      <c r="F232" s="617"/>
      <c r="G232" s="617"/>
      <c r="H232" s="617"/>
      <c r="I232" s="617"/>
      <c r="J232" s="617"/>
      <c r="K232" s="1693">
        <f t="shared" ref="K232:K237" si="20">D232</f>
        <v>1697</v>
      </c>
      <c r="L232" s="466">
        <v>2000</v>
      </c>
    </row>
    <row r="233" spans="1:12" x14ac:dyDescent="0.2">
      <c r="A233" s="1526" t="s">
        <v>1151</v>
      </c>
      <c r="B233" s="615">
        <v>2120</v>
      </c>
      <c r="C233" s="617"/>
      <c r="D233" s="466">
        <v>8905</v>
      </c>
      <c r="E233" s="617"/>
      <c r="F233" s="617"/>
      <c r="G233" s="617"/>
      <c r="H233" s="617"/>
      <c r="I233" s="617"/>
      <c r="J233" s="617"/>
      <c r="K233" s="1693">
        <f t="shared" si="20"/>
        <v>8905</v>
      </c>
      <c r="L233" s="466">
        <v>9000</v>
      </c>
    </row>
    <row r="234" spans="1:12" x14ac:dyDescent="0.2">
      <c r="A234" s="1526" t="s">
        <v>207</v>
      </c>
      <c r="B234" s="615">
        <v>2130</v>
      </c>
      <c r="C234" s="617"/>
      <c r="D234" s="466">
        <v>7944</v>
      </c>
      <c r="E234" s="617"/>
      <c r="F234" s="617"/>
      <c r="G234" s="617"/>
      <c r="H234" s="617"/>
      <c r="I234" s="617"/>
      <c r="J234" s="617"/>
      <c r="K234" s="1693">
        <f t="shared" si="20"/>
        <v>7944</v>
      </c>
      <c r="L234" s="466">
        <v>6750</v>
      </c>
    </row>
    <row r="235" spans="1:12" x14ac:dyDescent="0.2">
      <c r="A235" s="1526" t="s">
        <v>208</v>
      </c>
      <c r="B235" s="615">
        <v>2140</v>
      </c>
      <c r="C235" s="617"/>
      <c r="D235" s="466">
        <v>1819</v>
      </c>
      <c r="E235" s="617"/>
      <c r="F235" s="617"/>
      <c r="G235" s="617"/>
      <c r="H235" s="617"/>
      <c r="I235" s="617"/>
      <c r="J235" s="617"/>
      <c r="K235" s="1693">
        <f t="shared" si="20"/>
        <v>1819</v>
      </c>
      <c r="L235" s="466">
        <v>3000</v>
      </c>
    </row>
    <row r="236" spans="1:12" x14ac:dyDescent="0.2">
      <c r="A236" s="1526" t="s">
        <v>209</v>
      </c>
      <c r="B236" s="615">
        <v>2150</v>
      </c>
      <c r="C236" s="617"/>
      <c r="D236" s="466">
        <v>0</v>
      </c>
      <c r="E236" s="617"/>
      <c r="F236" s="617"/>
      <c r="G236" s="617"/>
      <c r="H236" s="617"/>
      <c r="I236" s="617"/>
      <c r="J236" s="617"/>
      <c r="K236" s="1693">
        <f t="shared" si="20"/>
        <v>0</v>
      </c>
      <c r="L236" s="466">
        <v>0</v>
      </c>
    </row>
    <row r="237" spans="1:12" x14ac:dyDescent="0.2">
      <c r="A237" s="1526" t="s">
        <v>167</v>
      </c>
      <c r="B237" s="615">
        <v>2190</v>
      </c>
      <c r="C237" s="617"/>
      <c r="D237" s="466">
        <v>0</v>
      </c>
      <c r="E237" s="617"/>
      <c r="F237" s="617"/>
      <c r="G237" s="617"/>
      <c r="H237" s="617"/>
      <c r="I237" s="617"/>
      <c r="J237" s="617"/>
      <c r="K237" s="1693">
        <f t="shared" si="20"/>
        <v>0</v>
      </c>
      <c r="L237" s="466">
        <v>0</v>
      </c>
    </row>
    <row r="238" spans="1:12" ht="12.75" customHeight="1" thickBot="1" x14ac:dyDescent="0.25">
      <c r="A238" s="1690" t="s">
        <v>581</v>
      </c>
      <c r="B238" s="1697" t="s">
        <v>740</v>
      </c>
      <c r="C238" s="617"/>
      <c r="D238" s="1692">
        <f>SUM(D232:D237)</f>
        <v>20365</v>
      </c>
      <c r="E238" s="617"/>
      <c r="F238" s="617"/>
      <c r="G238" s="617"/>
      <c r="H238" s="617"/>
      <c r="I238" s="617"/>
      <c r="J238" s="617"/>
      <c r="K238" s="1692">
        <f>SUM(K232:K237)</f>
        <v>20365</v>
      </c>
      <c r="L238" s="1692">
        <f>SUM(L232:L237)</f>
        <v>20750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v>50</v>
      </c>
      <c r="E240" s="617"/>
      <c r="F240" s="617"/>
      <c r="G240" s="617"/>
      <c r="H240" s="617"/>
      <c r="I240" s="617"/>
      <c r="J240" s="617"/>
      <c r="K240" s="1694">
        <f>D240</f>
        <v>50</v>
      </c>
      <c r="L240" s="481">
        <v>150</v>
      </c>
    </row>
    <row r="241" spans="1:12" x14ac:dyDescent="0.2">
      <c r="A241" s="1526" t="s">
        <v>869</v>
      </c>
      <c r="B241" s="615">
        <v>2220</v>
      </c>
      <c r="C241" s="617"/>
      <c r="D241" s="466">
        <v>6789</v>
      </c>
      <c r="E241" s="617"/>
      <c r="F241" s="617"/>
      <c r="G241" s="617"/>
      <c r="H241" s="617"/>
      <c r="I241" s="617"/>
      <c r="J241" s="617"/>
      <c r="K241" s="1694">
        <f>D241</f>
        <v>6789</v>
      </c>
      <c r="L241" s="466">
        <v>6400</v>
      </c>
    </row>
    <row r="242" spans="1:12" x14ac:dyDescent="0.2">
      <c r="A242" s="1526" t="s">
        <v>870</v>
      </c>
      <c r="B242" s="615">
        <v>2230</v>
      </c>
      <c r="C242" s="617"/>
      <c r="D242" s="466">
        <v>0</v>
      </c>
      <c r="E242" s="617"/>
      <c r="F242" s="617"/>
      <c r="G242" s="617"/>
      <c r="H242" s="617"/>
      <c r="I242" s="617"/>
      <c r="J242" s="617"/>
      <c r="K242" s="1694">
        <f>D242</f>
        <v>0</v>
      </c>
      <c r="L242" s="466">
        <v>0</v>
      </c>
    </row>
    <row r="243" spans="1:12" ht="12.75" customHeight="1" thickBot="1" x14ac:dyDescent="0.25">
      <c r="A243" s="1716" t="s">
        <v>582</v>
      </c>
      <c r="B243" s="1717">
        <v>2200</v>
      </c>
      <c r="C243" s="617"/>
      <c r="D243" s="1692">
        <f>SUM(D240:D242)</f>
        <v>6839</v>
      </c>
      <c r="E243" s="617"/>
      <c r="F243" s="617"/>
      <c r="G243" s="617"/>
      <c r="H243" s="617"/>
      <c r="I243" s="617"/>
      <c r="J243" s="617"/>
      <c r="K243" s="1692">
        <f>SUM(K240:K242)</f>
        <v>6839</v>
      </c>
      <c r="L243" s="1692">
        <f>SUM(L240:L242)</f>
        <v>6550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16</v>
      </c>
      <c r="E245" s="617"/>
      <c r="F245" s="617"/>
      <c r="G245" s="617"/>
      <c r="H245" s="617"/>
      <c r="I245" s="617"/>
      <c r="J245" s="617"/>
      <c r="K245" s="1694">
        <f>D245</f>
        <v>16</v>
      </c>
      <c r="L245" s="481">
        <v>7500</v>
      </c>
    </row>
    <row r="246" spans="1:12" x14ac:dyDescent="0.2">
      <c r="A246" s="1526" t="s">
        <v>872</v>
      </c>
      <c r="B246" s="615">
        <v>2320</v>
      </c>
      <c r="C246" s="617"/>
      <c r="D246" s="466">
        <v>1005</v>
      </c>
      <c r="E246" s="617"/>
      <c r="F246" s="617"/>
      <c r="G246" s="617"/>
      <c r="H246" s="617"/>
      <c r="I246" s="617"/>
      <c r="J246" s="617"/>
      <c r="K246" s="1694">
        <f t="shared" ref="K246:K256" si="21">D246</f>
        <v>1005</v>
      </c>
      <c r="L246" s="466">
        <v>1500</v>
      </c>
    </row>
    <row r="247" spans="1:12" x14ac:dyDescent="0.2">
      <c r="A247" s="1526" t="s">
        <v>873</v>
      </c>
      <c r="B247" s="615">
        <v>2330</v>
      </c>
      <c r="C247" s="617"/>
      <c r="D247" s="466">
        <v>0</v>
      </c>
      <c r="E247" s="617"/>
      <c r="F247" s="617"/>
      <c r="G247" s="617"/>
      <c r="H247" s="617"/>
      <c r="I247" s="617"/>
      <c r="J247" s="617"/>
      <c r="K247" s="1694">
        <f t="shared" si="21"/>
        <v>0</v>
      </c>
      <c r="L247" s="466">
        <v>0</v>
      </c>
    </row>
    <row r="248" spans="1:12" x14ac:dyDescent="0.2">
      <c r="A248" s="1527" t="s">
        <v>317</v>
      </c>
      <c r="B248" s="603" t="s">
        <v>299</v>
      </c>
      <c r="C248" s="617"/>
      <c r="D248" s="474">
        <v>0</v>
      </c>
      <c r="E248" s="617"/>
      <c r="F248" s="617"/>
      <c r="G248" s="617"/>
      <c r="H248" s="617"/>
      <c r="I248" s="617"/>
      <c r="J248" s="617"/>
      <c r="K248" s="1694">
        <f t="shared" si="21"/>
        <v>0</v>
      </c>
      <c r="L248" s="466">
        <v>0</v>
      </c>
    </row>
    <row r="249" spans="1:12" x14ac:dyDescent="0.2">
      <c r="A249" s="1528" t="s">
        <v>1908</v>
      </c>
      <c r="B249" s="684" t="s">
        <v>300</v>
      </c>
      <c r="C249" s="617"/>
      <c r="D249" s="474">
        <v>0</v>
      </c>
      <c r="E249" s="617"/>
      <c r="F249" s="617"/>
      <c r="G249" s="617"/>
      <c r="H249" s="617"/>
      <c r="I249" s="617"/>
      <c r="J249" s="617"/>
      <c r="K249" s="1694">
        <f t="shared" si="21"/>
        <v>0</v>
      </c>
      <c r="L249" s="466">
        <v>0</v>
      </c>
    </row>
    <row r="250" spans="1:12" x14ac:dyDescent="0.2">
      <c r="A250" s="1527" t="s">
        <v>1909</v>
      </c>
      <c r="B250" s="603" t="s">
        <v>301</v>
      </c>
      <c r="C250" s="617"/>
      <c r="D250" s="474">
        <v>0</v>
      </c>
      <c r="E250" s="617"/>
      <c r="F250" s="617"/>
      <c r="G250" s="617"/>
      <c r="H250" s="617"/>
      <c r="I250" s="617"/>
      <c r="J250" s="617"/>
      <c r="K250" s="1694">
        <f t="shared" si="21"/>
        <v>0</v>
      </c>
      <c r="L250" s="466">
        <v>0</v>
      </c>
    </row>
    <row r="251" spans="1:12" x14ac:dyDescent="0.2">
      <c r="A251" s="1527" t="s">
        <v>256</v>
      </c>
      <c r="B251" s="603" t="s">
        <v>302</v>
      </c>
      <c r="C251" s="617"/>
      <c r="D251" s="474">
        <v>0</v>
      </c>
      <c r="E251" s="617"/>
      <c r="F251" s="617"/>
      <c r="G251" s="617"/>
      <c r="H251" s="617"/>
      <c r="I251" s="617"/>
      <c r="J251" s="617"/>
      <c r="K251" s="1694">
        <f t="shared" si="21"/>
        <v>0</v>
      </c>
      <c r="L251" s="466">
        <v>0</v>
      </c>
    </row>
    <row r="252" spans="1:12" x14ac:dyDescent="0.2">
      <c r="A252" s="1527" t="s">
        <v>726</v>
      </c>
      <c r="B252" s="603" t="s">
        <v>303</v>
      </c>
      <c r="C252" s="617"/>
      <c r="D252" s="474">
        <v>0</v>
      </c>
      <c r="E252" s="617"/>
      <c r="F252" s="617"/>
      <c r="G252" s="617"/>
      <c r="H252" s="617"/>
      <c r="I252" s="617"/>
      <c r="J252" s="617"/>
      <c r="K252" s="1694">
        <f t="shared" si="21"/>
        <v>0</v>
      </c>
      <c r="L252" s="466">
        <v>0</v>
      </c>
    </row>
    <row r="253" spans="1:12" x14ac:dyDescent="0.2">
      <c r="A253" s="1527" t="s">
        <v>257</v>
      </c>
      <c r="B253" s="603" t="s">
        <v>304</v>
      </c>
      <c r="C253" s="617"/>
      <c r="D253" s="474">
        <v>0</v>
      </c>
      <c r="E253" s="617"/>
      <c r="F253" s="617"/>
      <c r="G253" s="617"/>
      <c r="H253" s="617"/>
      <c r="I253" s="617"/>
      <c r="J253" s="617"/>
      <c r="K253" s="1694">
        <f t="shared" si="21"/>
        <v>0</v>
      </c>
      <c r="L253" s="466">
        <v>0</v>
      </c>
    </row>
    <row r="254" spans="1:12" ht="22.5" x14ac:dyDescent="0.2">
      <c r="A254" s="1527" t="s">
        <v>1087</v>
      </c>
      <c r="B254" s="684" t="s">
        <v>305</v>
      </c>
      <c r="C254" s="617"/>
      <c r="D254" s="474">
        <v>0</v>
      </c>
      <c r="E254" s="617"/>
      <c r="F254" s="617"/>
      <c r="G254" s="617"/>
      <c r="H254" s="617"/>
      <c r="I254" s="617"/>
      <c r="J254" s="617"/>
      <c r="K254" s="1694">
        <f t="shared" si="21"/>
        <v>0</v>
      </c>
      <c r="L254" s="466">
        <v>0</v>
      </c>
    </row>
    <row r="255" spans="1:12" x14ac:dyDescent="0.2">
      <c r="A255" s="1527" t="s">
        <v>1088</v>
      </c>
      <c r="B255" s="603" t="s">
        <v>306</v>
      </c>
      <c r="C255" s="617"/>
      <c r="D255" s="474">
        <v>0</v>
      </c>
      <c r="E255" s="617"/>
      <c r="F255" s="617"/>
      <c r="G255" s="617"/>
      <c r="H255" s="617"/>
      <c r="I255" s="617"/>
      <c r="J255" s="617"/>
      <c r="K255" s="1694">
        <f t="shared" si="21"/>
        <v>0</v>
      </c>
      <c r="L255" s="466">
        <v>0</v>
      </c>
    </row>
    <row r="256" spans="1:12" x14ac:dyDescent="0.2">
      <c r="A256" s="1527" t="s">
        <v>1028</v>
      </c>
      <c r="B256" s="615" t="s">
        <v>307</v>
      </c>
      <c r="C256" s="617"/>
      <c r="D256" s="474">
        <v>0</v>
      </c>
      <c r="E256" s="617"/>
      <c r="F256" s="617"/>
      <c r="G256" s="617"/>
      <c r="H256" s="617"/>
      <c r="I256" s="617"/>
      <c r="J256" s="617"/>
      <c r="K256" s="1694">
        <f t="shared" si="21"/>
        <v>0</v>
      </c>
      <c r="L256" s="466">
        <v>0</v>
      </c>
    </row>
    <row r="257" spans="1:14" ht="12.75" customHeight="1" thickBot="1" x14ac:dyDescent="0.25">
      <c r="A257" s="1690" t="s">
        <v>741</v>
      </c>
      <c r="B257" s="1718">
        <v>2300</v>
      </c>
      <c r="C257" s="617"/>
      <c r="D257" s="1692">
        <f>SUM(D245:D256)</f>
        <v>1021</v>
      </c>
      <c r="E257" s="617"/>
      <c r="F257" s="617"/>
      <c r="G257" s="617"/>
      <c r="H257" s="617"/>
      <c r="I257" s="617"/>
      <c r="J257" s="617"/>
      <c r="K257" s="1692">
        <f>SUM(K245:K256)</f>
        <v>1021</v>
      </c>
      <c r="L257" s="1692">
        <f>SUM(L245:L256)</f>
        <v>9000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16773</v>
      </c>
      <c r="E259" s="617"/>
      <c r="F259" s="617"/>
      <c r="G259" s="617"/>
      <c r="H259" s="617"/>
      <c r="I259" s="617"/>
      <c r="J259" s="617"/>
      <c r="K259" s="1694">
        <f>D259</f>
        <v>16773</v>
      </c>
      <c r="L259" s="481">
        <v>17500</v>
      </c>
    </row>
    <row r="260" spans="1:14" s="598" customFormat="1" x14ac:dyDescent="0.2">
      <c r="A260" s="1544" t="s">
        <v>1907</v>
      </c>
      <c r="B260" s="629">
        <v>2490</v>
      </c>
      <c r="C260" s="617"/>
      <c r="D260" s="466">
        <v>0</v>
      </c>
      <c r="E260" s="617"/>
      <c r="F260" s="617"/>
      <c r="G260" s="617"/>
      <c r="H260" s="617"/>
      <c r="I260" s="617"/>
      <c r="J260" s="617"/>
      <c r="K260" s="1694">
        <f>D260</f>
        <v>0</v>
      </c>
      <c r="L260" s="466">
        <v>0</v>
      </c>
      <c r="M260" s="210"/>
      <c r="N260" s="210"/>
    </row>
    <row r="261" spans="1:14" ht="12.75" customHeight="1" thickBot="1" x14ac:dyDescent="0.25">
      <c r="A261" s="1714" t="s">
        <v>281</v>
      </c>
      <c r="B261" s="1719" t="s">
        <v>34</v>
      </c>
      <c r="C261" s="617"/>
      <c r="D261" s="1692">
        <f>SUM(D259:D260)</f>
        <v>16773</v>
      </c>
      <c r="E261" s="617"/>
      <c r="F261" s="617"/>
      <c r="G261" s="617"/>
      <c r="H261" s="617"/>
      <c r="I261" s="617"/>
      <c r="J261" s="617"/>
      <c r="K261" s="1692">
        <f>SUM(K259:K260)</f>
        <v>16773</v>
      </c>
      <c r="L261" s="1692">
        <f>SUM(L259:L260)</f>
        <v>17500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v>1523</v>
      </c>
      <c r="E263" s="617"/>
      <c r="F263" s="617"/>
      <c r="G263" s="617"/>
      <c r="H263" s="617"/>
      <c r="I263" s="617"/>
      <c r="J263" s="617"/>
      <c r="K263" s="1694">
        <f>D263</f>
        <v>1523</v>
      </c>
      <c r="L263" s="481">
        <v>2000</v>
      </c>
    </row>
    <row r="264" spans="1:14" x14ac:dyDescent="0.2">
      <c r="A264" s="1526" t="s">
        <v>483</v>
      </c>
      <c r="B264" s="686">
        <v>2520</v>
      </c>
      <c r="C264" s="617"/>
      <c r="D264" s="466">
        <v>6886</v>
      </c>
      <c r="E264" s="617"/>
      <c r="F264" s="617"/>
      <c r="G264" s="617"/>
      <c r="H264" s="617"/>
      <c r="I264" s="617"/>
      <c r="J264" s="617"/>
      <c r="K264" s="1694">
        <f t="shared" ref="K264:K269" si="22">D264</f>
        <v>6886</v>
      </c>
      <c r="L264" s="466">
        <v>7000</v>
      </c>
    </row>
    <row r="265" spans="1:14" x14ac:dyDescent="0.2">
      <c r="A265" s="1526" t="s">
        <v>4</v>
      </c>
      <c r="B265" s="615">
        <v>2530</v>
      </c>
      <c r="C265" s="617"/>
      <c r="D265" s="466">
        <v>0</v>
      </c>
      <c r="E265" s="617"/>
      <c r="F265" s="617"/>
      <c r="G265" s="617"/>
      <c r="H265" s="617"/>
      <c r="I265" s="617"/>
      <c r="J265" s="617"/>
      <c r="K265" s="1694">
        <f t="shared" si="22"/>
        <v>0</v>
      </c>
      <c r="L265" s="466">
        <v>0</v>
      </c>
    </row>
    <row r="266" spans="1:14" x14ac:dyDescent="0.2">
      <c r="A266" s="1526" t="s">
        <v>206</v>
      </c>
      <c r="B266" s="615">
        <v>2540</v>
      </c>
      <c r="C266" s="617"/>
      <c r="D266" s="466">
        <v>36169</v>
      </c>
      <c r="E266" s="617"/>
      <c r="F266" s="617"/>
      <c r="G266" s="617"/>
      <c r="H266" s="617"/>
      <c r="I266" s="617"/>
      <c r="J266" s="617"/>
      <c r="K266" s="1694">
        <f t="shared" si="22"/>
        <v>36169</v>
      </c>
      <c r="L266" s="466">
        <v>38500</v>
      </c>
    </row>
    <row r="267" spans="1:14" x14ac:dyDescent="0.2">
      <c r="A267" s="1526" t="s">
        <v>1010</v>
      </c>
      <c r="B267" s="615">
        <v>2550</v>
      </c>
      <c r="C267" s="617"/>
      <c r="D267" s="466">
        <v>148739</v>
      </c>
      <c r="E267" s="617"/>
      <c r="F267" s="617"/>
      <c r="G267" s="617"/>
      <c r="H267" s="617"/>
      <c r="I267" s="617"/>
      <c r="J267" s="617"/>
      <c r="K267" s="1694">
        <f t="shared" si="22"/>
        <v>148739</v>
      </c>
      <c r="L267" s="466">
        <v>145000</v>
      </c>
    </row>
    <row r="268" spans="1:14" x14ac:dyDescent="0.2">
      <c r="A268" s="1526" t="s">
        <v>102</v>
      </c>
      <c r="B268" s="615">
        <v>2560</v>
      </c>
      <c r="C268" s="617"/>
      <c r="D268" s="466">
        <v>3312</v>
      </c>
      <c r="E268" s="617"/>
      <c r="F268" s="617"/>
      <c r="G268" s="617"/>
      <c r="H268" s="617"/>
      <c r="I268" s="617"/>
      <c r="J268" s="617"/>
      <c r="K268" s="1694">
        <f t="shared" si="22"/>
        <v>3312</v>
      </c>
      <c r="L268" s="466">
        <v>3200</v>
      </c>
    </row>
    <row r="269" spans="1:14" x14ac:dyDescent="0.2">
      <c r="A269" s="1526" t="s">
        <v>103</v>
      </c>
      <c r="B269" s="615">
        <v>2570</v>
      </c>
      <c r="C269" s="617"/>
      <c r="D269" s="466">
        <v>0</v>
      </c>
      <c r="E269" s="617"/>
      <c r="F269" s="617"/>
      <c r="G269" s="617"/>
      <c r="H269" s="617"/>
      <c r="I269" s="617"/>
      <c r="J269" s="617"/>
      <c r="K269" s="1694">
        <f t="shared" si="22"/>
        <v>0</v>
      </c>
      <c r="L269" s="466">
        <v>0</v>
      </c>
    </row>
    <row r="270" spans="1:14" ht="12.75" customHeight="1" thickBot="1" x14ac:dyDescent="0.25">
      <c r="A270" s="1690" t="s">
        <v>743</v>
      </c>
      <c r="B270" s="1697" t="s">
        <v>35</v>
      </c>
      <c r="C270" s="617"/>
      <c r="D270" s="1692">
        <f>SUM(D263:D269)</f>
        <v>196629</v>
      </c>
      <c r="E270" s="617"/>
      <c r="F270" s="617"/>
      <c r="G270" s="617"/>
      <c r="H270" s="617"/>
      <c r="I270" s="617"/>
      <c r="J270" s="617"/>
      <c r="K270" s="1692">
        <f>SUM(K263:K269)</f>
        <v>196629</v>
      </c>
      <c r="L270" s="1692">
        <f>SUM(L263:L269)</f>
        <v>195700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v>0</v>
      </c>
      <c r="E272" s="617"/>
      <c r="F272" s="617"/>
      <c r="G272" s="617"/>
      <c r="H272" s="617"/>
      <c r="I272" s="617"/>
      <c r="J272" s="617"/>
      <c r="K272" s="1694">
        <f>D272</f>
        <v>0</v>
      </c>
      <c r="L272" s="481">
        <v>0</v>
      </c>
    </row>
    <row r="273" spans="1:12" x14ac:dyDescent="0.2">
      <c r="A273" s="1526" t="s">
        <v>628</v>
      </c>
      <c r="B273" s="629">
        <v>2620</v>
      </c>
      <c r="C273" s="617"/>
      <c r="D273" s="466">
        <v>0</v>
      </c>
      <c r="E273" s="617"/>
      <c r="F273" s="617"/>
      <c r="G273" s="617"/>
      <c r="H273" s="617"/>
      <c r="I273" s="617"/>
      <c r="J273" s="617"/>
      <c r="K273" s="1694">
        <f>D273</f>
        <v>0</v>
      </c>
      <c r="L273" s="466">
        <v>0</v>
      </c>
    </row>
    <row r="274" spans="1:12" ht="12" customHeight="1" x14ac:dyDescent="0.2">
      <c r="A274" s="1526" t="s">
        <v>1121</v>
      </c>
      <c r="B274" s="615">
        <v>2630</v>
      </c>
      <c r="C274" s="617"/>
      <c r="D274" s="466">
        <v>0</v>
      </c>
      <c r="E274" s="617"/>
      <c r="F274" s="617"/>
      <c r="G274" s="617"/>
      <c r="H274" s="617"/>
      <c r="I274" s="617"/>
      <c r="J274" s="617"/>
      <c r="K274" s="1694">
        <f>D274</f>
        <v>0</v>
      </c>
      <c r="L274" s="466">
        <v>0</v>
      </c>
    </row>
    <row r="275" spans="1:12" x14ac:dyDescent="0.2">
      <c r="A275" s="1526" t="s">
        <v>423</v>
      </c>
      <c r="B275" s="615">
        <v>2640</v>
      </c>
      <c r="C275" s="617"/>
      <c r="D275" s="466">
        <v>0</v>
      </c>
      <c r="E275" s="617"/>
      <c r="F275" s="617"/>
      <c r="G275" s="617"/>
      <c r="H275" s="617"/>
      <c r="I275" s="617"/>
      <c r="J275" s="617"/>
      <c r="K275" s="1694">
        <f>D275</f>
        <v>0</v>
      </c>
      <c r="L275" s="466">
        <v>0</v>
      </c>
    </row>
    <row r="276" spans="1:12" x14ac:dyDescent="0.2">
      <c r="A276" s="1526" t="s">
        <v>424</v>
      </c>
      <c r="B276" s="615">
        <v>2660</v>
      </c>
      <c r="C276" s="617"/>
      <c r="D276" s="466">
        <v>22995</v>
      </c>
      <c r="E276" s="617"/>
      <c r="F276" s="617"/>
      <c r="G276" s="617"/>
      <c r="H276" s="617"/>
      <c r="I276" s="617"/>
      <c r="J276" s="617"/>
      <c r="K276" s="1694">
        <f>D276</f>
        <v>22995</v>
      </c>
      <c r="L276" s="466">
        <v>25000</v>
      </c>
    </row>
    <row r="277" spans="1:12" ht="12.75" customHeight="1" thickBot="1" x14ac:dyDescent="0.25">
      <c r="A277" s="1713" t="s">
        <v>37</v>
      </c>
      <c r="B277" s="1691" t="s">
        <v>36</v>
      </c>
      <c r="C277" s="617"/>
      <c r="D277" s="1692">
        <f>SUM(D272:D276)</f>
        <v>22995</v>
      </c>
      <c r="E277" s="617"/>
      <c r="F277" s="617"/>
      <c r="G277" s="617"/>
      <c r="H277" s="617"/>
      <c r="I277" s="617"/>
      <c r="J277" s="617"/>
      <c r="K277" s="1692">
        <f>SUM(K272:K276)</f>
        <v>22995</v>
      </c>
      <c r="L277" s="1692">
        <f>SUM(L272:L276)</f>
        <v>25000</v>
      </c>
    </row>
    <row r="278" spans="1:12" ht="13.5" customHeight="1" thickTop="1" x14ac:dyDescent="0.2">
      <c r="A278" s="1532" t="s">
        <v>1037</v>
      </c>
      <c r="B278" s="656" t="s">
        <v>595</v>
      </c>
      <c r="C278" s="617"/>
      <c r="D278" s="657">
        <v>0</v>
      </c>
      <c r="E278" s="617"/>
      <c r="F278" s="617"/>
      <c r="G278" s="617"/>
      <c r="H278" s="617"/>
      <c r="I278" s="617"/>
      <c r="J278" s="617"/>
      <c r="K278" s="1707">
        <f>D278</f>
        <v>0</v>
      </c>
      <c r="L278" s="657">
        <v>0</v>
      </c>
    </row>
    <row r="279" spans="1:12" ht="12.75" customHeight="1" thickBot="1" x14ac:dyDescent="0.25">
      <c r="A279" s="1720" t="s">
        <v>865</v>
      </c>
      <c r="B279" s="1703">
        <v>2000</v>
      </c>
      <c r="C279" s="617"/>
      <c r="D279" s="1699">
        <f>SUM(D238,D243,D257,D261,D270,D277,D278)</f>
        <v>264622</v>
      </c>
      <c r="E279" s="617"/>
      <c r="F279" s="617"/>
      <c r="G279" s="617"/>
      <c r="H279" s="617"/>
      <c r="I279" s="617"/>
      <c r="J279" s="617"/>
      <c r="K279" s="1699">
        <f>SUM(K238,K243,K257,K261,K270,K277,K278)</f>
        <v>264622</v>
      </c>
      <c r="L279" s="1699">
        <f>SUM(L238,L243,L257,L261,L270,L277,L278)</f>
        <v>274500</v>
      </c>
    </row>
    <row r="280" spans="1:12" ht="15.75" customHeight="1" thickTop="1" thickBot="1" x14ac:dyDescent="0.25">
      <c r="A280" s="1646" t="s">
        <v>930</v>
      </c>
      <c r="B280" s="1635">
        <v>3000</v>
      </c>
      <c r="C280" s="617"/>
      <c r="D280" s="576">
        <v>0</v>
      </c>
      <c r="E280" s="617"/>
      <c r="F280" s="617"/>
      <c r="G280" s="617"/>
      <c r="H280" s="617"/>
      <c r="I280" s="617"/>
      <c r="J280" s="617"/>
      <c r="K280" s="1701">
        <f>D280</f>
        <v>0</v>
      </c>
      <c r="L280" s="576">
        <v>0</v>
      </c>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1957</v>
      </c>
      <c r="C282" s="617"/>
      <c r="D282" s="467">
        <v>0</v>
      </c>
      <c r="E282" s="617"/>
      <c r="F282" s="617"/>
      <c r="G282" s="617"/>
      <c r="H282" s="617"/>
      <c r="I282" s="617"/>
      <c r="J282" s="617"/>
      <c r="K282" s="1693">
        <f>D282</f>
        <v>0</v>
      </c>
      <c r="L282" s="467">
        <v>0</v>
      </c>
    </row>
    <row r="283" spans="1:12" x14ac:dyDescent="0.2">
      <c r="A283" s="1526" t="s">
        <v>322</v>
      </c>
      <c r="B283" s="615">
        <v>4120</v>
      </c>
      <c r="C283" s="617"/>
      <c r="D283" s="466">
        <v>0</v>
      </c>
      <c r="E283" s="617"/>
      <c r="F283" s="617"/>
      <c r="G283" s="617"/>
      <c r="H283" s="617"/>
      <c r="I283" s="617"/>
      <c r="J283" s="617"/>
      <c r="K283" s="1693">
        <f>D283</f>
        <v>0</v>
      </c>
      <c r="L283" s="466">
        <v>0</v>
      </c>
    </row>
    <row r="284" spans="1:12" x14ac:dyDescent="0.2">
      <c r="A284" s="1526" t="s">
        <v>721</v>
      </c>
      <c r="B284" s="615">
        <v>4140</v>
      </c>
      <c r="C284" s="617"/>
      <c r="D284" s="467">
        <v>0</v>
      </c>
      <c r="E284" s="617"/>
      <c r="F284" s="617"/>
      <c r="G284" s="617"/>
      <c r="H284" s="617"/>
      <c r="I284" s="617"/>
      <c r="J284" s="617"/>
      <c r="K284" s="1693">
        <f>D284</f>
        <v>0</v>
      </c>
      <c r="L284" s="466">
        <v>0</v>
      </c>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v>0</v>
      </c>
      <c r="I288" s="617"/>
      <c r="J288" s="617"/>
      <c r="K288" s="1693">
        <f>H288</f>
        <v>0</v>
      </c>
      <c r="L288" s="466">
        <v>0</v>
      </c>
    </row>
    <row r="289" spans="1:14" x14ac:dyDescent="0.2">
      <c r="A289" s="1526" t="s">
        <v>90</v>
      </c>
      <c r="B289" s="615">
        <v>5120</v>
      </c>
      <c r="C289" s="617"/>
      <c r="D289" s="617"/>
      <c r="E289" s="617"/>
      <c r="F289" s="617"/>
      <c r="G289" s="617"/>
      <c r="H289" s="466">
        <v>0</v>
      </c>
      <c r="I289" s="617"/>
      <c r="J289" s="617"/>
      <c r="K289" s="1693">
        <f>H289</f>
        <v>0</v>
      </c>
      <c r="L289" s="466">
        <v>0</v>
      </c>
    </row>
    <row r="290" spans="1:14" ht="12.75" customHeight="1" x14ac:dyDescent="0.2">
      <c r="A290" s="1526" t="s">
        <v>1232</v>
      </c>
      <c r="B290" s="629" t="s">
        <v>638</v>
      </c>
      <c r="C290" s="617"/>
      <c r="D290" s="617"/>
      <c r="E290" s="617"/>
      <c r="F290" s="617"/>
      <c r="G290" s="617"/>
      <c r="H290" s="466">
        <v>0</v>
      </c>
      <c r="I290" s="617"/>
      <c r="J290" s="617"/>
      <c r="K290" s="1693">
        <f>H290</f>
        <v>0</v>
      </c>
      <c r="L290" s="466">
        <v>0</v>
      </c>
    </row>
    <row r="291" spans="1:14" x14ac:dyDescent="0.2">
      <c r="A291" s="1526" t="s">
        <v>91</v>
      </c>
      <c r="B291" s="615" t="s">
        <v>610</v>
      </c>
      <c r="C291" s="617"/>
      <c r="D291" s="617"/>
      <c r="E291" s="617"/>
      <c r="F291" s="617"/>
      <c r="G291" s="617"/>
      <c r="H291" s="466">
        <v>0</v>
      </c>
      <c r="I291" s="617"/>
      <c r="J291" s="617"/>
      <c r="K291" s="1693">
        <f>H291</f>
        <v>0</v>
      </c>
      <c r="L291" s="466">
        <v>0</v>
      </c>
    </row>
    <row r="292" spans="1:14" x14ac:dyDescent="0.2">
      <c r="A292" s="1526" t="s">
        <v>786</v>
      </c>
      <c r="B292" s="615" t="s">
        <v>639</v>
      </c>
      <c r="C292" s="617"/>
      <c r="D292" s="617"/>
      <c r="E292" s="617"/>
      <c r="F292" s="617"/>
      <c r="G292" s="617"/>
      <c r="H292" s="466">
        <v>0</v>
      </c>
      <c r="I292" s="617"/>
      <c r="J292" s="617"/>
      <c r="K292" s="1693">
        <f>H292</f>
        <v>0</v>
      </c>
      <c r="L292" s="466">
        <v>0</v>
      </c>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v>0</v>
      </c>
    </row>
    <row r="295" spans="1:14" ht="12.75" customHeight="1" thickTop="1" thickBot="1" x14ac:dyDescent="0.25">
      <c r="A295" s="2190" t="s">
        <v>526</v>
      </c>
      <c r="B295" s="2191"/>
      <c r="C295" s="617"/>
      <c r="D295" s="1692">
        <f>SUM(D229,D279,D280,D285)</f>
        <v>373607</v>
      </c>
      <c r="E295" s="617"/>
      <c r="F295" s="617"/>
      <c r="G295" s="617"/>
      <c r="H295" s="1692">
        <f>H293</f>
        <v>0</v>
      </c>
      <c r="I295" s="617"/>
      <c r="J295" s="617"/>
      <c r="K295" s="1692">
        <f>SUM(K229,K279,K280,K285,K293,K294)</f>
        <v>373607</v>
      </c>
      <c r="L295" s="1692">
        <f>SUM(L229,L279,L280,L285,L293,L294)</f>
        <v>391100</v>
      </c>
    </row>
    <row r="296" spans="1:14" ht="13.5" thickTop="1" x14ac:dyDescent="0.2">
      <c r="A296" s="2172" t="s">
        <v>1053</v>
      </c>
      <c r="B296" s="2173"/>
      <c r="C296" s="617"/>
      <c r="D296" s="619"/>
      <c r="E296" s="617"/>
      <c r="F296" s="617"/>
      <c r="G296" s="617"/>
      <c r="H296" s="688"/>
      <c r="I296" s="617"/>
      <c r="J296" s="617"/>
      <c r="K296" s="1706">
        <f>'Revenues 9-14'!G275-'Expenditures 15-22'!K295</f>
        <v>20513</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2" t="s">
        <v>145</v>
      </c>
      <c r="B298" s="2176"/>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v>0</v>
      </c>
      <c r="D301" s="466">
        <v>0</v>
      </c>
      <c r="E301" s="466">
        <v>0</v>
      </c>
      <c r="F301" s="466">
        <v>0</v>
      </c>
      <c r="G301" s="466">
        <v>0</v>
      </c>
      <c r="H301" s="466">
        <v>0</v>
      </c>
      <c r="I301" s="467">
        <v>0</v>
      </c>
      <c r="J301" s="467">
        <v>0</v>
      </c>
      <c r="K301" s="1693">
        <f>SUM(C301:J301)</f>
        <v>0</v>
      </c>
      <c r="L301" s="467">
        <v>0</v>
      </c>
    </row>
    <row r="302" spans="1:14" ht="13.5" customHeight="1" x14ac:dyDescent="0.2">
      <c r="A302" s="1539" t="s">
        <v>1037</v>
      </c>
      <c r="B302" s="615" t="s">
        <v>595</v>
      </c>
      <c r="C302" s="466">
        <v>0</v>
      </c>
      <c r="D302" s="466">
        <v>0</v>
      </c>
      <c r="E302" s="466">
        <v>0</v>
      </c>
      <c r="F302" s="466">
        <v>0</v>
      </c>
      <c r="G302" s="466">
        <v>0</v>
      </c>
      <c r="H302" s="466">
        <v>0</v>
      </c>
      <c r="I302" s="467">
        <v>0</v>
      </c>
      <c r="J302" s="467">
        <v>0</v>
      </c>
      <c r="K302" s="1693">
        <f>SUM(C302:J302)</f>
        <v>0</v>
      </c>
      <c r="L302" s="466">
        <v>0</v>
      </c>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0</v>
      </c>
      <c r="H303" s="1699">
        <f t="shared" si="23"/>
        <v>0</v>
      </c>
      <c r="I303" s="1699">
        <f t="shared" si="23"/>
        <v>0</v>
      </c>
      <c r="J303" s="1699">
        <f t="shared" si="23"/>
        <v>0</v>
      </c>
      <c r="K303" s="1699">
        <f t="shared" si="23"/>
        <v>0</v>
      </c>
      <c r="L303" s="1699">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1962</v>
      </c>
      <c r="B306" s="691" t="s">
        <v>1957</v>
      </c>
      <c r="C306" s="617"/>
      <c r="D306" s="617"/>
      <c r="E306" s="467">
        <v>0</v>
      </c>
      <c r="F306" s="617"/>
      <c r="G306" s="617"/>
      <c r="H306" s="467">
        <v>0</v>
      </c>
      <c r="I306" s="617"/>
      <c r="J306" s="617"/>
      <c r="K306" s="1693">
        <f>SUM(E306,H306)</f>
        <v>0</v>
      </c>
      <c r="L306" s="467">
        <v>0</v>
      </c>
    </row>
    <row r="307" spans="1:14" x14ac:dyDescent="0.2">
      <c r="A307" s="1526" t="s">
        <v>322</v>
      </c>
      <c r="B307" s="615">
        <v>4120</v>
      </c>
      <c r="C307" s="617"/>
      <c r="D307" s="617"/>
      <c r="E307" s="467">
        <v>0</v>
      </c>
      <c r="F307" s="617"/>
      <c r="G307" s="617"/>
      <c r="H307" s="467">
        <v>0</v>
      </c>
      <c r="I307" s="477"/>
      <c r="J307" s="617"/>
      <c r="K307" s="1693">
        <f>SUM(E307,H307)</f>
        <v>0</v>
      </c>
      <c r="L307" s="466">
        <v>0</v>
      </c>
    </row>
    <row r="308" spans="1:14" x14ac:dyDescent="0.2">
      <c r="A308" s="1526" t="s">
        <v>721</v>
      </c>
      <c r="B308" s="615">
        <v>4140</v>
      </c>
      <c r="C308" s="617"/>
      <c r="D308" s="617"/>
      <c r="E308" s="467">
        <v>0</v>
      </c>
      <c r="F308" s="617"/>
      <c r="G308" s="617"/>
      <c r="H308" s="467">
        <v>0</v>
      </c>
      <c r="I308" s="477"/>
      <c r="J308" s="617"/>
      <c r="K308" s="1693">
        <f>SUM(E308,H308)</f>
        <v>0</v>
      </c>
      <c r="L308" s="466">
        <v>0</v>
      </c>
    </row>
    <row r="309" spans="1:14" ht="12.75" customHeight="1" x14ac:dyDescent="0.2">
      <c r="A309" s="1530" t="s">
        <v>722</v>
      </c>
      <c r="B309" s="629">
        <v>4190</v>
      </c>
      <c r="C309" s="617"/>
      <c r="D309" s="617"/>
      <c r="E309" s="467">
        <v>0</v>
      </c>
      <c r="F309" s="617"/>
      <c r="G309" s="617"/>
      <c r="H309" s="467">
        <v>0</v>
      </c>
      <c r="I309" s="477"/>
      <c r="J309" s="617"/>
      <c r="K309" s="1693">
        <f>SUM(E309,H309)</f>
        <v>0</v>
      </c>
      <c r="L309" s="466">
        <v>0</v>
      </c>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v>0</v>
      </c>
    </row>
    <row r="312" spans="1:14" s="675" customFormat="1" ht="12.75" customHeight="1" thickTop="1" thickBot="1" x14ac:dyDescent="0.25">
      <c r="A312" s="2187" t="s">
        <v>295</v>
      </c>
      <c r="B312" s="2188"/>
      <c r="C312" s="1692">
        <f>SUM(C303)</f>
        <v>0</v>
      </c>
      <c r="D312" s="1692">
        <f>SUM(D303)</f>
        <v>0</v>
      </c>
      <c r="E312" s="1692">
        <f>SUM(E303,E310)</f>
        <v>0</v>
      </c>
      <c r="F312" s="1692">
        <f>SUM(F303)</f>
        <v>0</v>
      </c>
      <c r="G312" s="1692">
        <f>SUM(G303)</f>
        <v>0</v>
      </c>
      <c r="H312" s="1692">
        <f>SUM(H303,H310)</f>
        <v>0</v>
      </c>
      <c r="I312" s="1692">
        <f>SUM(I303)</f>
        <v>0</v>
      </c>
      <c r="J312" s="1692">
        <f>SUM(J303)</f>
        <v>0</v>
      </c>
      <c r="K312" s="1692">
        <f>SUM(K303,K310,K311)</f>
        <v>0</v>
      </c>
      <c r="L312" s="1692">
        <f>SUM(L303,L310,L311)</f>
        <v>0</v>
      </c>
      <c r="M312" s="666"/>
      <c r="N312" s="666"/>
    </row>
    <row r="313" spans="1:14" ht="13.5" thickTop="1" x14ac:dyDescent="0.2">
      <c r="A313" s="2183" t="s">
        <v>1053</v>
      </c>
      <c r="B313" s="2184"/>
      <c r="C313" s="627"/>
      <c r="D313" s="627"/>
      <c r="E313" s="627"/>
      <c r="F313" s="627"/>
      <c r="G313" s="627"/>
      <c r="H313" s="627"/>
      <c r="I313" s="627"/>
      <c r="J313" s="627"/>
      <c r="K313" s="1707">
        <f>'Revenues 9-14'!H275-'Expenditures 15-22'!K312</f>
        <v>12066</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6" t="s">
        <v>151</v>
      </c>
      <c r="B315" s="2197"/>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8" t="s">
        <v>954</v>
      </c>
      <c r="B317" s="2197"/>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v>0</v>
      </c>
      <c r="D319" s="467">
        <v>0</v>
      </c>
      <c r="E319" s="467">
        <v>0</v>
      </c>
      <c r="F319" s="467">
        <v>0</v>
      </c>
      <c r="G319" s="467">
        <v>0</v>
      </c>
      <c r="H319" s="467">
        <v>0</v>
      </c>
      <c r="I319" s="467">
        <v>0</v>
      </c>
      <c r="J319" s="467">
        <v>0</v>
      </c>
      <c r="K319" s="1693">
        <f>SUM(C319:J319)</f>
        <v>0</v>
      </c>
      <c r="L319" s="467">
        <v>0</v>
      </c>
      <c r="M319" s="666"/>
      <c r="N319" s="666"/>
    </row>
    <row r="320" spans="1:14" s="675" customFormat="1" x14ac:dyDescent="0.2">
      <c r="A320" s="1545" t="s">
        <v>1908</v>
      </c>
      <c r="B320" s="699" t="s">
        <v>300</v>
      </c>
      <c r="C320" s="467">
        <v>0</v>
      </c>
      <c r="D320" s="467">
        <v>0</v>
      </c>
      <c r="E320" s="467">
        <v>0</v>
      </c>
      <c r="F320" s="467">
        <v>0</v>
      </c>
      <c r="G320" s="467">
        <v>0</v>
      </c>
      <c r="H320" s="467">
        <v>0</v>
      </c>
      <c r="I320" s="467">
        <v>0</v>
      </c>
      <c r="J320" s="467">
        <v>0</v>
      </c>
      <c r="K320" s="1693">
        <f t="shared" ref="K320:K327" si="24">SUM(C320:J320)</f>
        <v>0</v>
      </c>
      <c r="L320" s="467">
        <v>0</v>
      </c>
      <c r="M320" s="666"/>
      <c r="N320" s="666"/>
    </row>
    <row r="321" spans="1:14" s="675" customFormat="1" x14ac:dyDescent="0.2">
      <c r="A321" s="1541" t="s">
        <v>318</v>
      </c>
      <c r="B321" s="698" t="s">
        <v>301</v>
      </c>
      <c r="C321" s="467">
        <v>0</v>
      </c>
      <c r="D321" s="467">
        <v>0</v>
      </c>
      <c r="E321" s="467">
        <v>0</v>
      </c>
      <c r="F321" s="467">
        <v>0</v>
      </c>
      <c r="G321" s="467">
        <v>0</v>
      </c>
      <c r="H321" s="467">
        <v>0</v>
      </c>
      <c r="I321" s="467">
        <v>0</v>
      </c>
      <c r="J321" s="467">
        <v>0</v>
      </c>
      <c r="K321" s="1693">
        <f t="shared" si="24"/>
        <v>0</v>
      </c>
      <c r="L321" s="467">
        <v>0</v>
      </c>
      <c r="M321" s="666"/>
      <c r="N321" s="666"/>
    </row>
    <row r="322" spans="1:14" s="675" customFormat="1" x14ac:dyDescent="0.2">
      <c r="A322" s="1541" t="s">
        <v>256</v>
      </c>
      <c r="B322" s="698" t="s">
        <v>302</v>
      </c>
      <c r="C322" s="467">
        <v>0</v>
      </c>
      <c r="D322" s="467">
        <v>0</v>
      </c>
      <c r="E322" s="467">
        <v>0</v>
      </c>
      <c r="F322" s="467">
        <v>0</v>
      </c>
      <c r="G322" s="467">
        <v>0</v>
      </c>
      <c r="H322" s="467">
        <v>0</v>
      </c>
      <c r="I322" s="467">
        <v>0</v>
      </c>
      <c r="J322" s="467">
        <v>0</v>
      </c>
      <c r="K322" s="1693">
        <f t="shared" si="24"/>
        <v>0</v>
      </c>
      <c r="L322" s="467">
        <v>0</v>
      </c>
      <c r="M322" s="666"/>
      <c r="N322" s="666"/>
    </row>
    <row r="323" spans="1:14" s="675" customFormat="1" x14ac:dyDescent="0.2">
      <c r="A323" s="1541" t="s">
        <v>726</v>
      </c>
      <c r="B323" s="698" t="s">
        <v>303</v>
      </c>
      <c r="C323" s="467">
        <v>0</v>
      </c>
      <c r="D323" s="467">
        <v>0</v>
      </c>
      <c r="E323" s="467">
        <v>0</v>
      </c>
      <c r="F323" s="467">
        <v>0</v>
      </c>
      <c r="G323" s="467">
        <v>0</v>
      </c>
      <c r="H323" s="467">
        <v>0</v>
      </c>
      <c r="I323" s="467">
        <v>0</v>
      </c>
      <c r="J323" s="467">
        <v>0</v>
      </c>
      <c r="K323" s="1693">
        <f t="shared" si="24"/>
        <v>0</v>
      </c>
      <c r="L323" s="467">
        <v>0</v>
      </c>
      <c r="M323" s="666"/>
      <c r="N323" s="666"/>
    </row>
    <row r="324" spans="1:14" s="675" customFormat="1" x14ac:dyDescent="0.2">
      <c r="A324" s="1541" t="s">
        <v>257</v>
      </c>
      <c r="B324" s="698" t="s">
        <v>304</v>
      </c>
      <c r="C324" s="467">
        <v>0</v>
      </c>
      <c r="D324" s="467">
        <v>0</v>
      </c>
      <c r="E324" s="467">
        <v>0</v>
      </c>
      <c r="F324" s="467">
        <v>0</v>
      </c>
      <c r="G324" s="467">
        <v>0</v>
      </c>
      <c r="H324" s="467">
        <v>0</v>
      </c>
      <c r="I324" s="467">
        <v>0</v>
      </c>
      <c r="J324" s="467">
        <v>0</v>
      </c>
      <c r="K324" s="1693">
        <f t="shared" si="24"/>
        <v>0</v>
      </c>
      <c r="L324" s="467">
        <v>0</v>
      </c>
      <c r="M324" s="666"/>
      <c r="N324" s="666"/>
    </row>
    <row r="325" spans="1:14" s="675" customFormat="1" ht="22.5" x14ac:dyDescent="0.2">
      <c r="A325" s="1541" t="s">
        <v>1087</v>
      </c>
      <c r="B325" s="699" t="s">
        <v>305</v>
      </c>
      <c r="C325" s="467">
        <v>0</v>
      </c>
      <c r="D325" s="467">
        <v>0</v>
      </c>
      <c r="E325" s="467">
        <v>0</v>
      </c>
      <c r="F325" s="467">
        <v>0</v>
      </c>
      <c r="G325" s="467">
        <v>0</v>
      </c>
      <c r="H325" s="467">
        <v>0</v>
      </c>
      <c r="I325" s="467">
        <v>0</v>
      </c>
      <c r="J325" s="467">
        <v>0</v>
      </c>
      <c r="K325" s="1693">
        <f t="shared" si="24"/>
        <v>0</v>
      </c>
      <c r="L325" s="467">
        <v>0</v>
      </c>
      <c r="M325" s="666"/>
      <c r="N325" s="666"/>
    </row>
    <row r="326" spans="1:14" s="675" customFormat="1" x14ac:dyDescent="0.2">
      <c r="A326" s="1541" t="s">
        <v>1088</v>
      </c>
      <c r="B326" s="698" t="s">
        <v>306</v>
      </c>
      <c r="C326" s="467">
        <v>0</v>
      </c>
      <c r="D326" s="467">
        <v>0</v>
      </c>
      <c r="E326" s="467">
        <v>0</v>
      </c>
      <c r="F326" s="467">
        <v>0</v>
      </c>
      <c r="G326" s="467">
        <v>0</v>
      </c>
      <c r="H326" s="467">
        <v>0</v>
      </c>
      <c r="I326" s="467">
        <v>0</v>
      </c>
      <c r="J326" s="467">
        <v>0</v>
      </c>
      <c r="K326" s="1693">
        <f t="shared" si="24"/>
        <v>0</v>
      </c>
      <c r="L326" s="467">
        <v>0</v>
      </c>
      <c r="M326" s="666"/>
      <c r="N326" s="666"/>
    </row>
    <row r="327" spans="1:14" s="675" customFormat="1" x14ac:dyDescent="0.2">
      <c r="A327" s="1541" t="s">
        <v>1028</v>
      </c>
      <c r="B327" s="698" t="s">
        <v>307</v>
      </c>
      <c r="C327" s="467">
        <v>0</v>
      </c>
      <c r="D327" s="467">
        <v>0</v>
      </c>
      <c r="E327" s="467">
        <v>0</v>
      </c>
      <c r="F327" s="467">
        <v>0</v>
      </c>
      <c r="G327" s="467">
        <v>0</v>
      </c>
      <c r="H327" s="467">
        <v>0</v>
      </c>
      <c r="I327" s="467">
        <v>0</v>
      </c>
      <c r="J327" s="467">
        <v>0</v>
      </c>
      <c r="K327" s="1693">
        <f t="shared" si="24"/>
        <v>0</v>
      </c>
      <c r="L327" s="467">
        <v>0</v>
      </c>
      <c r="M327" s="666"/>
      <c r="N327" s="666"/>
    </row>
    <row r="328" spans="1:14" s="675" customFormat="1" x14ac:dyDescent="0.2">
      <c r="A328" s="1542" t="s">
        <v>492</v>
      </c>
      <c r="B328" s="691" t="s">
        <v>1194</v>
      </c>
      <c r="C328" s="474">
        <v>0</v>
      </c>
      <c r="D328" s="474">
        <v>0</v>
      </c>
      <c r="E328" s="474">
        <v>0</v>
      </c>
      <c r="F328" s="474">
        <v>0</v>
      </c>
      <c r="G328" s="474">
        <v>0</v>
      </c>
      <c r="H328" s="474">
        <v>0</v>
      </c>
      <c r="I328" s="474">
        <v>0</v>
      </c>
      <c r="J328" s="474">
        <v>0</v>
      </c>
      <c r="K328" s="1721">
        <f>SUM(C328:J328)</f>
        <v>0</v>
      </c>
      <c r="L328" s="474">
        <v>0</v>
      </c>
      <c r="M328" s="666"/>
      <c r="N328" s="666"/>
    </row>
    <row r="329" spans="1:14" s="675" customFormat="1" x14ac:dyDescent="0.2">
      <c r="A329" s="1542" t="s">
        <v>1195</v>
      </c>
      <c r="B329" s="691" t="s">
        <v>1196</v>
      </c>
      <c r="C329" s="474">
        <v>0</v>
      </c>
      <c r="D329" s="474">
        <v>0</v>
      </c>
      <c r="E329" s="474">
        <v>0</v>
      </c>
      <c r="F329" s="474">
        <v>0</v>
      </c>
      <c r="G329" s="474">
        <v>0</v>
      </c>
      <c r="H329" s="474">
        <v>0</v>
      </c>
      <c r="I329" s="474">
        <v>0</v>
      </c>
      <c r="J329" s="474">
        <v>0</v>
      </c>
      <c r="K329" s="1721">
        <f>SUM(C329:J329)</f>
        <v>0</v>
      </c>
      <c r="L329" s="474">
        <v>0</v>
      </c>
      <c r="M329" s="666"/>
      <c r="N329" s="666"/>
    </row>
    <row r="330" spans="1:14" s="675" customFormat="1" ht="12.75" customHeight="1" thickBot="1" x14ac:dyDescent="0.25">
      <c r="A330" s="1722" t="s">
        <v>741</v>
      </c>
      <c r="B330" s="1691" t="s">
        <v>590</v>
      </c>
      <c r="C330" s="1692">
        <f>SUM(C319:C329)</f>
        <v>0</v>
      </c>
      <c r="D330" s="1692">
        <f t="shared" ref="D330:J330" si="25">SUM(D319:D329)</f>
        <v>0</v>
      </c>
      <c r="E330" s="1692">
        <f t="shared" si="25"/>
        <v>0</v>
      </c>
      <c r="F330" s="1692">
        <f t="shared" si="25"/>
        <v>0</v>
      </c>
      <c r="G330" s="1692">
        <f t="shared" si="25"/>
        <v>0</v>
      </c>
      <c r="H330" s="1692">
        <f t="shared" si="25"/>
        <v>0</v>
      </c>
      <c r="I330" s="1692">
        <f t="shared" si="25"/>
        <v>0</v>
      </c>
      <c r="J330" s="1692">
        <f t="shared" si="25"/>
        <v>0</v>
      </c>
      <c r="K330" s="1692">
        <f>SUM(K319:K329)</f>
        <v>0</v>
      </c>
      <c r="L330" s="1692">
        <f>SUM(L319:L329)</f>
        <v>0</v>
      </c>
      <c r="M330" s="666"/>
      <c r="N330" s="666"/>
    </row>
    <row r="331" spans="1:14" s="675" customFormat="1" ht="12.75" customHeight="1" thickTop="1" x14ac:dyDescent="0.2">
      <c r="A331" s="1854" t="s">
        <v>1963</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1957</v>
      </c>
      <c r="C332" s="1856"/>
      <c r="D332" s="1856"/>
      <c r="E332" s="1856"/>
      <c r="F332" s="1856"/>
      <c r="G332" s="1856"/>
      <c r="H332" s="467">
        <v>0</v>
      </c>
      <c r="I332" s="1856"/>
      <c r="J332" s="1856"/>
      <c r="K332" s="1693">
        <f>H332</f>
        <v>0</v>
      </c>
      <c r="L332" s="467">
        <v>0</v>
      </c>
      <c r="M332" s="666"/>
      <c r="N332" s="666"/>
    </row>
    <row r="333" spans="1:14" s="675" customFormat="1" ht="12.75" customHeight="1" x14ac:dyDescent="0.2">
      <c r="A333" s="1855" t="s">
        <v>322</v>
      </c>
      <c r="B333" s="1850" t="s">
        <v>1959</v>
      </c>
      <c r="C333" s="1856"/>
      <c r="D333" s="1856"/>
      <c r="E333" s="1856"/>
      <c r="F333" s="1856"/>
      <c r="G333" s="1856"/>
      <c r="H333" s="467">
        <v>0</v>
      </c>
      <c r="I333" s="1856"/>
      <c r="J333" s="1856"/>
      <c r="K333" s="1693">
        <f>H333</f>
        <v>0</v>
      </c>
      <c r="L333" s="467">
        <v>0</v>
      </c>
      <c r="M333" s="666"/>
      <c r="N333" s="666"/>
    </row>
    <row r="334" spans="1:14" s="675" customFormat="1" ht="12.75" customHeight="1" thickBot="1" x14ac:dyDescent="0.25">
      <c r="A334" s="1855" t="s">
        <v>1964</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v>0</v>
      </c>
      <c r="I337" s="639"/>
      <c r="J337" s="639"/>
      <c r="K337" s="1693">
        <f>H337</f>
        <v>0</v>
      </c>
      <c r="L337" s="478">
        <v>0</v>
      </c>
    </row>
    <row r="338" spans="1:14" ht="12.75" customHeight="1" x14ac:dyDescent="0.2">
      <c r="A338" s="1540" t="s">
        <v>1232</v>
      </c>
      <c r="B338" s="691" t="s">
        <v>638</v>
      </c>
      <c r="C338" s="639"/>
      <c r="D338" s="639"/>
      <c r="E338" s="639"/>
      <c r="F338" s="639"/>
      <c r="G338" s="639"/>
      <c r="H338" s="478">
        <v>0</v>
      </c>
      <c r="I338" s="639"/>
      <c r="J338" s="639"/>
      <c r="K338" s="1693">
        <f>H338</f>
        <v>0</v>
      </c>
      <c r="L338" s="478">
        <v>0</v>
      </c>
    </row>
    <row r="339" spans="1:14" x14ac:dyDescent="0.2">
      <c r="A339" s="1526" t="s">
        <v>957</v>
      </c>
      <c r="B339" s="629">
        <v>5150</v>
      </c>
      <c r="C339" s="639"/>
      <c r="D339" s="639"/>
      <c r="E339" s="639"/>
      <c r="F339" s="639"/>
      <c r="G339" s="639"/>
      <c r="H339" s="467">
        <v>0</v>
      </c>
      <c r="I339" s="639"/>
      <c r="J339" s="639"/>
      <c r="K339" s="1693">
        <f>H339</f>
        <v>0</v>
      </c>
      <c r="L339" s="467">
        <v>0</v>
      </c>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v>0</v>
      </c>
    </row>
    <row r="342" spans="1:14" ht="12.75" customHeight="1" thickTop="1" thickBot="1" x14ac:dyDescent="0.25">
      <c r="A342" s="1708" t="s">
        <v>526</v>
      </c>
      <c r="B342" s="1723"/>
      <c r="C342" s="1692">
        <f>SUM(C330)</f>
        <v>0</v>
      </c>
      <c r="D342" s="1692">
        <f>SUM(D330)</f>
        <v>0</v>
      </c>
      <c r="E342" s="1692">
        <f>SUM(E330)</f>
        <v>0</v>
      </c>
      <c r="F342" s="1692">
        <f>SUM(F330)</f>
        <v>0</v>
      </c>
      <c r="G342" s="1692">
        <f>SUM(G330)</f>
        <v>0</v>
      </c>
      <c r="H342" s="1692">
        <f>SUM(H330,H334,H340)</f>
        <v>0</v>
      </c>
      <c r="I342" s="1692">
        <f>SUM(I330)</f>
        <v>0</v>
      </c>
      <c r="J342" s="1692">
        <f>SUM(J330)</f>
        <v>0</v>
      </c>
      <c r="K342" s="1692">
        <f>SUM(K330,K334,K340)</f>
        <v>0</v>
      </c>
      <c r="L342" s="1699">
        <f>SUM(L330,L340,L341)</f>
        <v>0</v>
      </c>
    </row>
    <row r="343" spans="1:14" ht="12.75" customHeight="1" thickTop="1" x14ac:dyDescent="0.2">
      <c r="A343" s="2185" t="s">
        <v>1053</v>
      </c>
      <c r="B343" s="2186"/>
      <c r="C343" s="617"/>
      <c r="D343" s="617"/>
      <c r="E343" s="617"/>
      <c r="F343" s="617"/>
      <c r="G343" s="617"/>
      <c r="H343" s="617"/>
      <c r="I343" s="617"/>
      <c r="J343" s="617"/>
      <c r="K343" s="1706">
        <f>'Revenues 9-14'!J275-'Expenditures 15-22'!K342</f>
        <v>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5" t="s">
        <v>1023</v>
      </c>
      <c r="B345" s="2176"/>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v>0</v>
      </c>
      <c r="D348" s="466">
        <v>0</v>
      </c>
      <c r="E348" s="466">
        <v>0</v>
      </c>
      <c r="F348" s="466">
        <v>0</v>
      </c>
      <c r="G348" s="466">
        <v>0</v>
      </c>
      <c r="H348" s="466">
        <v>0</v>
      </c>
      <c r="I348" s="467">
        <v>0</v>
      </c>
      <c r="J348" s="467">
        <v>0</v>
      </c>
      <c r="K348" s="1693">
        <f>SUM(C348:J348)</f>
        <v>0</v>
      </c>
      <c r="L348" s="466">
        <v>0</v>
      </c>
    </row>
    <row r="349" spans="1:14" x14ac:dyDescent="0.2">
      <c r="A349" s="1526" t="s">
        <v>206</v>
      </c>
      <c r="B349" s="615">
        <v>2540</v>
      </c>
      <c r="C349" s="466">
        <v>0</v>
      </c>
      <c r="D349" s="466">
        <v>0</v>
      </c>
      <c r="E349" s="466">
        <v>0</v>
      </c>
      <c r="F349" s="466">
        <v>0</v>
      </c>
      <c r="G349" s="466">
        <v>0</v>
      </c>
      <c r="H349" s="466">
        <v>0</v>
      </c>
      <c r="I349" s="467">
        <v>0</v>
      </c>
      <c r="J349" s="467">
        <v>0</v>
      </c>
      <c r="K349" s="1693">
        <f>SUM(C349:J349)</f>
        <v>0</v>
      </c>
      <c r="L349" s="466">
        <v>0</v>
      </c>
    </row>
    <row r="350" spans="1:14" ht="12.75" customHeight="1" thickBot="1" x14ac:dyDescent="0.25">
      <c r="A350" s="1690" t="s">
        <v>743</v>
      </c>
      <c r="B350" s="1691" t="s">
        <v>35</v>
      </c>
      <c r="C350" s="1692">
        <f>SUM(C348:C349)</f>
        <v>0</v>
      </c>
      <c r="D350" s="1692">
        <f t="shared" ref="D350:L350" si="26">SUM(D348:D349)</f>
        <v>0</v>
      </c>
      <c r="E350" s="1692">
        <f t="shared" si="26"/>
        <v>0</v>
      </c>
      <c r="F350" s="1692">
        <f t="shared" si="26"/>
        <v>0</v>
      </c>
      <c r="G350" s="1692">
        <f t="shared" si="26"/>
        <v>0</v>
      </c>
      <c r="H350" s="1692">
        <f t="shared" si="26"/>
        <v>0</v>
      </c>
      <c r="I350" s="1692">
        <f t="shared" si="26"/>
        <v>0</v>
      </c>
      <c r="J350" s="1692">
        <f t="shared" si="26"/>
        <v>0</v>
      </c>
      <c r="K350" s="1692">
        <f t="shared" si="26"/>
        <v>0</v>
      </c>
      <c r="L350" s="1692">
        <f t="shared" si="26"/>
        <v>0</v>
      </c>
    </row>
    <row r="351" spans="1:14" ht="12.75" customHeight="1" thickTop="1" x14ac:dyDescent="0.2">
      <c r="A351" s="1532" t="s">
        <v>1037</v>
      </c>
      <c r="B351" s="644" t="s">
        <v>595</v>
      </c>
      <c r="C351" s="481">
        <v>0</v>
      </c>
      <c r="D351" s="481">
        <v>0</v>
      </c>
      <c r="E351" s="481">
        <v>0</v>
      </c>
      <c r="F351" s="481">
        <v>0</v>
      </c>
      <c r="G351" s="481">
        <v>0</v>
      </c>
      <c r="H351" s="481">
        <v>0</v>
      </c>
      <c r="I351" s="478">
        <v>0</v>
      </c>
      <c r="J351" s="478">
        <v>0</v>
      </c>
      <c r="K351" s="616">
        <f>SUM(C351:J351)</f>
        <v>0</v>
      </c>
      <c r="L351" s="481">
        <v>0</v>
      </c>
    </row>
    <row r="352" spans="1:14" ht="12.75" customHeight="1" thickBot="1" x14ac:dyDescent="0.25">
      <c r="A352" s="1690" t="s">
        <v>645</v>
      </c>
      <c r="B352" s="1697" t="s">
        <v>590</v>
      </c>
      <c r="C352" s="1692">
        <f>SUM(C350:C351)</f>
        <v>0</v>
      </c>
      <c r="D352" s="1692">
        <f t="shared" ref="D352:L352" si="27">SUM(D350:D351)</f>
        <v>0</v>
      </c>
      <c r="E352" s="1692">
        <f t="shared" si="27"/>
        <v>0</v>
      </c>
      <c r="F352" s="1692">
        <f t="shared" si="27"/>
        <v>0</v>
      </c>
      <c r="G352" s="1692">
        <f t="shared" si="27"/>
        <v>0</v>
      </c>
      <c r="H352" s="1692">
        <f t="shared" si="27"/>
        <v>0</v>
      </c>
      <c r="I352" s="1692">
        <f t="shared" si="27"/>
        <v>0</v>
      </c>
      <c r="J352" s="1692">
        <f t="shared" si="27"/>
        <v>0</v>
      </c>
      <c r="K352" s="1692">
        <f t="shared" si="27"/>
        <v>0</v>
      </c>
      <c r="L352" s="1692">
        <f t="shared" si="27"/>
        <v>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1965</v>
      </c>
      <c r="B354" s="684" t="s">
        <v>1957</v>
      </c>
      <c r="C354" s="617"/>
      <c r="D354" s="617"/>
      <c r="E354" s="617"/>
      <c r="F354" s="617"/>
      <c r="G354" s="617"/>
      <c r="H354" s="474">
        <v>0</v>
      </c>
      <c r="I354" s="702"/>
      <c r="J354" s="617"/>
      <c r="K354" s="1721">
        <f>H354</f>
        <v>0</v>
      </c>
      <c r="L354" s="471">
        <v>0</v>
      </c>
    </row>
    <row r="355" spans="1:14" ht="12.75" customHeight="1" x14ac:dyDescent="0.2">
      <c r="A355" s="1535" t="s">
        <v>1966</v>
      </c>
      <c r="B355" s="691" t="s">
        <v>1959</v>
      </c>
      <c r="C355" s="617"/>
      <c r="D355" s="617"/>
      <c r="E355" s="617"/>
      <c r="F355" s="617"/>
      <c r="G355" s="617"/>
      <c r="H355" s="467">
        <v>0</v>
      </c>
      <c r="I355" s="702"/>
      <c r="J355" s="617"/>
      <c r="K355" s="1765">
        <f>H355</f>
        <v>0</v>
      </c>
      <c r="L355" s="467">
        <v>0</v>
      </c>
    </row>
    <row r="356" spans="1:14" ht="12.75" customHeight="1" x14ac:dyDescent="0.2">
      <c r="A356" s="1857" t="s">
        <v>722</v>
      </c>
      <c r="B356" s="684" t="s">
        <v>579</v>
      </c>
      <c r="C356" s="617"/>
      <c r="D356" s="617"/>
      <c r="E356" s="617"/>
      <c r="F356" s="617"/>
      <c r="G356" s="617"/>
      <c r="H356" s="479">
        <v>0</v>
      </c>
      <c r="I356" s="702"/>
      <c r="J356" s="617"/>
      <c r="K356" s="1762">
        <f>H356</f>
        <v>0</v>
      </c>
      <c r="L356" s="479">
        <v>0</v>
      </c>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v>0</v>
      </c>
      <c r="I360" s="617"/>
      <c r="J360" s="617"/>
      <c r="K360" s="1693">
        <f>SUM(C360:J360)</f>
        <v>0</v>
      </c>
      <c r="L360" s="466">
        <v>0</v>
      </c>
    </row>
    <row r="361" spans="1:14" ht="12.75" customHeight="1" x14ac:dyDescent="0.2">
      <c r="A361" s="1527" t="s">
        <v>640</v>
      </c>
      <c r="B361" s="603" t="s">
        <v>639</v>
      </c>
      <c r="C361" s="617"/>
      <c r="D361" s="617"/>
      <c r="E361" s="617"/>
      <c r="F361" s="617"/>
      <c r="G361" s="617"/>
      <c r="H361" s="467">
        <v>0</v>
      </c>
      <c r="I361" s="617"/>
      <c r="J361" s="617"/>
      <c r="K361" s="1693">
        <f>SUM(C361:J361)</f>
        <v>0</v>
      </c>
      <c r="L361" s="466">
        <v>0</v>
      </c>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v>0</v>
      </c>
      <c r="I363" s="639"/>
      <c r="J363" s="639"/>
      <c r="K363" s="1721">
        <f>SUM(C363:J363)</f>
        <v>0</v>
      </c>
      <c r="L363" s="479">
        <v>0</v>
      </c>
      <c r="M363" s="666"/>
      <c r="N363" s="666"/>
    </row>
    <row r="364" spans="1:14" s="709" customFormat="1" ht="29.25" customHeight="1" x14ac:dyDescent="0.2">
      <c r="A364" s="703" t="s">
        <v>1771</v>
      </c>
      <c r="B364" s="704">
        <v>5300</v>
      </c>
      <c r="C364" s="705"/>
      <c r="D364" s="706"/>
      <c r="E364" s="706"/>
      <c r="F364" s="705"/>
      <c r="G364" s="706"/>
      <c r="H364" s="707">
        <v>0</v>
      </c>
      <c r="I364" s="706"/>
      <c r="J364" s="706"/>
      <c r="K364" s="1693">
        <f>SUM(C364:J364)</f>
        <v>0</v>
      </c>
      <c r="L364" s="708">
        <v>0</v>
      </c>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v>0</v>
      </c>
      <c r="M366" s="610"/>
      <c r="N366" s="610"/>
    </row>
    <row r="367" spans="1:14" ht="12.75" customHeight="1" thickTop="1" thickBot="1" x14ac:dyDescent="0.25">
      <c r="A367" s="1714" t="s">
        <v>526</v>
      </c>
      <c r="B367" s="1726"/>
      <c r="C367" s="1692">
        <f t="shared" ref="C367:L367" si="28">SUM(C352,C357,C365,C366)</f>
        <v>0</v>
      </c>
      <c r="D367" s="1692">
        <f t="shared" si="28"/>
        <v>0</v>
      </c>
      <c r="E367" s="1692">
        <f t="shared" si="28"/>
        <v>0</v>
      </c>
      <c r="F367" s="1692">
        <f t="shared" si="28"/>
        <v>0</v>
      </c>
      <c r="G367" s="1692">
        <f t="shared" si="28"/>
        <v>0</v>
      </c>
      <c r="H367" s="1692">
        <f t="shared" si="28"/>
        <v>0</v>
      </c>
      <c r="I367" s="1692">
        <f t="shared" si="28"/>
        <v>0</v>
      </c>
      <c r="J367" s="1692">
        <f t="shared" si="28"/>
        <v>0</v>
      </c>
      <c r="K367" s="1692">
        <f t="shared" si="28"/>
        <v>0</v>
      </c>
      <c r="L367" s="1692">
        <f t="shared" si="28"/>
        <v>0</v>
      </c>
    </row>
    <row r="368" spans="1:14" ht="13.5" thickTop="1" x14ac:dyDescent="0.2">
      <c r="A368" s="2172" t="s">
        <v>1053</v>
      </c>
      <c r="B368" s="2173"/>
      <c r="C368" s="655"/>
      <c r="D368" s="655"/>
      <c r="E368" s="627"/>
      <c r="F368" s="627"/>
      <c r="G368" s="627"/>
      <c r="H368" s="627"/>
      <c r="I368" s="627"/>
      <c r="J368" s="624"/>
      <c r="K368" s="1693">
        <f>'Revenues 9-14'!K275-'Expenditures 15-22'!K367</f>
        <v>0</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4" bottom="0.2" header="0.39"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7" manualBreakCount="7">
    <brk id="53" max="16383" man="1"/>
    <brk id="107"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B19" sqref="B19"/>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199" t="s">
        <v>1905</v>
      </c>
      <c r="B2" s="1550" t="s">
        <v>2037</v>
      </c>
      <c r="C2" s="715" t="s">
        <v>1910</v>
      </c>
      <c r="D2" s="715" t="s">
        <v>1911</v>
      </c>
      <c r="E2" s="715" t="s">
        <v>1912</v>
      </c>
      <c r="F2" s="715" t="s">
        <v>1913</v>
      </c>
    </row>
    <row r="3" spans="1:6" ht="12" customHeight="1" x14ac:dyDescent="0.2">
      <c r="A3" s="2200"/>
      <c r="B3" s="1547"/>
      <c r="C3" s="1548"/>
      <c r="D3" s="1549" t="s">
        <v>274</v>
      </c>
      <c r="E3" s="1548"/>
      <c r="F3" s="1549" t="s">
        <v>275</v>
      </c>
    </row>
    <row r="4" spans="1:6" ht="13.7" customHeight="1" x14ac:dyDescent="0.2">
      <c r="A4" s="716" t="s">
        <v>1217</v>
      </c>
      <c r="B4" s="1771">
        <f>'Revenues 9-14'!C5</f>
        <v>7658787</v>
      </c>
      <c r="C4" s="1546">
        <v>4065417</v>
      </c>
      <c r="D4" s="1774">
        <f>B4-C4</f>
        <v>3593370</v>
      </c>
      <c r="E4" s="1546">
        <v>7544724</v>
      </c>
      <c r="F4" s="1774">
        <f>E4-C4</f>
        <v>3479307</v>
      </c>
    </row>
    <row r="5" spans="1:6" ht="13.7" customHeight="1" x14ac:dyDescent="0.2">
      <c r="A5" s="716" t="s">
        <v>925</v>
      </c>
      <c r="B5" s="1772">
        <f>'Revenues 9-14'!D5</f>
        <v>1584669</v>
      </c>
      <c r="C5" s="585">
        <v>891702</v>
      </c>
      <c r="D5" s="1775">
        <f t="shared" ref="D5:D18" si="0">B5-C5</f>
        <v>692967</v>
      </c>
      <c r="E5" s="585">
        <v>1654847</v>
      </c>
      <c r="F5" s="1775">
        <f>E5-C5</f>
        <v>763145</v>
      </c>
    </row>
    <row r="6" spans="1:6" ht="13.7" customHeight="1" x14ac:dyDescent="0.2">
      <c r="A6" s="716" t="s">
        <v>431</v>
      </c>
      <c r="B6" s="1772">
        <f>'Revenues 9-14'!E5</f>
        <v>1722106</v>
      </c>
      <c r="C6" s="585">
        <v>914333</v>
      </c>
      <c r="D6" s="1775">
        <f t="shared" si="0"/>
        <v>807773</v>
      </c>
      <c r="E6" s="585">
        <v>1696847</v>
      </c>
      <c r="F6" s="1775">
        <f t="shared" ref="F6:F18" si="1">E6-C6</f>
        <v>782514</v>
      </c>
    </row>
    <row r="7" spans="1:6" ht="13.7" customHeight="1" x14ac:dyDescent="0.2">
      <c r="A7" s="716" t="s">
        <v>157</v>
      </c>
      <c r="B7" s="1772">
        <f>'Revenues 9-14'!F5</f>
        <v>510110</v>
      </c>
      <c r="C7" s="585">
        <v>274371</v>
      </c>
      <c r="D7" s="1775">
        <f t="shared" si="0"/>
        <v>235739</v>
      </c>
      <c r="E7" s="585">
        <v>509186</v>
      </c>
      <c r="F7" s="1775">
        <f t="shared" si="1"/>
        <v>234815</v>
      </c>
    </row>
    <row r="8" spans="1:6" ht="13.7" customHeight="1" x14ac:dyDescent="0.2">
      <c r="A8" s="716" t="s">
        <v>1241</v>
      </c>
      <c r="B8" s="1772">
        <f>'Revenues 9-14'!G5</f>
        <v>118956</v>
      </c>
      <c r="C8" s="585">
        <v>52764</v>
      </c>
      <c r="D8" s="1775">
        <f t="shared" si="0"/>
        <v>66192</v>
      </c>
      <c r="E8" s="585">
        <v>97922</v>
      </c>
      <c r="F8" s="1775">
        <f t="shared" si="1"/>
        <v>45158</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157870</v>
      </c>
      <c r="C10" s="585">
        <v>87061</v>
      </c>
      <c r="D10" s="1775">
        <f t="shared" si="0"/>
        <v>70809</v>
      </c>
      <c r="E10" s="585">
        <v>161570</v>
      </c>
      <c r="F10" s="1775">
        <f t="shared" si="1"/>
        <v>74509</v>
      </c>
    </row>
    <row r="11" spans="1:6" x14ac:dyDescent="0.2">
      <c r="A11" s="716" t="s">
        <v>429</v>
      </c>
      <c r="B11" s="1772">
        <f>'Revenues 9-14'!J5</f>
        <v>0</v>
      </c>
      <c r="C11" s="585"/>
      <c r="D11" s="1775">
        <f t="shared" si="0"/>
        <v>0</v>
      </c>
      <c r="E11" s="585"/>
      <c r="F11" s="1775">
        <f t="shared" si="1"/>
        <v>0</v>
      </c>
    </row>
    <row r="12" spans="1:6" ht="13.7" customHeight="1" x14ac:dyDescent="0.2">
      <c r="A12" s="716" t="s">
        <v>159</v>
      </c>
      <c r="B12" s="1772">
        <f>'Revenues 9-14'!K5</f>
        <v>0</v>
      </c>
      <c r="C12" s="585"/>
      <c r="D12" s="1775">
        <f t="shared" si="0"/>
        <v>0</v>
      </c>
      <c r="E12" s="585"/>
      <c r="F12" s="1775">
        <f t="shared" si="1"/>
        <v>0</v>
      </c>
    </row>
    <row r="13" spans="1:6" ht="13.7" customHeight="1" x14ac:dyDescent="0.2">
      <c r="A13" s="716" t="s">
        <v>993</v>
      </c>
      <c r="B13" s="1772">
        <f>SUM('Revenues 9-14'!C6:D6)</f>
        <v>0</v>
      </c>
      <c r="C13" s="585"/>
      <c r="D13" s="1775">
        <f t="shared" si="0"/>
        <v>0</v>
      </c>
      <c r="E13" s="585"/>
      <c r="F13" s="1775">
        <f t="shared" si="1"/>
        <v>0</v>
      </c>
    </row>
    <row r="14" spans="1:6" ht="13.7" customHeight="1" x14ac:dyDescent="0.2">
      <c r="A14" s="716" t="s">
        <v>430</v>
      </c>
      <c r="B14" s="1772">
        <f>SUM('Revenues 9-14'!C7:D7,'Revenues 9-14'!F7:H7)</f>
        <v>105928</v>
      </c>
      <c r="C14" s="585">
        <v>60679</v>
      </c>
      <c r="D14" s="1775">
        <f t="shared" si="0"/>
        <v>45249</v>
      </c>
      <c r="E14" s="585">
        <v>112611</v>
      </c>
      <c r="F14" s="1775">
        <f t="shared" si="1"/>
        <v>51932</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142765</v>
      </c>
      <c r="C16" s="585">
        <v>52764</v>
      </c>
      <c r="D16" s="1775">
        <f t="shared" si="0"/>
        <v>90001</v>
      </c>
      <c r="E16" s="585">
        <v>97922</v>
      </c>
      <c r="F16" s="1775">
        <f t="shared" si="1"/>
        <v>45158</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12001191</v>
      </c>
      <c r="C19" s="1773">
        <f>SUM(C4:C18)</f>
        <v>6399091</v>
      </c>
      <c r="D19" s="1773">
        <f>SUM(D4:D18)</f>
        <v>5602100</v>
      </c>
      <c r="E19" s="1773">
        <f>SUM(E4:E18)</f>
        <v>11875629</v>
      </c>
      <c r="F19" s="1773">
        <f>SUM(F4:F18)</f>
        <v>5476538</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59"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B22" colorId="8" zoomScale="110" zoomScaleNormal="110" workbookViewId="0">
      <selection activeCell="K48" sqref="K48"/>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1" t="s">
        <v>650</v>
      </c>
      <c r="B1" s="2219"/>
      <c r="C1" s="722"/>
    </row>
    <row r="2" spans="1:7" ht="33.75" x14ac:dyDescent="0.2">
      <c r="A2" s="2226" t="s">
        <v>1905</v>
      </c>
      <c r="B2" s="2227"/>
      <c r="C2" s="1909" t="s">
        <v>2038</v>
      </c>
      <c r="D2" s="724" t="s">
        <v>2045</v>
      </c>
      <c r="E2" s="724" t="s">
        <v>2046</v>
      </c>
      <c r="F2" s="1909" t="s">
        <v>2039</v>
      </c>
    </row>
    <row r="3" spans="1:7" ht="15.75" customHeight="1" x14ac:dyDescent="0.2">
      <c r="A3" s="2228" t="s">
        <v>1176</v>
      </c>
      <c r="B3" s="2229"/>
      <c r="C3" s="2222"/>
      <c r="D3" s="2223"/>
      <c r="E3" s="2223"/>
      <c r="F3" s="2224"/>
    </row>
    <row r="4" spans="1:7" ht="12.75" customHeight="1" thickBot="1" x14ac:dyDescent="0.25">
      <c r="A4" s="2216" t="s">
        <v>651</v>
      </c>
      <c r="B4" s="2217"/>
      <c r="C4" s="581"/>
      <c r="D4" s="581"/>
      <c r="E4" s="581"/>
      <c r="F4" s="1777">
        <f>SUM(C4+D4)-E4</f>
        <v>0</v>
      </c>
    </row>
    <row r="5" spans="1:7" ht="15.75" customHeight="1" thickTop="1" x14ac:dyDescent="0.2">
      <c r="A5" s="2220" t="s">
        <v>1172</v>
      </c>
      <c r="B5" s="2215"/>
      <c r="C5" s="2209"/>
      <c r="D5" s="2210"/>
      <c r="E5" s="2210"/>
      <c r="F5" s="2211"/>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12" t="s">
        <v>652</v>
      </c>
      <c r="B15" s="2213"/>
      <c r="C15" s="1777">
        <f>SUM(C6:C14)</f>
        <v>0</v>
      </c>
      <c r="D15" s="1777">
        <f>SUM(D6:D14)</f>
        <v>0</v>
      </c>
      <c r="E15" s="1777">
        <f>SUM(E6:E14)</f>
        <v>0</v>
      </c>
      <c r="F15" s="1777">
        <f>SUM(F6:F14)</f>
        <v>0</v>
      </c>
      <c r="G15" s="552"/>
    </row>
    <row r="16" spans="1:7" s="202" customFormat="1" ht="15.75" customHeight="1" thickTop="1" x14ac:dyDescent="0.2">
      <c r="A16" s="2225" t="s">
        <v>1173</v>
      </c>
      <c r="B16" s="2215"/>
      <c r="C16" s="2209"/>
      <c r="D16" s="2210"/>
      <c r="E16" s="2210"/>
      <c r="F16" s="2211"/>
    </row>
    <row r="17" spans="1:11" ht="12.75" customHeight="1" thickBot="1" x14ac:dyDescent="0.25">
      <c r="A17" s="2207" t="s">
        <v>66</v>
      </c>
      <c r="B17" s="2208"/>
      <c r="C17" s="727"/>
      <c r="D17" s="585"/>
      <c r="E17" s="727"/>
      <c r="F17" s="1777">
        <f>SUM(C17+D17)-E17</f>
        <v>0</v>
      </c>
    </row>
    <row r="18" spans="1:11" ht="12.75" customHeight="1" thickTop="1" thickBot="1" x14ac:dyDescent="0.25">
      <c r="A18" s="2207" t="s">
        <v>6</v>
      </c>
      <c r="B18" s="2208"/>
      <c r="C18" s="727"/>
      <c r="D18" s="585"/>
      <c r="E18" s="727"/>
      <c r="F18" s="1777">
        <f>SUM(C18+D18)-E18</f>
        <v>0</v>
      </c>
    </row>
    <row r="19" spans="1:11" ht="12.75" customHeight="1" thickTop="1" thickBot="1" x14ac:dyDescent="0.25">
      <c r="A19" s="2207" t="s">
        <v>406</v>
      </c>
      <c r="B19" s="2208"/>
      <c r="C19" s="727"/>
      <c r="D19" s="585"/>
      <c r="E19" s="727"/>
      <c r="F19" s="1777">
        <f>SUM(C19+D19)-E19</f>
        <v>0</v>
      </c>
    </row>
    <row r="20" spans="1:11" ht="12.75" customHeight="1" thickTop="1" thickBot="1" x14ac:dyDescent="0.25">
      <c r="A20" s="2207" t="s">
        <v>468</v>
      </c>
      <c r="B20" s="2208"/>
      <c r="C20" s="727"/>
      <c r="D20" s="585"/>
      <c r="E20" s="727"/>
      <c r="F20" s="1777">
        <f>SUM(C20+D20)-E20</f>
        <v>0</v>
      </c>
    </row>
    <row r="21" spans="1:11" ht="14.25" thickTop="1" thickBot="1" x14ac:dyDescent="0.25">
      <c r="A21" s="2212" t="s">
        <v>653</v>
      </c>
      <c r="B21" s="2213"/>
      <c r="C21" s="1777">
        <f>SUM(C17:C20)</f>
        <v>0</v>
      </c>
      <c r="D21" s="1777">
        <f>SUM(D17:D20)</f>
        <v>0</v>
      </c>
      <c r="E21" s="1777">
        <f>SUM(E17:E20)</f>
        <v>0</v>
      </c>
      <c r="F21" s="1777">
        <f>SUM(F17:F20)</f>
        <v>0</v>
      </c>
      <c r="G21" s="552"/>
    </row>
    <row r="22" spans="1:11" ht="15.75" customHeight="1" thickTop="1" x14ac:dyDescent="0.2">
      <c r="A22" s="2214" t="s">
        <v>1174</v>
      </c>
      <c r="B22" s="2215"/>
      <c r="C22" s="2209"/>
      <c r="D22" s="2210"/>
      <c r="E22" s="2210"/>
      <c r="F22" s="2211"/>
    </row>
    <row r="23" spans="1:11" ht="13.5" thickBot="1" x14ac:dyDescent="0.25">
      <c r="A23" s="2216" t="s">
        <v>654</v>
      </c>
      <c r="B23" s="2217"/>
      <c r="C23" s="581"/>
      <c r="D23" s="581"/>
      <c r="E23" s="581"/>
      <c r="F23" s="1777">
        <f>SUM(C23+D23)-E23</f>
        <v>0</v>
      </c>
      <c r="G23" s="552"/>
    </row>
    <row r="24" spans="1:11" ht="15.75" customHeight="1" thickTop="1" x14ac:dyDescent="0.2">
      <c r="A24" s="2214" t="s">
        <v>1175</v>
      </c>
      <c r="B24" s="2215"/>
      <c r="C24" s="2209"/>
      <c r="D24" s="2210"/>
      <c r="E24" s="2210"/>
      <c r="F24" s="2211"/>
    </row>
    <row r="25" spans="1:11" ht="13.5" thickBot="1" x14ac:dyDescent="0.25">
      <c r="A25" s="2216" t="s">
        <v>655</v>
      </c>
      <c r="B25" s="2217"/>
      <c r="C25" s="581"/>
      <c r="D25" s="581"/>
      <c r="E25" s="581"/>
      <c r="F25" s="1777">
        <f>SUM(C25+D25)-E25</f>
        <v>0</v>
      </c>
      <c r="G25" s="552"/>
    </row>
    <row r="26" spans="1:11" ht="15.75" customHeight="1" thickTop="1" x14ac:dyDescent="0.2">
      <c r="A26" s="2220" t="s">
        <v>678</v>
      </c>
      <c r="B26" s="2215"/>
      <c r="C26" s="728"/>
      <c r="D26" s="728"/>
      <c r="E26" s="728"/>
      <c r="F26" s="729"/>
    </row>
    <row r="27" spans="1:11" ht="13.5" thickBot="1" x14ac:dyDescent="0.25">
      <c r="A27" s="2212" t="s">
        <v>1130</v>
      </c>
      <c r="B27" s="2213"/>
      <c r="C27" s="585"/>
      <c r="D27" s="585"/>
      <c r="E27" s="585"/>
      <c r="F27" s="1777">
        <f>SUM(C27+D27)-E27</f>
        <v>0</v>
      </c>
      <c r="G27" s="552"/>
    </row>
    <row r="28" spans="1:11" ht="7.5" customHeight="1" thickTop="1" x14ac:dyDescent="0.2">
      <c r="A28" s="594"/>
    </row>
    <row r="29" spans="1:11" ht="23.25" customHeight="1" x14ac:dyDescent="0.2">
      <c r="A29" s="2218" t="s">
        <v>603</v>
      </c>
      <c r="B29" s="2219"/>
      <c r="C29" s="730"/>
      <c r="D29" s="730"/>
      <c r="E29" s="730"/>
      <c r="F29" s="730"/>
      <c r="G29" s="730"/>
      <c r="H29" s="730"/>
      <c r="I29" s="730"/>
      <c r="J29" s="730"/>
    </row>
    <row r="30" spans="1:11" ht="33.75" x14ac:dyDescent="0.2">
      <c r="A30" s="1551" t="s">
        <v>1131</v>
      </c>
      <c r="B30" s="731" t="s">
        <v>1186</v>
      </c>
      <c r="C30" s="1910" t="s">
        <v>604</v>
      </c>
      <c r="D30" s="1910" t="s">
        <v>1772</v>
      </c>
      <c r="E30" s="1910" t="s">
        <v>2040</v>
      </c>
      <c r="F30" s="1910" t="s">
        <v>2041</v>
      </c>
      <c r="G30" s="1910" t="s">
        <v>2044</v>
      </c>
      <c r="H30" s="1910" t="s">
        <v>2042</v>
      </c>
      <c r="I30" s="1910" t="s">
        <v>2043</v>
      </c>
      <c r="J30" s="1911" t="s">
        <v>2</v>
      </c>
      <c r="K30" s="732"/>
    </row>
    <row r="31" spans="1:11" ht="12" customHeight="1" x14ac:dyDescent="0.2">
      <c r="A31" s="733" t="s">
        <v>2089</v>
      </c>
      <c r="B31" s="734">
        <v>40435</v>
      </c>
      <c r="C31" s="735">
        <v>6190000</v>
      </c>
      <c r="D31" s="736">
        <v>3</v>
      </c>
      <c r="E31" s="735">
        <v>1525000</v>
      </c>
      <c r="F31" s="735"/>
      <c r="G31" s="735"/>
      <c r="H31" s="735">
        <v>1525000</v>
      </c>
      <c r="I31" s="1778">
        <f>((E31+F31)-H31)+G31</f>
        <v>0</v>
      </c>
      <c r="J31" s="735"/>
      <c r="K31" s="737"/>
    </row>
    <row r="32" spans="1:11" ht="12" customHeight="1" x14ac:dyDescent="0.2">
      <c r="A32" s="733" t="s">
        <v>2090</v>
      </c>
      <c r="B32" s="734">
        <v>41200</v>
      </c>
      <c r="C32" s="735">
        <v>3565000</v>
      </c>
      <c r="D32" s="736">
        <v>3</v>
      </c>
      <c r="E32" s="735">
        <v>3565000</v>
      </c>
      <c r="F32" s="735"/>
      <c r="G32" s="735"/>
      <c r="H32" s="735"/>
      <c r="I32" s="1778">
        <f>((E32+F32)-H32)+G32</f>
        <v>3565000</v>
      </c>
      <c r="J32" s="735">
        <v>3503478</v>
      </c>
      <c r="K32" s="737"/>
    </row>
    <row r="33" spans="1:11" ht="12" customHeight="1" x14ac:dyDescent="0.2">
      <c r="A33" s="733" t="s">
        <v>2091</v>
      </c>
      <c r="B33" s="734">
        <v>41200</v>
      </c>
      <c r="C33" s="735">
        <v>390000</v>
      </c>
      <c r="D33" s="736">
        <v>3</v>
      </c>
      <c r="E33" s="735">
        <v>390000</v>
      </c>
      <c r="F33" s="735"/>
      <c r="G33" s="735"/>
      <c r="H33" s="735"/>
      <c r="I33" s="1778">
        <f t="shared" ref="I33:I48" si="1">((E33+F33)-H33)+G33</f>
        <v>390000</v>
      </c>
      <c r="J33" s="735">
        <v>390000</v>
      </c>
      <c r="K33" s="737"/>
    </row>
    <row r="34" spans="1:11" ht="12" customHeight="1" x14ac:dyDescent="0.2">
      <c r="A34" s="733" t="s">
        <v>2092</v>
      </c>
      <c r="B34" s="734">
        <v>41697</v>
      </c>
      <c r="C34" s="739">
        <v>905000</v>
      </c>
      <c r="D34" s="736">
        <v>3</v>
      </c>
      <c r="E34" s="735">
        <v>365000</v>
      </c>
      <c r="F34" s="735"/>
      <c r="G34" s="735"/>
      <c r="H34" s="735">
        <v>185000</v>
      </c>
      <c r="I34" s="1778">
        <f t="shared" si="1"/>
        <v>180000</v>
      </c>
      <c r="J34" s="735">
        <v>180000</v>
      </c>
      <c r="K34" s="738"/>
    </row>
    <row r="35" spans="1:11" ht="12" customHeight="1" x14ac:dyDescent="0.2">
      <c r="A35" s="733"/>
      <c r="B35" s="734"/>
      <c r="C35" s="1956"/>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11050000</v>
      </c>
      <c r="D49" s="746"/>
      <c r="E49" s="1778">
        <f t="shared" ref="E49:J49" si="2">SUM(E31:E48)</f>
        <v>5845000</v>
      </c>
      <c r="F49" s="1778">
        <f t="shared" si="2"/>
        <v>0</v>
      </c>
      <c r="G49" s="1778">
        <f t="shared" si="2"/>
        <v>0</v>
      </c>
      <c r="H49" s="1778">
        <f t="shared" si="2"/>
        <v>1710000</v>
      </c>
      <c r="I49" s="1778">
        <f t="shared" si="2"/>
        <v>4135000</v>
      </c>
      <c r="J49" s="1778">
        <f t="shared" si="2"/>
        <v>4073478</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01" t="s">
        <v>605</v>
      </c>
      <c r="C52" s="2202"/>
      <c r="D52" s="2202"/>
      <c r="E52" s="750" t="s">
        <v>900</v>
      </c>
      <c r="F52" s="2203"/>
      <c r="G52" s="2204"/>
      <c r="H52" s="737"/>
      <c r="I52" s="737"/>
      <c r="J52" s="747"/>
    </row>
    <row r="53" spans="1:11" ht="11.25" customHeight="1" x14ac:dyDescent="0.2">
      <c r="A53" s="751" t="s">
        <v>969</v>
      </c>
      <c r="B53" s="752" t="s">
        <v>1008</v>
      </c>
      <c r="C53" s="747"/>
      <c r="D53" s="738"/>
      <c r="E53" s="750" t="s">
        <v>518</v>
      </c>
      <c r="F53" s="2205"/>
      <c r="G53" s="2206"/>
      <c r="H53" s="737"/>
      <c r="I53" s="737"/>
      <c r="J53" s="747"/>
    </row>
    <row r="54" spans="1:11" ht="11.25" customHeight="1" x14ac:dyDescent="0.2">
      <c r="A54" s="753" t="s">
        <v>970</v>
      </c>
      <c r="B54" s="748" t="s">
        <v>1009</v>
      </c>
      <c r="C54" s="747"/>
      <c r="D54" s="738"/>
      <c r="E54" s="750" t="s">
        <v>519</v>
      </c>
      <c r="F54" s="2205"/>
      <c r="G54" s="2206"/>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H31:H48 E31:E48 C31:C34 C36:C48">
      <formula1>0</formula1>
    </dataValidation>
    <dataValidation operator="greaterThan" allowBlank="1" showInputMessage="1" showErrorMessage="1" sqref="A1"/>
  </dataValidations>
  <printOptions headings="1" gridLinesSet="0"/>
  <pageMargins left="0.25" right="0.15" top="0.52" bottom="0.25" header="0.38"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48"/>
  <sheetViews>
    <sheetView showGridLines="0" defaultGridColor="0" colorId="8" zoomScale="110" zoomScaleNormal="110" workbookViewId="0">
      <selection activeCell="K14" sqref="K14"/>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0" t="s">
        <v>911</v>
      </c>
      <c r="B1" s="2231"/>
      <c r="C1" s="2231"/>
      <c r="D1" s="2231"/>
      <c r="E1" s="2231"/>
      <c r="F1" s="2231"/>
      <c r="G1" s="2232"/>
      <c r="H1" s="1552"/>
      <c r="I1" s="761"/>
      <c r="J1" s="433"/>
    </row>
    <row r="2" spans="1:11" ht="26.25" x14ac:dyDescent="0.2">
      <c r="A2" s="2249" t="s">
        <v>1776</v>
      </c>
      <c r="B2" s="2250"/>
      <c r="C2" s="2250"/>
      <c r="D2" s="2250"/>
      <c r="E2" s="2251"/>
      <c r="F2" s="762" t="s">
        <v>960</v>
      </c>
      <c r="G2" s="763" t="s">
        <v>1773</v>
      </c>
      <c r="H2" s="763" t="s">
        <v>430</v>
      </c>
      <c r="I2" s="763" t="s">
        <v>1220</v>
      </c>
      <c r="J2" s="763" t="s">
        <v>1919</v>
      </c>
      <c r="K2" s="763" t="s">
        <v>140</v>
      </c>
    </row>
    <row r="3" spans="1:11" x14ac:dyDescent="0.2">
      <c r="A3" s="2252" t="s">
        <v>1698</v>
      </c>
      <c r="B3" s="2253"/>
      <c r="C3" s="2253"/>
      <c r="D3" s="2253"/>
      <c r="E3" s="2254"/>
      <c r="F3" s="764"/>
      <c r="G3" s="765"/>
      <c r="H3" s="765"/>
      <c r="I3" s="765"/>
      <c r="J3" s="766"/>
      <c r="K3" s="766"/>
    </row>
    <row r="4" spans="1:11" x14ac:dyDescent="0.2">
      <c r="A4" s="2255" t="s">
        <v>387</v>
      </c>
      <c r="B4" s="2256"/>
      <c r="C4" s="2256"/>
      <c r="D4" s="2256"/>
      <c r="E4" s="2202"/>
      <c r="F4" s="767"/>
      <c r="G4" s="768"/>
      <c r="H4" s="769"/>
      <c r="I4" s="768"/>
      <c r="J4" s="770"/>
      <c r="K4" s="770"/>
    </row>
    <row r="5" spans="1:11" x14ac:dyDescent="0.2">
      <c r="A5" s="2233" t="s">
        <v>1129</v>
      </c>
      <c r="B5" s="2234"/>
      <c r="C5" s="2234"/>
      <c r="D5" s="2234"/>
      <c r="E5" s="2235"/>
      <c r="F5" s="771" t="s">
        <v>903</v>
      </c>
      <c r="G5" s="772"/>
      <c r="H5" s="765">
        <v>105928</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f>ROUND(-([1]!TBLink("EDUCATION FUND","ADJ[5]","R1970","15","3")),0)</f>
        <v>5985</v>
      </c>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f>ROUND(-([1]!TBLink("EDUCATION FUND","ADJ[5]","R3370","15","3")),0)</f>
        <v>22925</v>
      </c>
    </row>
    <row r="10" spans="1:11" x14ac:dyDescent="0.2">
      <c r="A10" s="2233" t="s">
        <v>1920</v>
      </c>
      <c r="B10" s="2234"/>
      <c r="C10" s="2234"/>
      <c r="D10" s="2234"/>
      <c r="E10" s="2236"/>
      <c r="F10" s="784" t="s">
        <v>917</v>
      </c>
      <c r="G10" s="783"/>
      <c r="H10" s="785"/>
      <c r="I10" s="765"/>
      <c r="J10" s="766"/>
      <c r="K10" s="766"/>
    </row>
    <row r="11" spans="1:11" x14ac:dyDescent="0.2">
      <c r="A11" s="2233" t="s">
        <v>162</v>
      </c>
      <c r="B11" s="2234"/>
      <c r="C11" s="2234"/>
      <c r="D11" s="2234"/>
      <c r="E11" s="2235"/>
      <c r="F11" s="771" t="s">
        <v>907</v>
      </c>
      <c r="G11" s="772"/>
      <c r="H11" s="765"/>
      <c r="I11" s="765"/>
      <c r="J11" s="766"/>
      <c r="K11" s="774"/>
    </row>
    <row r="12" spans="1:11" ht="13.5" thickBot="1" x14ac:dyDescent="0.25">
      <c r="A12" s="2260" t="s">
        <v>961</v>
      </c>
      <c r="B12" s="2261"/>
      <c r="C12" s="2261"/>
      <c r="D12" s="2261"/>
      <c r="E12" s="2262"/>
      <c r="F12" s="1779"/>
      <c r="G12" s="1780">
        <f>SUM(G5:G11)</f>
        <v>0</v>
      </c>
      <c r="H12" s="1780">
        <f>SUM(H5:H11)</f>
        <v>105928</v>
      </c>
      <c r="I12" s="1780">
        <f>SUM(I5:I11)</f>
        <v>0</v>
      </c>
      <c r="J12" s="1780">
        <f>SUM(J5:J11)</f>
        <v>0</v>
      </c>
      <c r="K12" s="1780">
        <f>SUM(K5:K11)</f>
        <v>28910</v>
      </c>
    </row>
    <row r="13" spans="1:11" ht="13.5" thickTop="1" x14ac:dyDescent="0.2">
      <c r="A13" s="2257" t="s">
        <v>388</v>
      </c>
      <c r="B13" s="2258"/>
      <c r="C13" s="2258"/>
      <c r="D13" s="2258"/>
      <c r="E13" s="2259"/>
      <c r="F13" s="786"/>
      <c r="G13" s="787"/>
      <c r="H13" s="788"/>
      <c r="I13" s="789"/>
      <c r="J13" s="789"/>
      <c r="K13" s="789"/>
    </row>
    <row r="14" spans="1:11" x14ac:dyDescent="0.2">
      <c r="A14" s="2240" t="s">
        <v>476</v>
      </c>
      <c r="B14" s="2240"/>
      <c r="C14" s="2240"/>
      <c r="D14" s="2240"/>
      <c r="E14" s="2241"/>
      <c r="F14" s="790" t="s">
        <v>909</v>
      </c>
      <c r="G14" s="783"/>
      <c r="H14" s="765">
        <v>105928</v>
      </c>
      <c r="I14" s="772"/>
      <c r="J14" s="774"/>
      <c r="K14" s="766">
        <v>28910</v>
      </c>
    </row>
    <row r="15" spans="1:11" x14ac:dyDescent="0.2">
      <c r="A15" s="2234" t="s">
        <v>4</v>
      </c>
      <c r="B15" s="2234"/>
      <c r="C15" s="2234"/>
      <c r="D15" s="2234"/>
      <c r="E15" s="2235"/>
      <c r="F15" s="790" t="s">
        <v>910</v>
      </c>
      <c r="G15" s="772"/>
      <c r="H15" s="765"/>
      <c r="I15" s="765"/>
      <c r="J15" s="766"/>
      <c r="K15" s="766"/>
    </row>
    <row r="16" spans="1:11" x14ac:dyDescent="0.2">
      <c r="A16" s="2234" t="s">
        <v>316</v>
      </c>
      <c r="B16" s="2234"/>
      <c r="C16" s="2234"/>
      <c r="D16" s="2234"/>
      <c r="E16" s="2235"/>
      <c r="F16" s="790" t="s">
        <v>980</v>
      </c>
      <c r="G16" s="773"/>
      <c r="H16" s="768"/>
      <c r="I16" s="768"/>
      <c r="J16" s="770"/>
      <c r="K16" s="770"/>
    </row>
    <row r="17" spans="1:11" x14ac:dyDescent="0.2">
      <c r="A17" s="2265" t="s">
        <v>992</v>
      </c>
      <c r="B17" s="2265"/>
      <c r="C17" s="2265"/>
      <c r="D17" s="2265"/>
      <c r="E17" s="2266"/>
      <c r="F17" s="791"/>
      <c r="G17" s="792"/>
      <c r="H17" s="793"/>
      <c r="I17" s="793"/>
      <c r="J17" s="794"/>
      <c r="K17" s="795"/>
    </row>
    <row r="18" spans="1:11" x14ac:dyDescent="0.2">
      <c r="A18" s="2244" t="s">
        <v>386</v>
      </c>
      <c r="B18" s="2245"/>
      <c r="C18" s="2245"/>
      <c r="D18" s="2245"/>
      <c r="E18" s="2246"/>
      <c r="F18" s="790" t="s">
        <v>989</v>
      </c>
      <c r="G18" s="783"/>
      <c r="H18" s="783"/>
      <c r="I18" s="783"/>
      <c r="J18" s="766"/>
      <c r="K18" s="796"/>
    </row>
    <row r="19" spans="1:11" ht="21.75" customHeight="1" x14ac:dyDescent="0.2">
      <c r="A19" s="2242" t="s">
        <v>1916</v>
      </c>
      <c r="B19" s="2242"/>
      <c r="C19" s="2242"/>
      <c r="D19" s="2242"/>
      <c r="E19" s="2243"/>
      <c r="F19" s="790" t="s">
        <v>990</v>
      </c>
      <c r="G19" s="783"/>
      <c r="H19" s="783"/>
      <c r="I19" s="783"/>
      <c r="J19" s="766"/>
      <c r="K19" s="796"/>
    </row>
    <row r="20" spans="1:11" x14ac:dyDescent="0.2">
      <c r="A20" s="2244" t="s">
        <v>1921</v>
      </c>
      <c r="B20" s="2245"/>
      <c r="C20" s="2245"/>
      <c r="D20" s="2245"/>
      <c r="E20" s="2246"/>
      <c r="F20" s="790" t="s">
        <v>991</v>
      </c>
      <c r="G20" s="783"/>
      <c r="H20" s="783"/>
      <c r="I20" s="783"/>
      <c r="J20" s="766"/>
      <c r="K20" s="796"/>
    </row>
    <row r="21" spans="1:11" ht="13.5" thickBot="1" x14ac:dyDescent="0.25">
      <c r="A21" s="2263" t="s">
        <v>659</v>
      </c>
      <c r="B21" s="2263"/>
      <c r="C21" s="2263"/>
      <c r="D21" s="2263"/>
      <c r="E21" s="2263"/>
      <c r="F21" s="1781"/>
      <c r="G21" s="793"/>
      <c r="H21" s="797"/>
      <c r="I21" s="797"/>
      <c r="J21" s="1782">
        <f>SUM(J18:J20)</f>
        <v>0</v>
      </c>
      <c r="K21" s="794"/>
    </row>
    <row r="22" spans="1:11" ht="13.5" thickTop="1" x14ac:dyDescent="0.2">
      <c r="A22" s="2234" t="s">
        <v>1922</v>
      </c>
      <c r="B22" s="2234"/>
      <c r="C22" s="2234"/>
      <c r="D22" s="2234"/>
      <c r="E22" s="2235"/>
      <c r="F22" s="790" t="s">
        <v>917</v>
      </c>
      <c r="G22" s="783"/>
      <c r="H22" s="765"/>
      <c r="I22" s="765"/>
      <c r="J22" s="798"/>
      <c r="K22" s="766"/>
    </row>
    <row r="23" spans="1:11" ht="13.5" thickBot="1" x14ac:dyDescent="0.25">
      <c r="A23" s="2264" t="s">
        <v>962</v>
      </c>
      <c r="B23" s="2263"/>
      <c r="C23" s="2263"/>
      <c r="D23" s="2263"/>
      <c r="E23" s="2263"/>
      <c r="F23" s="1783"/>
      <c r="G23" s="1780">
        <f>SUM(G14:G16,G21,G22)</f>
        <v>0</v>
      </c>
      <c r="H23" s="1780">
        <f>SUM(H14:H16,H21,H22)</f>
        <v>105928</v>
      </c>
      <c r="I23" s="1780">
        <f>SUM(I14:I16,I21,I22)</f>
        <v>0</v>
      </c>
      <c r="J23" s="1780">
        <f>SUM(J14:J16,J21,J22)</f>
        <v>0</v>
      </c>
      <c r="K23" s="1780">
        <f>SUM(K14:K16,K21,K22)</f>
        <v>28910</v>
      </c>
    </row>
    <row r="24" spans="1:11" ht="14.25" thickTop="1" thickBot="1" x14ac:dyDescent="0.25">
      <c r="A24" s="2264" t="s">
        <v>2026</v>
      </c>
      <c r="B24" s="2263"/>
      <c r="C24" s="2263"/>
      <c r="D24" s="2263"/>
      <c r="E24" s="2263"/>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2036</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37"/>
      <c r="I31" s="2238"/>
      <c r="J31" s="2238"/>
      <c r="K31" s="2238"/>
    </row>
    <row r="32" spans="1:11" x14ac:dyDescent="0.2">
      <c r="A32" s="810"/>
      <c r="B32" s="237"/>
      <c r="C32" s="237"/>
      <c r="D32" s="237"/>
      <c r="E32" s="806"/>
      <c r="F32" s="812" t="s">
        <v>561</v>
      </c>
      <c r="G32" s="765"/>
      <c r="H32" s="2239"/>
      <c r="I32" s="2238"/>
      <c r="J32" s="2238"/>
      <c r="K32" s="2238"/>
    </row>
    <row r="33" spans="1:11" ht="1.5" customHeight="1" x14ac:dyDescent="0.2">
      <c r="A33" s="813" t="s">
        <v>1231</v>
      </c>
      <c r="B33" s="364"/>
      <c r="C33" s="364"/>
      <c r="D33" s="364"/>
      <c r="E33" s="364"/>
      <c r="F33" s="364"/>
      <c r="G33" s="814"/>
      <c r="H33" s="2239"/>
      <c r="I33" s="2238"/>
      <c r="J33" s="2238"/>
      <c r="K33" s="2238"/>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4" t="s">
        <v>562</v>
      </c>
      <c r="B41" s="2247"/>
      <c r="C41" s="2247"/>
      <c r="D41" s="2247"/>
      <c r="E41" s="2247"/>
      <c r="F41" s="2248"/>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73" bottom="0.4" header="0.42"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A4" colorId="8" zoomScale="110" zoomScaleNormal="110" workbookViewId="0">
      <selection activeCell="A13" sqref="A13"/>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9" t="s">
        <v>2035</v>
      </c>
      <c r="B1" s="2270"/>
      <c r="C1" s="2271"/>
      <c r="D1" s="827"/>
      <c r="E1" s="828"/>
      <c r="F1" s="828"/>
      <c r="G1" s="829"/>
      <c r="H1" s="830"/>
      <c r="I1" s="831"/>
      <c r="J1" s="2267"/>
      <c r="K1" s="2268"/>
      <c r="L1" s="2268"/>
    </row>
    <row r="2" spans="1:14" ht="69.75" customHeight="1" x14ac:dyDescent="0.2">
      <c r="A2" s="832" t="s">
        <v>1777</v>
      </c>
      <c r="B2" s="833" t="s">
        <v>396</v>
      </c>
      <c r="C2" s="834" t="s">
        <v>2030</v>
      </c>
      <c r="D2" s="834" t="s">
        <v>2027</v>
      </c>
      <c r="E2" s="834" t="s">
        <v>2028</v>
      </c>
      <c r="F2" s="834" t="s">
        <v>2029</v>
      </c>
      <c r="G2" s="834" t="s">
        <v>626</v>
      </c>
      <c r="H2" s="834" t="s">
        <v>2031</v>
      </c>
      <c r="I2" s="834" t="s">
        <v>2032</v>
      </c>
      <c r="J2" s="834" t="s">
        <v>2047</v>
      </c>
      <c r="K2" s="834" t="s">
        <v>2033</v>
      </c>
      <c r="L2" s="834" t="s">
        <v>2034</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81500</v>
      </c>
      <c r="D5" s="842"/>
      <c r="E5" s="842"/>
      <c r="F5" s="1782">
        <f>(C5+D5)-E5</f>
        <v>81500</v>
      </c>
      <c r="G5" s="838"/>
      <c r="H5" s="843"/>
      <c r="I5" s="843"/>
      <c r="J5" s="843"/>
      <c r="K5" s="794"/>
      <c r="L5" s="1791">
        <f>F5-K5</f>
        <v>81500</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25400475</v>
      </c>
      <c r="D8" s="845">
        <v>3421</v>
      </c>
      <c r="E8" s="845"/>
      <c r="F8" s="1782">
        <f>(C8+D8)-E8</f>
        <v>25403896</v>
      </c>
      <c r="G8" s="844">
        <v>50</v>
      </c>
      <c r="H8" s="766">
        <v>6696855</v>
      </c>
      <c r="I8" s="766">
        <v>508181</v>
      </c>
      <c r="J8" s="766"/>
      <c r="K8" s="1791">
        <f>(H8+I8)-J8</f>
        <v>7205036</v>
      </c>
      <c r="L8" s="1791">
        <f>F8-K8</f>
        <v>18198860</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v>1376101</v>
      </c>
      <c r="D10" s="847">
        <v>152125</v>
      </c>
      <c r="E10" s="847"/>
      <c r="F10" s="1786">
        <f>(C10+D10)-E10</f>
        <v>1528226</v>
      </c>
      <c r="G10" s="844">
        <v>20</v>
      </c>
      <c r="H10" s="848">
        <v>742109</v>
      </c>
      <c r="I10" s="848">
        <v>76244</v>
      </c>
      <c r="J10" s="848"/>
      <c r="K10" s="1791">
        <f>(H10+I10)-J10</f>
        <v>818353</v>
      </c>
      <c r="L10" s="1791">
        <f>F10-K10</f>
        <v>709873</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4990112</v>
      </c>
      <c r="D12" s="845">
        <v>109184</v>
      </c>
      <c r="E12" s="845"/>
      <c r="F12" s="1782">
        <f>(C12+D12)-E12</f>
        <v>5099296</v>
      </c>
      <c r="G12" s="844">
        <v>10</v>
      </c>
      <c r="H12" s="766">
        <v>4342334</v>
      </c>
      <c r="I12" s="766">
        <v>153179</v>
      </c>
      <c r="J12" s="766"/>
      <c r="K12" s="1791">
        <f>(H12+I12)-J12</f>
        <v>4495513</v>
      </c>
      <c r="L12" s="1791">
        <f>F12-K12</f>
        <v>603783</v>
      </c>
    </row>
    <row r="13" spans="1:14" ht="14.25" thickTop="1" thickBot="1" x14ac:dyDescent="0.25">
      <c r="A13" s="849" t="s">
        <v>1184</v>
      </c>
      <c r="B13" s="841">
        <v>252</v>
      </c>
      <c r="C13" s="845">
        <v>181510</v>
      </c>
      <c r="D13" s="845"/>
      <c r="E13" s="845"/>
      <c r="F13" s="1782">
        <f>(C13+D13)-E13</f>
        <v>181510</v>
      </c>
      <c r="G13" s="844">
        <v>5</v>
      </c>
      <c r="H13" s="766">
        <v>99485</v>
      </c>
      <c r="I13" s="766">
        <v>24002</v>
      </c>
      <c r="J13" s="766"/>
      <c r="K13" s="1791">
        <f>(H13+I13)-J13</f>
        <v>123487</v>
      </c>
      <c r="L13" s="1791">
        <f>F13-K13</f>
        <v>58023</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32029698</v>
      </c>
      <c r="D16" s="1782">
        <f>SUM(D3,D5:D6,D8:D10,D12:D15)</f>
        <v>264730</v>
      </c>
      <c r="E16" s="1782">
        <f>SUM(E3,E5:E6,E8:E10,E12:E15)</f>
        <v>0</v>
      </c>
      <c r="F16" s="1782">
        <f>SUM(F3,F5:F6,F8:F10,F12:F15)</f>
        <v>32294428</v>
      </c>
      <c r="G16" s="844"/>
      <c r="H16" s="1782">
        <f>SUM(H3,H6,H8:H10,H12:H14,)</f>
        <v>11880783</v>
      </c>
      <c r="I16" s="1782">
        <f>SUM(I3,I6,I8:I10,I12:I14,)</f>
        <v>761606</v>
      </c>
      <c r="J16" s="1782">
        <f>SUM(J3,J6,J8:J10,J12:J14,)</f>
        <v>0</v>
      </c>
      <c r="K16" s="1782">
        <f>(H16+I16)-J16</f>
        <v>12642389</v>
      </c>
      <c r="L16" s="1782">
        <f>F16-K16</f>
        <v>19652039</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34130</v>
      </c>
      <c r="G17" s="838">
        <v>10</v>
      </c>
      <c r="H17" s="770"/>
      <c r="I17" s="1791">
        <f>F17/G17</f>
        <v>3413</v>
      </c>
      <c r="J17" s="770"/>
      <c r="K17" s="796"/>
      <c r="L17" s="796"/>
    </row>
    <row r="18" spans="1:12" ht="14.25" thickTop="1" thickBot="1" x14ac:dyDescent="0.25">
      <c r="A18" s="1789" t="s">
        <v>706</v>
      </c>
      <c r="B18" s="1790"/>
      <c r="C18" s="772"/>
      <c r="D18" s="772"/>
      <c r="E18" s="772"/>
      <c r="F18" s="851"/>
      <c r="G18" s="852"/>
      <c r="H18" s="774"/>
      <c r="I18" s="1782">
        <f>SUM(I16,I17)</f>
        <v>765019</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56999999999999995"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02" activePane="bottomLeft" state="frozen"/>
      <selection pane="bottomLeft" activeCell="K169" sqref="K169"/>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5" t="s">
        <v>1699</v>
      </c>
      <c r="B1" s="2276"/>
      <c r="C1" s="2276"/>
      <c r="D1" s="2276"/>
      <c r="E1" s="2276"/>
      <c r="F1" s="2277"/>
      <c r="G1" s="856"/>
    </row>
    <row r="2" spans="1:7" ht="15" customHeight="1" thickBot="1" x14ac:dyDescent="0.25">
      <c r="A2" s="2278" t="s">
        <v>498</v>
      </c>
      <c r="B2" s="2279"/>
      <c r="C2" s="2279"/>
      <c r="D2" s="2279"/>
      <c r="E2" s="2279"/>
      <c r="F2" s="2280"/>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1"/>
      <c r="B5" s="2282"/>
      <c r="C5" s="2282"/>
      <c r="D5" s="2282"/>
      <c r="E5" s="2282"/>
      <c r="F5" s="2282"/>
    </row>
    <row r="6" spans="1:7" ht="13.5" customHeight="1" thickBot="1" x14ac:dyDescent="0.25">
      <c r="A6" s="2272" t="s">
        <v>1166</v>
      </c>
      <c r="B6" s="2273"/>
      <c r="C6" s="2273"/>
      <c r="D6" s="2273"/>
      <c r="E6" s="2273"/>
      <c r="F6" s="2274"/>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8437377</v>
      </c>
      <c r="G8" s="866"/>
    </row>
    <row r="9" spans="1:7" x14ac:dyDescent="0.2">
      <c r="A9" s="870" t="s">
        <v>480</v>
      </c>
      <c r="B9" s="871" t="s">
        <v>1989</v>
      </c>
      <c r="C9" s="872"/>
      <c r="D9" s="870" t="s">
        <v>522</v>
      </c>
      <c r="E9" s="869"/>
      <c r="F9" s="1935">
        <f>'Expenditures 15-22'!K151</f>
        <v>1228574</v>
      </c>
      <c r="G9" s="873"/>
    </row>
    <row r="10" spans="1:7" x14ac:dyDescent="0.2">
      <c r="A10" s="870" t="s">
        <v>520</v>
      </c>
      <c r="B10" s="871" t="s">
        <v>1990</v>
      </c>
      <c r="C10" s="872"/>
      <c r="D10" s="870" t="s">
        <v>522</v>
      </c>
      <c r="E10" s="869"/>
      <c r="F10" s="1935">
        <f>'Expenditures 15-22'!K174</f>
        <v>1860389</v>
      </c>
      <c r="G10" s="873"/>
    </row>
    <row r="11" spans="1:7" x14ac:dyDescent="0.2">
      <c r="A11" s="870" t="s">
        <v>481</v>
      </c>
      <c r="B11" s="871" t="s">
        <v>1991</v>
      </c>
      <c r="C11" s="872"/>
      <c r="D11" s="870" t="s">
        <v>522</v>
      </c>
      <c r="E11" s="869"/>
      <c r="F11" s="1935">
        <f>'Expenditures 15-22'!K210</f>
        <v>1786053</v>
      </c>
      <c r="G11" s="873"/>
    </row>
    <row r="12" spans="1:7" x14ac:dyDescent="0.2">
      <c r="A12" s="870" t="s">
        <v>482</v>
      </c>
      <c r="B12" s="871" t="s">
        <v>1992</v>
      </c>
      <c r="C12" s="872"/>
      <c r="D12" s="870" t="s">
        <v>522</v>
      </c>
      <c r="E12" s="869"/>
      <c r="F12" s="1935">
        <f>'Expenditures 15-22'!K295</f>
        <v>373607</v>
      </c>
      <c r="G12" s="873"/>
    </row>
    <row r="13" spans="1:7" x14ac:dyDescent="0.2">
      <c r="A13" s="870" t="s">
        <v>108</v>
      </c>
      <c r="B13" s="871" t="s">
        <v>1993</v>
      </c>
      <c r="C13" s="872"/>
      <c r="D13" s="870" t="s">
        <v>522</v>
      </c>
      <c r="E13" s="869"/>
      <c r="F13" s="1935">
        <f>'Expenditures 15-22'!K342</f>
        <v>0</v>
      </c>
      <c r="G13" s="874"/>
    </row>
    <row r="14" spans="1:7" ht="12" customHeight="1" thickBot="1" x14ac:dyDescent="0.25">
      <c r="A14" s="1792"/>
      <c r="B14" s="1793"/>
      <c r="C14" s="1794"/>
      <c r="D14" s="1795" t="s">
        <v>522</v>
      </c>
      <c r="E14" s="1796" t="s">
        <v>1015</v>
      </c>
      <c r="F14" s="1797">
        <f>SUM(F8:F13)</f>
        <v>13686000</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557863</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180287</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9">
        <f>'Expenditures 15-22'!K102</f>
        <v>74435</v>
      </c>
      <c r="G53" s="866"/>
    </row>
    <row r="54" spans="1:7" x14ac:dyDescent="0.2">
      <c r="A54" s="870" t="s">
        <v>479</v>
      </c>
      <c r="B54" s="870" t="s">
        <v>1552</v>
      </c>
      <c r="C54" s="890" t="s">
        <v>1039</v>
      </c>
      <c r="D54" s="886" t="s">
        <v>1157</v>
      </c>
      <c r="E54" s="869"/>
      <c r="F54" s="1939">
        <f>'Expenditures 15-22'!G114</f>
        <v>204621</v>
      </c>
      <c r="G54" s="866"/>
    </row>
    <row r="55" spans="1:7" x14ac:dyDescent="0.2">
      <c r="A55" s="870" t="s">
        <v>479</v>
      </c>
      <c r="B55" s="870" t="s">
        <v>1553</v>
      </c>
      <c r="C55" s="890" t="s">
        <v>1039</v>
      </c>
      <c r="D55" s="886" t="s">
        <v>309</v>
      </c>
      <c r="E55" s="869"/>
      <c r="F55" s="1939">
        <f>'Expenditures 15-22'!I114</f>
        <v>15255</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1994</v>
      </c>
      <c r="C57" s="890">
        <f>'Expenditures 15-22'!B139</f>
        <v>4000</v>
      </c>
      <c r="D57" s="888" t="str">
        <f>'Expenditures 15-22'!A139</f>
        <v>Total Payments to Other Govt Units</v>
      </c>
      <c r="E57" s="869"/>
      <c r="F57" s="1939">
        <f>'Expenditures 15-22'!K139</f>
        <v>0</v>
      </c>
      <c r="G57" s="866"/>
    </row>
    <row r="58" spans="1:7" x14ac:dyDescent="0.2">
      <c r="A58" s="870" t="s">
        <v>480</v>
      </c>
      <c r="B58" s="870" t="s">
        <v>1995</v>
      </c>
      <c r="C58" s="887" t="s">
        <v>1039</v>
      </c>
      <c r="D58" s="886" t="s">
        <v>1157</v>
      </c>
      <c r="E58" s="869"/>
      <c r="F58" s="1941">
        <f>'Expenditures 15-22'!G151</f>
        <v>60109</v>
      </c>
      <c r="G58" s="866"/>
    </row>
    <row r="59" spans="1:7" x14ac:dyDescent="0.2">
      <c r="A59" s="894" t="s">
        <v>480</v>
      </c>
      <c r="B59" s="857" t="s">
        <v>1996</v>
      </c>
      <c r="C59" s="895" t="s">
        <v>1039</v>
      </c>
      <c r="D59" s="857" t="s">
        <v>309</v>
      </c>
      <c r="F59" s="1942">
        <f>'Expenditures 15-22'!I151</f>
        <v>18875</v>
      </c>
      <c r="G59" s="866"/>
    </row>
    <row r="60" spans="1:7" x14ac:dyDescent="0.2">
      <c r="A60" s="894" t="s">
        <v>520</v>
      </c>
      <c r="B60" s="857" t="s">
        <v>1997</v>
      </c>
      <c r="C60" s="895">
        <v>4000</v>
      </c>
      <c r="D60" s="857" t="s">
        <v>330</v>
      </c>
      <c r="F60" s="1940">
        <f>'Expenditures 15-22'!K160</f>
        <v>0</v>
      </c>
      <c r="G60" s="866"/>
    </row>
    <row r="61" spans="1:7" x14ac:dyDescent="0.2">
      <c r="A61" s="896" t="s">
        <v>520</v>
      </c>
      <c r="B61" s="896" t="s">
        <v>1998</v>
      </c>
      <c r="C61" s="897" t="str">
        <f>'Expenditures 15-22'!B170</f>
        <v>5300</v>
      </c>
      <c r="D61" s="898" t="s">
        <v>329</v>
      </c>
      <c r="E61" s="880"/>
      <c r="F61" s="1939">
        <f>'Expenditures 15-22'!K170</f>
        <v>1710000</v>
      </c>
      <c r="G61" s="866"/>
    </row>
    <row r="62" spans="1:7" x14ac:dyDescent="0.2">
      <c r="A62" s="870" t="s">
        <v>481</v>
      </c>
      <c r="B62" s="870" t="s">
        <v>1999</v>
      </c>
      <c r="C62" s="887">
        <f>'Expenditures 15-22'!B185</f>
        <v>3000</v>
      </c>
      <c r="D62" s="877" t="s">
        <v>469</v>
      </c>
      <c r="E62" s="869"/>
      <c r="F62" s="1939">
        <f>'Expenditures 15-22'!K185-SUM('Expenditures 15-22'!G185,'Expenditures 15-22'!I185)</f>
        <v>0</v>
      </c>
      <c r="G62" s="866"/>
    </row>
    <row r="63" spans="1:7" x14ac:dyDescent="0.2">
      <c r="A63" s="870" t="s">
        <v>481</v>
      </c>
      <c r="B63" s="870" t="s">
        <v>2000</v>
      </c>
      <c r="C63" s="887" t="str">
        <f>'Expenditures 15-22'!B196</f>
        <v>4000</v>
      </c>
      <c r="D63" s="888" t="str">
        <f>'Expenditures 15-22'!A196</f>
        <v>Total Payments to Other Govt Units</v>
      </c>
      <c r="E63" s="869"/>
      <c r="F63" s="1939">
        <f>'Expenditures 15-22'!K196</f>
        <v>0</v>
      </c>
      <c r="G63" s="866"/>
    </row>
    <row r="64" spans="1:7" x14ac:dyDescent="0.2">
      <c r="A64" s="896" t="s">
        <v>481</v>
      </c>
      <c r="B64" s="896" t="s">
        <v>2001</v>
      </c>
      <c r="C64" s="897" t="str">
        <f>'Expenditures 15-22'!B206</f>
        <v>5300</v>
      </c>
      <c r="D64" s="893" t="s">
        <v>329</v>
      </c>
      <c r="E64" s="869"/>
      <c r="F64" s="1939">
        <f>'Expenditures 15-22'!K206</f>
        <v>0</v>
      </c>
      <c r="G64" s="866"/>
    </row>
    <row r="65" spans="1:8" x14ac:dyDescent="0.2">
      <c r="A65" s="870" t="s">
        <v>481</v>
      </c>
      <c r="B65" s="870" t="s">
        <v>2002</v>
      </c>
      <c r="C65" s="887" t="s">
        <v>1039</v>
      </c>
      <c r="D65" s="886" t="s">
        <v>1157</v>
      </c>
      <c r="E65" s="869"/>
      <c r="F65" s="1939">
        <f>'Expenditures 15-22'!G210</f>
        <v>0</v>
      </c>
      <c r="G65" s="866"/>
    </row>
    <row r="66" spans="1:8" x14ac:dyDescent="0.2">
      <c r="A66" s="870" t="s">
        <v>481</v>
      </c>
      <c r="B66" s="870" t="s">
        <v>2003</v>
      </c>
      <c r="C66" s="887" t="s">
        <v>1039</v>
      </c>
      <c r="D66" s="886" t="s">
        <v>309</v>
      </c>
      <c r="E66" s="869"/>
      <c r="F66" s="1939">
        <f>'Expenditures 15-22'!I210</f>
        <v>0</v>
      </c>
      <c r="G66" s="866"/>
    </row>
    <row r="67" spans="1:8" x14ac:dyDescent="0.2">
      <c r="A67" s="870" t="s">
        <v>482</v>
      </c>
      <c r="B67" s="870" t="s">
        <v>2004</v>
      </c>
      <c r="C67" s="887" t="str">
        <f>'Expenditures 15-22'!B216</f>
        <v>1125</v>
      </c>
      <c r="D67" s="893" t="str">
        <f>'Expenditures 15-22'!A216</f>
        <v>Pre-K Programs</v>
      </c>
      <c r="E67" s="869"/>
      <c r="F67" s="1939">
        <f>'Expenditures 15-22'!K216</f>
        <v>0</v>
      </c>
      <c r="G67" s="866"/>
    </row>
    <row r="68" spans="1:8" x14ac:dyDescent="0.2">
      <c r="A68" s="870" t="s">
        <v>482</v>
      </c>
      <c r="B68" s="870" t="s">
        <v>1555</v>
      </c>
      <c r="C68" s="887" t="str">
        <f>'Expenditures 15-22'!B218</f>
        <v>1225</v>
      </c>
      <c r="D68" s="893" t="str">
        <f>'Expenditures 15-22'!A218</f>
        <v>Special Education Programs - Pre-K</v>
      </c>
      <c r="E68" s="869"/>
      <c r="F68" s="1939">
        <f>'Expenditures 15-22'!K218</f>
        <v>0</v>
      </c>
      <c r="G68" s="866"/>
    </row>
    <row r="69" spans="1:8" x14ac:dyDescent="0.2">
      <c r="A69" s="870" t="s">
        <v>482</v>
      </c>
      <c r="B69" s="870" t="s">
        <v>2005</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2006</v>
      </c>
      <c r="C70" s="887">
        <f>'Expenditures 15-22'!B221</f>
        <v>1300</v>
      </c>
      <c r="D70" s="888" t="str">
        <f>'Expenditures 15-22'!A221</f>
        <v>Adult/Continuing Education Programs</v>
      </c>
      <c r="E70" s="869"/>
      <c r="F70" s="1939">
        <f>'Expenditures 15-22'!K221</f>
        <v>0</v>
      </c>
      <c r="G70" s="866"/>
    </row>
    <row r="71" spans="1:8" x14ac:dyDescent="0.2">
      <c r="A71" s="870" t="s">
        <v>482</v>
      </c>
      <c r="B71" s="870" t="s">
        <v>2007</v>
      </c>
      <c r="C71" s="887">
        <f>'Expenditures 15-22'!B224</f>
        <v>1600</v>
      </c>
      <c r="D71" s="888" t="str">
        <f>'Expenditures 15-22'!A224</f>
        <v>Summer School Programs</v>
      </c>
      <c r="E71" s="869"/>
      <c r="F71" s="1939">
        <f>'Expenditures 15-22'!K224</f>
        <v>0</v>
      </c>
      <c r="G71" s="866"/>
    </row>
    <row r="72" spans="1:8" x14ac:dyDescent="0.2">
      <c r="A72" s="870" t="s">
        <v>482</v>
      </c>
      <c r="B72" s="870" t="s">
        <v>2008</v>
      </c>
      <c r="C72" s="887">
        <f>'Expenditures 15-22'!B280</f>
        <v>3000</v>
      </c>
      <c r="D72" s="877" t="s">
        <v>469</v>
      </c>
      <c r="E72" s="869"/>
      <c r="F72" s="1939">
        <f>'Expenditures 15-22'!K280</f>
        <v>0</v>
      </c>
      <c r="G72" s="866"/>
    </row>
    <row r="73" spans="1:8" x14ac:dyDescent="0.2">
      <c r="A73" s="870" t="s">
        <v>482</v>
      </c>
      <c r="B73" s="870" t="s">
        <v>2009</v>
      </c>
      <c r="C73" s="887" t="str">
        <f>'Expenditures 15-22'!B285</f>
        <v>4000</v>
      </c>
      <c r="D73" s="888" t="str">
        <f>'Expenditures 15-22'!A285</f>
        <v>Total Payments to Other Govt Units</v>
      </c>
      <c r="E73" s="869"/>
      <c r="F73" s="1939">
        <f>'Expenditures 15-22'!K285</f>
        <v>0</v>
      </c>
      <c r="G73" s="866"/>
    </row>
    <row r="74" spans="1:8" x14ac:dyDescent="0.2">
      <c r="A74" s="870" t="s">
        <v>456</v>
      </c>
      <c r="B74" s="870" t="s">
        <v>2010</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2011</v>
      </c>
      <c r="E76" s="1796" t="s">
        <v>1015</v>
      </c>
      <c r="F76" s="1800">
        <f>SUM(F18:F74)</f>
        <v>2821445</v>
      </c>
      <c r="G76" s="866"/>
    </row>
    <row r="77" spans="1:8" s="894" customFormat="1" ht="12" customHeight="1" thickTop="1" thickBot="1" x14ac:dyDescent="0.25">
      <c r="A77" s="1801"/>
      <c r="B77" s="1798"/>
      <c r="C77" s="1794"/>
      <c r="D77" s="1799" t="s">
        <v>2012</v>
      </c>
      <c r="E77" s="1796"/>
      <c r="F77" s="1802">
        <f>(F14-F76)</f>
        <v>10864555</v>
      </c>
      <c r="G77" s="870"/>
    </row>
    <row r="78" spans="1:8" s="894" customFormat="1" ht="12" customHeight="1" thickTop="1" x14ac:dyDescent="0.2">
      <c r="A78" s="1803"/>
      <c r="B78" s="1798"/>
      <c r="C78" s="1794"/>
      <c r="D78" s="1799" t="s">
        <v>2059</v>
      </c>
      <c r="E78" s="1796"/>
      <c r="F78" s="899">
        <v>609.11</v>
      </c>
      <c r="G78" s="900"/>
      <c r="H78" s="870"/>
    </row>
    <row r="79" spans="1:8" s="894" customFormat="1" ht="12" customHeight="1" thickBot="1" x14ac:dyDescent="0.25">
      <c r="A79" s="1804"/>
      <c r="B79" s="1798"/>
      <c r="C79" s="1794"/>
      <c r="D79" s="1799" t="s">
        <v>2013</v>
      </c>
      <c r="E79" s="1796" t="s">
        <v>1015</v>
      </c>
      <c r="F79" s="1805">
        <f>IF(F78&gt;0,F77/F78," Complete Line 78")</f>
        <v>17836.770041536012</v>
      </c>
      <c r="G79" s="870"/>
    </row>
    <row r="80" spans="1:8" s="894" customFormat="1" ht="8.25" customHeight="1" thickTop="1" x14ac:dyDescent="0.2">
      <c r="A80" s="901"/>
      <c r="B80" s="870"/>
      <c r="C80" s="872"/>
      <c r="D80" s="902"/>
      <c r="E80" s="869"/>
      <c r="F80" s="903"/>
      <c r="G80" s="870"/>
    </row>
    <row r="81" spans="1:7" s="894" customFormat="1" ht="12" thickBot="1" x14ac:dyDescent="0.25">
      <c r="A81" s="2272" t="s">
        <v>1167</v>
      </c>
      <c r="B81" s="2273"/>
      <c r="C81" s="2273"/>
      <c r="D81" s="2273"/>
      <c r="E81" s="2273"/>
      <c r="F81" s="2274"/>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236132</v>
      </c>
      <c r="G94" s="913"/>
    </row>
    <row r="95" spans="1:7" x14ac:dyDescent="0.2">
      <c r="A95" s="909" t="s">
        <v>142</v>
      </c>
      <c r="B95" s="909" t="s">
        <v>177</v>
      </c>
      <c r="C95" s="911">
        <v>1700</v>
      </c>
      <c r="D95" s="919" t="str">
        <f>'Revenues 9-14'!A82</f>
        <v>Total District/School Activity Income</v>
      </c>
      <c r="E95" s="907"/>
      <c r="F95" s="1811">
        <f>SUM('Revenues 9-14'!C82,'Revenues 9-14'!D82)</f>
        <v>408454</v>
      </c>
      <c r="G95" s="913"/>
    </row>
    <row r="96" spans="1:7" x14ac:dyDescent="0.2">
      <c r="A96" s="909" t="s">
        <v>479</v>
      </c>
      <c r="B96" s="909" t="s">
        <v>178</v>
      </c>
      <c r="C96" s="911">
        <f>'Revenues 9-14'!B84</f>
        <v>1811</v>
      </c>
      <c r="D96" s="912" t="str">
        <f>'Revenues 9-14'!A84</f>
        <v>Rentals - Regular Textbooks</v>
      </c>
      <c r="E96" s="907"/>
      <c r="F96" s="1811">
        <f>'Revenues 9-14'!C84</f>
        <v>0</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0</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17343</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178156</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11082</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0</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22925</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632252</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0</v>
      </c>
      <c r="G129" s="931"/>
    </row>
    <row r="130" spans="1:7" x14ac:dyDescent="0.2">
      <c r="A130" s="928" t="s">
        <v>689</v>
      </c>
      <c r="B130" s="928" t="s">
        <v>804</v>
      </c>
      <c r="C130" s="933">
        <v>4300</v>
      </c>
      <c r="D130" s="934" t="str">
        <f>'Revenues 9-14'!A211</f>
        <v>Total Title I</v>
      </c>
      <c r="E130" s="907"/>
      <c r="F130" s="1811">
        <f>SUM('Revenues 9-14'!C211,'Revenues 9-14'!D211,'Revenues 9-14'!F211,'Revenues 9-14'!G211)</f>
        <v>0</v>
      </c>
      <c r="G130" s="931"/>
    </row>
    <row r="131" spans="1:7" x14ac:dyDescent="0.2">
      <c r="A131" s="928" t="s">
        <v>689</v>
      </c>
      <c r="B131" s="928" t="s">
        <v>805</v>
      </c>
      <c r="C131" s="933">
        <v>4400</v>
      </c>
      <c r="D131" s="934" t="str">
        <f>'Revenues 9-14'!A216</f>
        <v>Total Title IV</v>
      </c>
      <c r="E131" s="907"/>
      <c r="F131" s="1811">
        <f>SUM('Revenues 9-14'!C216,'Revenues 9-14'!D216,'Revenues 9-14'!F216,'Revenues 9-14'!G216)</f>
        <v>10000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118916</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12839</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9375</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7795</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0</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2058</v>
      </c>
      <c r="C175" s="1946">
        <v>3100</v>
      </c>
      <c r="D175" s="1947" t="s">
        <v>2061</v>
      </c>
      <c r="E175" s="907"/>
      <c r="F175" s="1931">
        <v>232152</v>
      </c>
      <c r="G175" s="928"/>
    </row>
    <row r="176" spans="1:7" x14ac:dyDescent="0.2">
      <c r="A176" s="1944" t="s">
        <v>685</v>
      </c>
      <c r="B176" s="1945" t="s">
        <v>2058</v>
      </c>
      <c r="C176" s="1946">
        <v>3300</v>
      </c>
      <c r="D176" s="1947" t="s">
        <v>2062</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2014</v>
      </c>
      <c r="E178" s="1809" t="s">
        <v>1015</v>
      </c>
      <c r="F178" s="1810">
        <f>SUM(F84:F136,F161:F176)</f>
        <v>1897421</v>
      </c>
    </row>
    <row r="179" spans="1:7" ht="12" customHeight="1" x14ac:dyDescent="0.2">
      <c r="A179" s="1792"/>
      <c r="B179" s="1806"/>
      <c r="C179" s="1807"/>
      <c r="D179" s="1808" t="s">
        <v>2015</v>
      </c>
      <c r="E179" s="1809"/>
      <c r="F179" s="1811">
        <f>'PCTC-OEPP 27-28'!F77-F178</f>
        <v>8967134</v>
      </c>
    </row>
    <row r="180" spans="1:7" ht="12" customHeight="1" x14ac:dyDescent="0.2">
      <c r="A180" s="1792"/>
      <c r="B180" s="1806"/>
      <c r="C180" s="1807"/>
      <c r="D180" s="1808" t="s">
        <v>1924</v>
      </c>
      <c r="E180" s="1809"/>
      <c r="F180" s="1811">
        <f>'Cap Outlay Deprec 26'!I18</f>
        <v>765019</v>
      </c>
    </row>
    <row r="181" spans="1:7" ht="12" customHeight="1" x14ac:dyDescent="0.2">
      <c r="A181" s="1792"/>
      <c r="B181" s="1806"/>
      <c r="C181" s="1807"/>
      <c r="D181" s="1808" t="s">
        <v>2016</v>
      </c>
      <c r="E181" s="1809"/>
      <c r="F181" s="1811">
        <f>F179+F180</f>
        <v>9732153</v>
      </c>
    </row>
    <row r="182" spans="1:7" ht="12" customHeight="1" x14ac:dyDescent="0.2">
      <c r="A182" s="1792"/>
      <c r="B182" s="1812"/>
      <c r="C182" s="1807"/>
      <c r="D182" s="1808" t="str">
        <f>D78</f>
        <v>9 Month ADA from District Average Daily Attendance/Prior General State Aid Inquiry 2017-2018</v>
      </c>
      <c r="E182" s="1809"/>
      <c r="F182" s="1813">
        <f>'PCTC-OEPP 27-28'!F78</f>
        <v>609.11</v>
      </c>
      <c r="G182" s="931"/>
    </row>
    <row r="183" spans="1:7" ht="12" customHeight="1" thickBot="1" x14ac:dyDescent="0.25">
      <c r="A183" s="1792"/>
      <c r="B183" s="1812"/>
      <c r="C183" s="1807"/>
      <c r="D183" s="1808" t="s">
        <v>2017</v>
      </c>
      <c r="E183" s="1809" t="s">
        <v>1626</v>
      </c>
      <c r="F183" s="1814">
        <f>F181/F182</f>
        <v>15977.660849436063</v>
      </c>
      <c r="G183" s="857">
        <v>6323</v>
      </c>
    </row>
    <row r="184" spans="1:7" ht="12" thickTop="1" x14ac:dyDescent="0.2">
      <c r="B184" s="931"/>
      <c r="C184" s="950"/>
      <c r="D184" s="931"/>
      <c r="E184" s="950"/>
      <c r="F184" s="931"/>
      <c r="G184" s="952">
        <v>6326</v>
      </c>
    </row>
    <row r="185" spans="1:7" ht="12.2" customHeight="1" x14ac:dyDescent="0.2">
      <c r="A185" s="931" t="s">
        <v>2060</v>
      </c>
      <c r="B185" s="931"/>
      <c r="C185" s="950"/>
      <c r="D185" s="931"/>
      <c r="E185" s="950"/>
      <c r="F185" s="931"/>
      <c r="G185" s="931"/>
    </row>
    <row r="186" spans="1:7" s="1948" customFormat="1" ht="12.2" customHeight="1" x14ac:dyDescent="0.2">
      <c r="A186" s="1948" t="s">
        <v>2065</v>
      </c>
      <c r="B186" s="1949"/>
      <c r="C186" s="1950"/>
      <c r="D186" s="1949"/>
      <c r="E186" s="1950"/>
      <c r="F186" s="1949"/>
      <c r="G186" s="1949"/>
    </row>
    <row r="187" spans="1:7" s="1948" customFormat="1" ht="12.2" customHeight="1" x14ac:dyDescent="0.2">
      <c r="A187" s="1951" t="s">
        <v>2066</v>
      </c>
      <c r="C187" s="1950"/>
      <c r="D187" s="1949"/>
      <c r="E187" s="1950"/>
      <c r="F187" s="1949"/>
      <c r="G187" s="1949"/>
    </row>
    <row r="188" spans="1:7" ht="12" customHeight="1" x14ac:dyDescent="0.2">
      <c r="C188" s="950"/>
      <c r="D188" s="931"/>
      <c r="E188" s="950"/>
      <c r="F188" s="931"/>
      <c r="G188" s="931"/>
    </row>
    <row r="189" spans="1:7" x14ac:dyDescent="0.2">
      <c r="A189" s="1952" t="s">
        <v>2064</v>
      </c>
      <c r="B189" s="1953" t="s">
        <v>2063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A18" sqref="A18"/>
    </sheetView>
  </sheetViews>
  <sheetFormatPr defaultColWidth="9.140625"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6" t="s">
        <v>1925</v>
      </c>
      <c r="B4" s="2287"/>
      <c r="C4" s="2287"/>
      <c r="D4" s="2287"/>
      <c r="E4" s="2287"/>
      <c r="F4" s="2287"/>
      <c r="G4" s="2288"/>
    </row>
    <row r="5" spans="1:7" x14ac:dyDescent="0.25">
      <c r="A5" s="2289"/>
      <c r="B5" s="2290"/>
      <c r="C5" s="2290"/>
      <c r="D5" s="2290"/>
      <c r="E5" s="2290"/>
      <c r="F5" s="2290"/>
      <c r="G5" s="2291"/>
    </row>
    <row r="6" spans="1:7" ht="18.75" x14ac:dyDescent="0.25">
      <c r="A6" s="1556" t="s">
        <v>1926</v>
      </c>
      <c r="B6" s="1557"/>
      <c r="C6" s="1557"/>
      <c r="D6" s="1557"/>
      <c r="E6" s="1557"/>
      <c r="F6" s="1557"/>
      <c r="G6" s="1558"/>
    </row>
    <row r="7" spans="1:7" ht="30.75" customHeight="1" x14ac:dyDescent="0.25">
      <c r="A7" s="2292" t="s">
        <v>2075</v>
      </c>
      <c r="B7" s="2293"/>
      <c r="C7" s="2293"/>
      <c r="D7" s="2293"/>
      <c r="E7" s="2293"/>
      <c r="F7" s="2293"/>
      <c r="G7" s="2294"/>
    </row>
    <row r="8" spans="1:7" ht="15.75" customHeight="1" x14ac:dyDescent="0.25">
      <c r="A8" s="2295" t="s">
        <v>2024</v>
      </c>
      <c r="B8" s="2296"/>
      <c r="C8" s="2296"/>
      <c r="D8" s="2296"/>
      <c r="E8" s="2296"/>
      <c r="F8" s="2296"/>
      <c r="G8" s="2297"/>
    </row>
    <row r="9" spans="1:7" ht="35.25" customHeight="1" x14ac:dyDescent="0.25">
      <c r="A9" s="2292" t="s">
        <v>2023</v>
      </c>
      <c r="B9" s="2293"/>
      <c r="C9" s="2293"/>
      <c r="D9" s="2293"/>
      <c r="E9" s="2293"/>
      <c r="F9" s="2293"/>
      <c r="G9" s="2294"/>
    </row>
    <row r="10" spans="1:7" ht="15" customHeight="1" x14ac:dyDescent="0.25">
      <c r="A10" s="1559" t="s">
        <v>1927</v>
      </c>
      <c r="B10" s="1560"/>
      <c r="C10" s="1560"/>
      <c r="D10" s="1560"/>
      <c r="E10" s="1560"/>
      <c r="F10" s="1560"/>
      <c r="G10" s="1561"/>
    </row>
    <row r="11" spans="1:7" ht="17.25" customHeight="1" x14ac:dyDescent="0.25">
      <c r="A11" s="2292" t="s">
        <v>1941</v>
      </c>
      <c r="B11" s="2293"/>
      <c r="C11" s="2293"/>
      <c r="D11" s="2293"/>
      <c r="E11" s="2293"/>
      <c r="F11" s="2293"/>
      <c r="G11" s="2294"/>
    </row>
    <row r="12" spans="1:7" ht="15" customHeight="1" x14ac:dyDescent="0.25">
      <c r="A12" s="1559" t="s">
        <v>1932</v>
      </c>
      <c r="B12" s="1560"/>
      <c r="C12" s="1560"/>
      <c r="D12" s="1560"/>
      <c r="E12" s="1560"/>
      <c r="F12" s="1560"/>
      <c r="G12" s="1561"/>
    </row>
    <row r="13" spans="1:7" ht="32.25" customHeight="1" x14ac:dyDescent="0.25">
      <c r="A13" s="2283" t="s">
        <v>1933</v>
      </c>
      <c r="B13" s="2284"/>
      <c r="C13" s="2284"/>
      <c r="D13" s="2284"/>
      <c r="E13" s="2284"/>
      <c r="F13" s="2284"/>
      <c r="G13" s="2285"/>
    </row>
    <row r="14" spans="1:7" x14ac:dyDescent="0.25">
      <c r="A14" s="1683" t="s">
        <v>1942</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1943</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677"/>
      <c r="B17" s="1868"/>
      <c r="C17" s="1678"/>
      <c r="D17" s="1867"/>
      <c r="E17" s="1562">
        <f t="shared" ref="E17:E141" si="1">IF(D17&lt;=25000,D17,IF(D17&gt;25000,25000,0))</f>
        <v>0</v>
      </c>
      <c r="F17" s="1815">
        <f t="shared" si="0"/>
        <v>0</v>
      </c>
      <c r="G17" s="1816">
        <f>IF(F17=0,0,D17-F17)</f>
        <v>0</v>
      </c>
      <c r="H17" s="1669"/>
    </row>
    <row r="18" spans="1:8" x14ac:dyDescent="0.25">
      <c r="A18" s="2503" t="s">
        <v>2114</v>
      </c>
      <c r="B18" s="1868"/>
      <c r="C18" s="1678"/>
      <c r="D18" s="1867"/>
      <c r="E18" s="1562">
        <f t="shared" ref="E18:E140" si="2">IF(D18&lt;=25000,D18,IF(D18&gt;25000,25000,0))</f>
        <v>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140" si="4">IF(F18=0,0,D18-F18)</f>
        <v>0</v>
      </c>
    </row>
    <row r="19" spans="1:8" x14ac:dyDescent="0.25">
      <c r="A19" s="1675"/>
      <c r="B19" s="1869"/>
      <c r="C19" s="1678"/>
      <c r="D19" s="1867"/>
      <c r="E19" s="1562">
        <f t="shared" si="2"/>
        <v>0</v>
      </c>
      <c r="F19" s="1815">
        <f t="shared" si="3"/>
        <v>0</v>
      </c>
      <c r="G19" s="1816">
        <f t="shared" si="4"/>
        <v>0</v>
      </c>
    </row>
    <row r="20" spans="1:8" x14ac:dyDescent="0.25">
      <c r="A20" s="1675"/>
      <c r="B20" s="1868"/>
      <c r="C20" s="1678"/>
      <c r="D20" s="1867"/>
      <c r="E20" s="1562">
        <f t="shared" si="2"/>
        <v>0</v>
      </c>
      <c r="F20" s="1815">
        <f t="shared" si="3"/>
        <v>0</v>
      </c>
      <c r="G20" s="1816">
        <f t="shared" si="4"/>
        <v>0</v>
      </c>
    </row>
    <row r="21" spans="1:8" x14ac:dyDescent="0.25">
      <c r="A21" s="1675"/>
      <c r="B21" s="1868"/>
      <c r="C21" s="1678"/>
      <c r="D21" s="1867"/>
      <c r="E21" s="1562">
        <f t="shared" si="2"/>
        <v>0</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0</v>
      </c>
      <c r="E141" s="1563">
        <f t="shared" si="1"/>
        <v>0</v>
      </c>
      <c r="F141" s="1817">
        <f>SUM(F17:F140)</f>
        <v>0</v>
      </c>
      <c r="G141" s="1818">
        <f>SUM(G17:G140)</f>
        <v>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7"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298" t="s">
        <v>1778</v>
      </c>
      <c r="B5" s="2299"/>
      <c r="C5" s="2299"/>
      <c r="D5" s="2299"/>
      <c r="E5" s="2299"/>
      <c r="F5" s="2299"/>
      <c r="G5" s="2300"/>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2076</v>
      </c>
      <c r="B10" s="972"/>
      <c r="C10" s="977"/>
      <c r="D10" s="973"/>
      <c r="E10" s="974"/>
      <c r="F10" s="975"/>
      <c r="G10" s="976"/>
      <c r="H10" s="162"/>
      <c r="I10" s="162"/>
    </row>
    <row r="11" spans="1:9" s="669" customFormat="1" ht="22.5" customHeight="1" x14ac:dyDescent="0.2">
      <c r="A11" s="2303" t="s">
        <v>1945</v>
      </c>
      <c r="B11" s="2304"/>
      <c r="C11" s="2304"/>
      <c r="D11" s="2305"/>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5556588</v>
      </c>
      <c r="F19" s="1822"/>
      <c r="G19" s="1824">
        <f>'Expenditures 15-22'!K33-SUM('Expenditures 15-22'!G33,'Expenditures 15-22'!I33)+'Expenditures 15-22'!D229</f>
        <v>5556588</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580647</v>
      </c>
      <c r="F21" s="1825"/>
      <c r="G21" s="1828">
        <f>'Expenditures 15-22'!K42-SUM('Expenditures 15-22'!G42,'Expenditures 15-22'!I42)+'Expenditures 15-22'!K120-SUM('Expenditures 15-22'!G120,'Expenditures 15-22'!I120)+'Expenditures 15-22'!K180-SUM('Expenditures 15-22'!G180,'Expenditures 15-22'!I180)+'Expenditures 15-22'!D238</f>
        <v>580647</v>
      </c>
      <c r="H21" s="988"/>
      <c r="I21" s="162"/>
    </row>
    <row r="22" spans="1:9" s="669" customFormat="1" ht="12" customHeight="1" x14ac:dyDescent="0.2">
      <c r="A22" s="995" t="s">
        <v>585</v>
      </c>
      <c r="B22" s="996"/>
      <c r="C22" s="994">
        <v>2200</v>
      </c>
      <c r="D22" s="1825"/>
      <c r="E22" s="1827">
        <f>'Expenditures 15-22'!K47-SUM('Expenditures 15-22'!G47,'Expenditures 15-22'!I47)+'Expenditures 15-22'!D243</f>
        <v>238036</v>
      </c>
      <c r="F22" s="1825"/>
      <c r="G22" s="1828">
        <f>'Expenditures 15-22'!K47-SUM('Expenditures 15-22'!G47,'Expenditures 15-22'!I47)+'Expenditures 15-22'!D243</f>
        <v>238036</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737855</v>
      </c>
      <c r="F23" s="1825"/>
      <c r="G23" s="1827">
        <f>'Expenditures 15-22'!K53-SUM('Expenditures 15-22'!G53,'Expenditures 15-22'!I53)+'Expenditures 15-22'!D257+'Expenditures 15-22'!K330-SUM('Expenditures 15-22'!G330,'Expenditures 15-22'!I330)</f>
        <v>737855</v>
      </c>
      <c r="H23" s="988"/>
      <c r="I23" s="162"/>
    </row>
    <row r="24" spans="1:9" s="669" customFormat="1" ht="12" customHeight="1" x14ac:dyDescent="0.2">
      <c r="A24" s="995" t="s">
        <v>587</v>
      </c>
      <c r="B24" s="996"/>
      <c r="C24" s="994">
        <v>2400</v>
      </c>
      <c r="D24" s="1825"/>
      <c r="E24" s="1827">
        <f>'Expenditures 15-22'!K57-SUM('Expenditures 15-22'!G57,'Expenditures 15-22'!I57)+'Expenditures 15-22'!D261</f>
        <v>519521</v>
      </c>
      <c r="F24" s="1825"/>
      <c r="G24" s="1828">
        <f>'Expenditures 15-22'!K57-SUM('Expenditures 15-22'!G57,'Expenditures 15-22'!I57)+'Expenditures 15-22'!D261</f>
        <v>519521</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44297</v>
      </c>
      <c r="E26" s="1827">
        <f>'Expenditures 15-22'!K122-SUM('Expenditures 15-22'!G122,'Expenditures 15-22'!I122)+E7</f>
        <v>0</v>
      </c>
      <c r="F26" s="1827">
        <f>'Expenditures 15-22'!K59-SUM('Expenditures 15-22'!G59,'Expenditures 15-22'!I59)+'Expenditures 15-22'!D263-E7</f>
        <v>44297</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83185</v>
      </c>
      <c r="E27" s="1827">
        <f>E8</f>
        <v>0</v>
      </c>
      <c r="F27" s="1827">
        <f>'Expenditures 15-22'!K60-SUM('Expenditures 15-22'!G60,'Expenditures 15-22'!I60)+'Expenditures 15-22'!D264-E8</f>
        <v>83185</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1240621</v>
      </c>
      <c r="F28" s="1829">
        <f>'Expenditures 15-22'!K61-SUM('Expenditures 15-22'!G61,'Expenditures 15-22'!I61)+'Expenditures 15-22'!K124-SUM('Expenditures 15-22'!G124,'Expenditures 15-22'!I124)+'Expenditures 15-22'!D266-E9</f>
        <v>1240621</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1934792</v>
      </c>
      <c r="F29" s="1825"/>
      <c r="G29" s="1828">
        <f>'Expenditures 15-22'!K62-SUM('Expenditures 15-22'!G62,'Expenditures 15-22'!I62)+'Expenditures 15-22'!K125-SUM('Expenditures 15-22'!G125,'Expenditures 15-22'!I125)+'Expenditures 15-22'!K182-SUM('Expenditures 15-22'!G182,'Expenditures 15-22'!I182)+'Expenditures 15-22'!D267</f>
        <v>1934792</v>
      </c>
      <c r="H29" s="986"/>
    </row>
    <row r="30" spans="1:9" ht="12" customHeight="1" x14ac:dyDescent="0.2">
      <c r="A30" s="995" t="s">
        <v>102</v>
      </c>
      <c r="B30" s="998"/>
      <c r="C30" s="994">
        <v>2560</v>
      </c>
      <c r="D30" s="1825"/>
      <c r="E30" s="1827">
        <f>'Expenditures 15-22'!K63-SUM('Expenditures 15-22'!G63,'Expenditures 15-22'!I63)+'Expenditures 15-22'!D268-E10</f>
        <v>240533</v>
      </c>
      <c r="F30" s="1825"/>
      <c r="G30" s="1827">
        <f>'Expenditures 15-22'!K63-SUM('Expenditures 15-22'!G63,'Expenditures 15-22'!I63)+'Expenditures 15-22'!D268-E10</f>
        <v>240533</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276241</v>
      </c>
      <c r="E37" s="1827">
        <f>E14</f>
        <v>0</v>
      </c>
      <c r="F37" s="1827">
        <f>'Expenditures 15-22'!K71-SUM('Expenditures 15-22'!G71,'Expenditures 15-22'!I71)+'Expenditures 15-22'!D276-E14</f>
        <v>276241</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0</v>
      </c>
      <c r="F39" s="1825"/>
      <c r="G39" s="182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1930</v>
      </c>
      <c r="B40" s="992"/>
      <c r="C40" s="994"/>
      <c r="D40" s="1825"/>
      <c r="E40" s="1829">
        <f>-'Contracts Paid in CY 29'!G141</f>
        <v>0</v>
      </c>
      <c r="F40" s="1825"/>
      <c r="G40" s="1829">
        <f>-'Contracts Paid in CY 29'!G141</f>
        <v>0</v>
      </c>
    </row>
    <row r="41" spans="1:7" ht="12" customHeight="1" x14ac:dyDescent="0.2">
      <c r="A41" s="999" t="s">
        <v>158</v>
      </c>
      <c r="B41" s="1000"/>
      <c r="C41" s="1001"/>
      <c r="D41" s="1829">
        <f>SUM(D19:D39)</f>
        <v>403723</v>
      </c>
      <c r="E41" s="1829">
        <f>SUM(E19:E40)</f>
        <v>11048593</v>
      </c>
      <c r="F41" s="1829">
        <f>SUM(F19:F39)</f>
        <v>1644344</v>
      </c>
      <c r="G41" s="1829">
        <f>SUM(G19:G40)</f>
        <v>9807972</v>
      </c>
    </row>
    <row r="42" spans="1:7" x14ac:dyDescent="0.2">
      <c r="A42" s="988"/>
      <c r="B42" s="162"/>
      <c r="C42" s="1002"/>
      <c r="D42" s="2301" t="s">
        <v>543</v>
      </c>
      <c r="E42" s="2302"/>
      <c r="F42" s="1003" t="s">
        <v>544</v>
      </c>
      <c r="G42" s="1004"/>
    </row>
    <row r="43" spans="1:7" ht="12" customHeight="1" x14ac:dyDescent="0.2">
      <c r="A43" s="988"/>
      <c r="B43" s="162"/>
      <c r="C43" s="1002"/>
      <c r="D43" s="1830" t="s">
        <v>493</v>
      </c>
      <c r="E43" s="1831">
        <f>D41</f>
        <v>403723</v>
      </c>
      <c r="F43" s="1830" t="s">
        <v>495</v>
      </c>
      <c r="G43" s="1831">
        <f>F41</f>
        <v>1644344</v>
      </c>
    </row>
    <row r="44" spans="1:7" ht="12" customHeight="1" x14ac:dyDescent="0.2">
      <c r="A44" s="988"/>
      <c r="B44" s="162"/>
      <c r="C44" s="1002"/>
      <c r="D44" s="1830" t="s">
        <v>494</v>
      </c>
      <c r="E44" s="1831">
        <f>E41</f>
        <v>11048593</v>
      </c>
      <c r="F44" s="1830" t="s">
        <v>494</v>
      </c>
      <c r="G44" s="1831">
        <f>G41</f>
        <v>9807972</v>
      </c>
    </row>
    <row r="45" spans="1:7" ht="12" customHeight="1" x14ac:dyDescent="0.2">
      <c r="A45" s="988"/>
      <c r="B45" s="162"/>
      <c r="C45" s="162"/>
      <c r="D45" s="1832" t="s">
        <v>1063</v>
      </c>
      <c r="E45" s="1833">
        <f>(E43/E44)</f>
        <v>3.6540670834738866E-2</v>
      </c>
      <c r="F45" s="1832" t="s">
        <v>1063</v>
      </c>
      <c r="G45" s="1833">
        <f>(G43/G44)</f>
        <v>0.16765382282902114</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43"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17" activePane="bottomLeft" state="frozen"/>
      <selection pane="bottomLeft" activeCell="D32" sqref="D32"/>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20" t="s">
        <v>1446</v>
      </c>
      <c r="B1" s="2320"/>
      <c r="C1" s="2320"/>
      <c r="D1" s="2320"/>
      <c r="E1" s="2320"/>
      <c r="F1" s="2320"/>
    </row>
    <row r="2" spans="1:10" x14ac:dyDescent="0.2">
      <c r="A2" s="1912" t="s">
        <v>2048</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21" t="s">
        <v>1627</v>
      </c>
      <c r="B5" s="2322"/>
      <c r="C5" s="2323"/>
      <c r="D5" s="2323"/>
      <c r="E5" s="2323"/>
      <c r="F5" s="2323"/>
    </row>
    <row r="6" spans="1:10" ht="12" customHeight="1" x14ac:dyDescent="0.25">
      <c r="A6" s="1875"/>
      <c r="B6" s="1876"/>
      <c r="C6" s="2324" t="str">
        <f>COVER!A17</f>
        <v>Richmond-Burton CHSD 157</v>
      </c>
      <c r="D6" s="2324"/>
      <c r="E6" s="2324"/>
      <c r="F6" s="1877"/>
    </row>
    <row r="7" spans="1:10" ht="11.25" customHeight="1" thickBot="1" x14ac:dyDescent="0.3">
      <c r="A7" s="1875"/>
      <c r="B7" s="1876"/>
      <c r="C7" s="2325">
        <f>COVER!A13</f>
        <v>44063157016</v>
      </c>
      <c r="D7" s="2325"/>
      <c r="E7" s="2325"/>
      <c r="F7" s="1877"/>
    </row>
    <row r="8" spans="1:10" ht="25.5" customHeight="1" thickBot="1" x14ac:dyDescent="0.25">
      <c r="A8" s="1918" t="s">
        <v>2025</v>
      </c>
      <c r="B8" s="1878"/>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t="s">
        <v>2077</v>
      </c>
      <c r="D11" s="1890" t="s">
        <v>2077</v>
      </c>
      <c r="E11" s="1891"/>
      <c r="F11" s="1892" t="s">
        <v>2093</v>
      </c>
      <c r="H11" s="1903">
        <f>IF(C11="X",5,0)</f>
        <v>5</v>
      </c>
      <c r="I11" s="1903">
        <f>IF(D11="X",5,0)</f>
        <v>5</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c r="D13" s="1890"/>
      <c r="E13" s="1893"/>
      <c r="F13" s="1892"/>
      <c r="H13" s="1903">
        <f t="shared" si="0"/>
        <v>0</v>
      </c>
      <c r="I13" s="1903">
        <f t="shared" si="1"/>
        <v>0</v>
      </c>
      <c r="J13" s="1903">
        <f t="shared" si="2"/>
        <v>0</v>
      </c>
    </row>
    <row r="14" spans="1:10" ht="12" customHeight="1" x14ac:dyDescent="0.2">
      <c r="A14" s="1888" t="s">
        <v>1453</v>
      </c>
      <c r="B14" s="1889"/>
      <c r="C14" s="1890" t="s">
        <v>2077</v>
      </c>
      <c r="D14" s="1890" t="s">
        <v>2077</v>
      </c>
      <c r="E14" s="1893"/>
      <c r="F14" s="1892" t="s">
        <v>2094</v>
      </c>
      <c r="H14" s="1903">
        <f t="shared" si="0"/>
        <v>5</v>
      </c>
      <c r="I14" s="1903">
        <f t="shared" si="1"/>
        <v>5</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c r="D16" s="1890"/>
      <c r="E16" s="1893"/>
      <c r="F16" s="1892"/>
      <c r="H16" s="1903">
        <f t="shared" si="0"/>
        <v>0</v>
      </c>
      <c r="I16" s="1903">
        <f t="shared" si="1"/>
        <v>0</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t="s">
        <v>2077</v>
      </c>
      <c r="D19" s="1890" t="s">
        <v>2077</v>
      </c>
      <c r="E19" s="1893"/>
      <c r="F19" s="1892" t="s">
        <v>2095</v>
      </c>
      <c r="H19" s="1903">
        <f t="shared" si="0"/>
        <v>5</v>
      </c>
      <c r="I19" s="1903">
        <f t="shared" si="1"/>
        <v>5</v>
      </c>
      <c r="J19" s="1903">
        <f t="shared" si="2"/>
        <v>0</v>
      </c>
    </row>
    <row r="20" spans="1:12" ht="12" customHeight="1" x14ac:dyDescent="0.2">
      <c r="A20" s="1888" t="s">
        <v>1609</v>
      </c>
      <c r="B20" s="1889"/>
      <c r="C20" s="1890" t="s">
        <v>2077</v>
      </c>
      <c r="D20" s="1890" t="s">
        <v>2077</v>
      </c>
      <c r="E20" s="1893"/>
      <c r="F20" s="1892" t="s">
        <v>2096</v>
      </c>
      <c r="H20" s="1903">
        <f t="shared" si="0"/>
        <v>5</v>
      </c>
      <c r="I20" s="1903">
        <f t="shared" si="1"/>
        <v>5</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t="s">
        <v>2077</v>
      </c>
      <c r="D25" s="1890" t="s">
        <v>2077</v>
      </c>
      <c r="E25" s="1893"/>
      <c r="F25" s="1892" t="str">
        <f>F11</f>
        <v>Nippersink School District #2</v>
      </c>
      <c r="H25" s="1903">
        <f t="shared" si="0"/>
        <v>5</v>
      </c>
      <c r="I25" s="1903">
        <f t="shared" si="1"/>
        <v>5</v>
      </c>
      <c r="J25" s="1903">
        <f t="shared" si="2"/>
        <v>0</v>
      </c>
    </row>
    <row r="26" spans="1:12" ht="12" customHeight="1" x14ac:dyDescent="0.2">
      <c r="A26" s="1888" t="s">
        <v>1615</v>
      </c>
      <c r="B26" s="1889"/>
      <c r="C26" s="1890" t="s">
        <v>2077</v>
      </c>
      <c r="D26" s="1890" t="s">
        <v>2077</v>
      </c>
      <c r="E26" s="1893"/>
      <c r="F26" s="1892" t="s">
        <v>2097</v>
      </c>
      <c r="H26" s="1903">
        <f t="shared" si="0"/>
        <v>5</v>
      </c>
      <c r="I26" s="1903">
        <f t="shared" si="1"/>
        <v>5</v>
      </c>
      <c r="J26" s="1903">
        <f t="shared" si="2"/>
        <v>0</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c r="D28" s="1890"/>
      <c r="E28" s="1893"/>
      <c r="F28" s="1892"/>
      <c r="H28" s="1903">
        <f t="shared" si="0"/>
        <v>0</v>
      </c>
      <c r="I28" s="1903">
        <f t="shared" si="1"/>
        <v>0</v>
      </c>
      <c r="J28" s="1903">
        <f t="shared" si="2"/>
        <v>0</v>
      </c>
    </row>
    <row r="29" spans="1:12" ht="12" customHeight="1" x14ac:dyDescent="0.2">
      <c r="A29" s="1888" t="s">
        <v>1618</v>
      </c>
      <c r="B29" s="1889"/>
      <c r="C29" s="1890" t="s">
        <v>2077</v>
      </c>
      <c r="D29" s="1890" t="s">
        <v>2077</v>
      </c>
      <c r="E29" s="1893"/>
      <c r="F29" s="1892" t="s">
        <v>2098</v>
      </c>
      <c r="H29" s="1903">
        <f t="shared" si="0"/>
        <v>5</v>
      </c>
      <c r="I29" s="1903">
        <f t="shared" si="1"/>
        <v>5</v>
      </c>
      <c r="J29" s="1903">
        <f t="shared" si="2"/>
        <v>0</v>
      </c>
    </row>
    <row r="30" spans="1:12" ht="12" customHeight="1" x14ac:dyDescent="0.2">
      <c r="A30" s="1888" t="s">
        <v>1619</v>
      </c>
      <c r="B30" s="1889"/>
      <c r="C30" s="1890" t="s">
        <v>2077</v>
      </c>
      <c r="D30" s="1890" t="s">
        <v>2077</v>
      </c>
      <c r="E30" s="1893"/>
      <c r="F30" s="1892" t="str">
        <f>F11</f>
        <v>Nippersink School District #2</v>
      </c>
      <c r="H30" s="1903">
        <f t="shared" si="0"/>
        <v>5</v>
      </c>
      <c r="I30" s="1903">
        <f t="shared" si="1"/>
        <v>5</v>
      </c>
      <c r="J30" s="1903">
        <f t="shared" si="2"/>
        <v>0</v>
      </c>
    </row>
    <row r="31" spans="1:12" ht="12" customHeight="1" x14ac:dyDescent="0.2">
      <c r="A31" s="1888" t="s">
        <v>1620</v>
      </c>
      <c r="B31" s="1889"/>
      <c r="C31" s="1890" t="s">
        <v>2077</v>
      </c>
      <c r="D31" s="1890" t="s">
        <v>2077</v>
      </c>
      <c r="E31" s="1893"/>
      <c r="F31" s="1892" t="s">
        <v>2099</v>
      </c>
      <c r="H31" s="1903">
        <f t="shared" si="0"/>
        <v>5</v>
      </c>
      <c r="I31" s="1903">
        <f t="shared" si="1"/>
        <v>5</v>
      </c>
      <c r="J31" s="1903">
        <f t="shared" si="2"/>
        <v>0</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45</v>
      </c>
      <c r="I34" s="1903">
        <f>SUM(I11:I32)</f>
        <v>45</v>
      </c>
      <c r="J34" s="1903">
        <f>SUM(J11:J32)</f>
        <v>0</v>
      </c>
      <c r="K34" s="1903">
        <f>SUM(H34:J34)</f>
        <v>90</v>
      </c>
    </row>
    <row r="35" spans="1:11" ht="12" customHeight="1" x14ac:dyDescent="0.2">
      <c r="A35" s="1896" t="s">
        <v>1459</v>
      </c>
      <c r="B35" s="1897"/>
      <c r="C35" s="2326"/>
      <c r="D35" s="2326"/>
      <c r="E35" s="2326"/>
      <c r="F35" s="2327"/>
    </row>
    <row r="36" spans="1:11" ht="12" customHeight="1" x14ac:dyDescent="0.2">
      <c r="A36" s="2309"/>
      <c r="B36" s="2310"/>
      <c r="C36" s="2310"/>
      <c r="D36" s="2310"/>
      <c r="E36" s="2310"/>
      <c r="F36" s="2311"/>
    </row>
    <row r="37" spans="1:11" ht="12" customHeight="1" x14ac:dyDescent="0.2">
      <c r="A37" s="2309"/>
      <c r="B37" s="2310"/>
      <c r="C37" s="2310"/>
      <c r="D37" s="2310"/>
      <c r="E37" s="2310"/>
      <c r="F37" s="2311"/>
    </row>
    <row r="38" spans="1:11" ht="12" customHeight="1" x14ac:dyDescent="0.2">
      <c r="A38" s="2312"/>
      <c r="B38" s="2313"/>
      <c r="C38" s="2313"/>
      <c r="D38" s="2313"/>
      <c r="E38" s="2313"/>
      <c r="F38" s="2314"/>
    </row>
    <row r="39" spans="1:11" ht="4.5" hidden="1" customHeight="1" x14ac:dyDescent="0.2">
      <c r="A39" s="1898"/>
      <c r="B39" s="1898"/>
      <c r="C39" s="1898"/>
      <c r="D39" s="1898"/>
      <c r="E39" s="1898"/>
      <c r="F39" s="1898"/>
    </row>
    <row r="40" spans="1:11" s="1895" customFormat="1" ht="12" customHeight="1" x14ac:dyDescent="0.25">
      <c r="A40" s="1899" t="s">
        <v>1458</v>
      </c>
      <c r="B40" s="1900"/>
      <c r="C40" s="2315"/>
      <c r="D40" s="2315"/>
      <c r="E40" s="2315"/>
      <c r="F40" s="2316"/>
      <c r="H40" s="1904"/>
      <c r="I40" s="1904"/>
      <c r="J40" s="1904"/>
      <c r="K40" s="1904"/>
    </row>
    <row r="41" spans="1:11" s="1895" customFormat="1" ht="12" customHeight="1" x14ac:dyDescent="0.25">
      <c r="A41" s="2317" t="s">
        <v>2100</v>
      </c>
      <c r="B41" s="2318"/>
      <c r="C41" s="2318"/>
      <c r="D41" s="2318"/>
      <c r="E41" s="2318"/>
      <c r="F41" s="2319"/>
      <c r="H41" s="1904"/>
      <c r="I41" s="1904"/>
      <c r="J41" s="1904"/>
      <c r="K41" s="1904"/>
    </row>
    <row r="42" spans="1:11" s="1895" customFormat="1" ht="12" customHeight="1" x14ac:dyDescent="0.25">
      <c r="A42" s="2317"/>
      <c r="B42" s="2318"/>
      <c r="C42" s="2318"/>
      <c r="D42" s="2318"/>
      <c r="E42" s="2318"/>
      <c r="F42" s="2319"/>
      <c r="H42" s="1904"/>
      <c r="I42" s="1904"/>
      <c r="J42" s="1904"/>
      <c r="K42" s="1904"/>
    </row>
    <row r="43" spans="1:11" s="1895" customFormat="1" ht="15" x14ac:dyDescent="0.25">
      <c r="A43" s="2306"/>
      <c r="B43" s="2307"/>
      <c r="C43" s="2307"/>
      <c r="D43" s="2307"/>
      <c r="E43" s="2307"/>
      <c r="F43" s="2308"/>
      <c r="H43" s="1904"/>
      <c r="I43" s="1904"/>
      <c r="J43" s="1904"/>
      <c r="K43" s="1904"/>
    </row>
    <row r="44" spans="1:11" s="1895" customFormat="1" ht="12" hidden="1" customHeight="1" x14ac:dyDescent="0.25">
      <c r="A44" s="2306"/>
      <c r="B44" s="2307"/>
      <c r="C44" s="2307"/>
      <c r="D44" s="2307"/>
      <c r="E44" s="2307"/>
      <c r="F44" s="2308"/>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4"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25" colorId="8" zoomScale="110" zoomScaleNormal="110" workbookViewId="0">
      <selection activeCell="B38" sqref="B38"/>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3" t="str">
        <f>COVER!A17</f>
        <v>Richmond-Burton CHSD 157</v>
      </c>
      <c r="J6" s="2334"/>
      <c r="Q6" s="1686"/>
    </row>
    <row r="7" spans="1:17" x14ac:dyDescent="0.2">
      <c r="A7" s="2335" t="s">
        <v>924</v>
      </c>
      <c r="B7" s="2336"/>
      <c r="C7" s="2336"/>
      <c r="D7" s="2336"/>
      <c r="E7" s="2337"/>
      <c r="F7" s="1018"/>
      <c r="G7" s="1010"/>
      <c r="H7" s="1017" t="s">
        <v>390</v>
      </c>
      <c r="I7" s="2338">
        <f>COVER!A13</f>
        <v>44063157016</v>
      </c>
      <c r="J7" s="2338"/>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39" t="s">
        <v>502</v>
      </c>
      <c r="B11" s="2340"/>
      <c r="C11" s="2341"/>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124354</v>
      </c>
      <c r="F12" s="1040"/>
      <c r="G12" s="1834">
        <f t="shared" ref="G12:G18" si="0">SUM(E12:F12)</f>
        <v>124354</v>
      </c>
      <c r="H12" s="1041">
        <v>130500</v>
      </c>
      <c r="I12" s="1040"/>
      <c r="J12" s="1834">
        <f t="shared" ref="J12:J18" si="1">SUM(H12:I12)</f>
        <v>130500</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42774</v>
      </c>
      <c r="F15" s="1834">
        <f>'Expenditures 15-22'!K122</f>
        <v>0</v>
      </c>
      <c r="G15" s="1834">
        <f t="shared" si="0"/>
        <v>42774</v>
      </c>
      <c r="H15" s="1041">
        <v>112000</v>
      </c>
      <c r="I15" s="1041"/>
      <c r="J15" s="1834">
        <f t="shared" si="1"/>
        <v>112000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2" t="s">
        <v>7</v>
      </c>
      <c r="C18" s="2343"/>
      <c r="D18" s="2344"/>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167128</v>
      </c>
      <c r="F19" s="1836">
        <f t="shared" si="2"/>
        <v>0</v>
      </c>
      <c r="G19" s="1836">
        <f t="shared" si="2"/>
        <v>167128</v>
      </c>
      <c r="H19" s="1836">
        <f t="shared" si="2"/>
        <v>242500</v>
      </c>
      <c r="I19" s="1836">
        <f t="shared" si="2"/>
        <v>0</v>
      </c>
      <c r="J19" s="1836">
        <f t="shared" si="2"/>
        <v>242500</v>
      </c>
    </row>
    <row r="20" spans="1:10" ht="13.5" thickTop="1" x14ac:dyDescent="0.2">
      <c r="A20" s="1036">
        <v>9</v>
      </c>
      <c r="B20" s="2345" t="s">
        <v>1703</v>
      </c>
      <c r="C20" s="2345"/>
      <c r="D20" s="2346"/>
      <c r="E20" s="1047"/>
      <c r="F20" s="1047"/>
      <c r="G20" s="1047"/>
      <c r="H20" s="1047"/>
      <c r="I20" s="1047"/>
      <c r="J20" s="1837">
        <f>IF(AND(G19&gt;0,J19&gt;0),(((J19-G19)/G19)),"Enter Budget Data")</f>
        <v>0.45098367718156146</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1"/>
      <c r="D26" s="2351"/>
      <c r="E26" s="1051"/>
      <c r="F26" s="2350"/>
      <c r="G26" s="2350"/>
    </row>
    <row r="27" spans="1:10" x14ac:dyDescent="0.2">
      <c r="B27" s="1048"/>
      <c r="C27" s="1052" t="s">
        <v>1093</v>
      </c>
      <c r="D27" s="1053"/>
      <c r="E27" s="1054"/>
      <c r="F27" s="2347" t="s">
        <v>1589</v>
      </c>
      <c r="G27" s="2347"/>
    </row>
    <row r="28" spans="1:10" ht="28.5" customHeight="1" x14ac:dyDescent="0.2">
      <c r="B28" s="1048"/>
      <c r="C28" s="2349"/>
      <c r="D28" s="2349"/>
      <c r="E28" s="1055"/>
      <c r="F28" s="2349"/>
      <c r="G28" s="2349"/>
    </row>
    <row r="29" spans="1:10" x14ac:dyDescent="0.2">
      <c r="B29" s="1048"/>
      <c r="C29" s="1056" t="s">
        <v>1642</v>
      </c>
      <c r="E29" s="1057"/>
      <c r="F29" s="2348" t="s">
        <v>1590</v>
      </c>
      <c r="G29" s="2348"/>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0" t="s">
        <v>134</v>
      </c>
      <c r="D33" s="2331"/>
      <c r="E33" s="2331"/>
      <c r="F33" s="2331"/>
      <c r="G33" s="2331"/>
      <c r="H33" s="2331"/>
      <c r="I33" s="2331"/>
    </row>
    <row r="34" spans="1:10" ht="10.35" customHeight="1" x14ac:dyDescent="0.2">
      <c r="C34" s="2331"/>
      <c r="D34" s="2331"/>
      <c r="E34" s="2331"/>
      <c r="F34" s="2331"/>
      <c r="G34" s="2331"/>
      <c r="H34" s="2331"/>
      <c r="I34" s="2331"/>
    </row>
    <row r="35" spans="1:10" ht="7.5" customHeight="1" x14ac:dyDescent="0.2">
      <c r="C35" s="1063"/>
    </row>
    <row r="36" spans="1:10" ht="13.5" customHeight="1" x14ac:dyDescent="0.2">
      <c r="B36" s="1062"/>
      <c r="C36" s="2332" t="s">
        <v>1944</v>
      </c>
      <c r="D36" s="2331"/>
      <c r="E36" s="2331"/>
      <c r="F36" s="2331"/>
      <c r="G36" s="2331"/>
      <c r="H36" s="2331"/>
      <c r="I36" s="2331"/>
      <c r="J36" s="1064"/>
    </row>
    <row r="37" spans="1:10" ht="22.5" customHeight="1" x14ac:dyDescent="0.2">
      <c r="C37" s="2331"/>
      <c r="D37" s="2331"/>
      <c r="E37" s="2331"/>
      <c r="F37" s="2331"/>
      <c r="G37" s="2331"/>
      <c r="H37" s="2331"/>
      <c r="I37" s="2331"/>
      <c r="J37" s="1064"/>
    </row>
    <row r="38" spans="1:10" ht="7.5" customHeight="1" x14ac:dyDescent="0.2">
      <c r="C38" s="1063"/>
      <c r="D38" s="1065"/>
      <c r="E38" s="1066"/>
      <c r="F38" s="1067"/>
      <c r="G38" s="1066"/>
    </row>
    <row r="39" spans="1:10" ht="13.5" customHeight="1" x14ac:dyDescent="0.2">
      <c r="B39" s="1062" t="s">
        <v>2077</v>
      </c>
      <c r="C39" s="2328" t="s">
        <v>937</v>
      </c>
      <c r="D39" s="2329"/>
      <c r="E39" s="2329"/>
      <c r="F39" s="2329"/>
      <c r="G39" s="2329"/>
      <c r="H39" s="2329"/>
      <c r="I39" s="2329"/>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49"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C56"/>
  <sheetViews>
    <sheetView showGridLines="0" zoomScale="110" zoomScaleNormal="110" workbookViewId="0">
      <selection activeCell="B25" sqref="B25"/>
    </sheetView>
  </sheetViews>
  <sheetFormatPr defaultColWidth="9.140625" defaultRowHeight="12.75" x14ac:dyDescent="0.2"/>
  <cols>
    <col min="1" max="1" width="3" style="329" customWidth="1"/>
    <col min="2" max="2" width="70.85546875" style="329" customWidth="1"/>
    <col min="3" max="3" width="3.140625" style="329" customWidth="1"/>
    <col min="4" max="10" width="9.140625" style="329"/>
    <col min="11" max="11" width="20.85546875" style="329" customWidth="1"/>
    <col min="12" max="16384" width="9.140625" style="329"/>
  </cols>
  <sheetData>
    <row r="2" spans="1:3" x14ac:dyDescent="0.2">
      <c r="A2" s="389" t="s">
        <v>276</v>
      </c>
    </row>
    <row r="3" spans="1:3" x14ac:dyDescent="0.2">
      <c r="A3" s="329" t="s">
        <v>277</v>
      </c>
    </row>
    <row r="5" spans="1:3" x14ac:dyDescent="0.2">
      <c r="A5" s="1069">
        <v>1</v>
      </c>
      <c r="B5" s="329" t="s">
        <v>2101</v>
      </c>
      <c r="C5" s="329" t="s">
        <v>2102</v>
      </c>
    </row>
    <row r="6" spans="1:3" x14ac:dyDescent="0.2">
      <c r="A6" s="1069">
        <v>2</v>
      </c>
      <c r="B6" s="329" t="s">
        <v>2110</v>
      </c>
      <c r="C6" s="329" t="s">
        <v>2105</v>
      </c>
    </row>
    <row r="7" spans="1:3" x14ac:dyDescent="0.2">
      <c r="A7" s="1069">
        <v>3</v>
      </c>
      <c r="B7" s="329" t="s">
        <v>2109</v>
      </c>
      <c r="C7" s="329" t="s">
        <v>2103</v>
      </c>
    </row>
    <row r="8" spans="1:3" x14ac:dyDescent="0.2">
      <c r="A8" s="1069">
        <v>4</v>
      </c>
      <c r="B8" s="329" t="s">
        <v>2106</v>
      </c>
      <c r="C8" s="329" t="s">
        <v>2104</v>
      </c>
    </row>
    <row r="9" spans="1:3" x14ac:dyDescent="0.2">
      <c r="A9" s="1069"/>
    </row>
    <row r="10" spans="1:3" x14ac:dyDescent="0.2">
      <c r="A10" s="1070">
        <v>5</v>
      </c>
      <c r="B10" s="329" t="s">
        <v>2108</v>
      </c>
    </row>
    <row r="11" spans="1:3" x14ac:dyDescent="0.2">
      <c r="A11" s="1070"/>
    </row>
    <row r="12" spans="1:3" x14ac:dyDescent="0.2">
      <c r="A12" s="1070"/>
    </row>
    <row r="13" spans="1:3" x14ac:dyDescent="0.2">
      <c r="A13" s="1070"/>
    </row>
    <row r="14" spans="1:3" x14ac:dyDescent="0.2">
      <c r="A14" s="1070"/>
    </row>
    <row r="15" spans="1:3" x14ac:dyDescent="0.2">
      <c r="A15" s="1070"/>
    </row>
    <row r="16" spans="1:3"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c r="B55" s="258" t="str">
        <f>COVER!A17</f>
        <v>Richmond-Burton CHSD 157</v>
      </c>
    </row>
    <row r="56" spans="1:2" x14ac:dyDescent="0.2">
      <c r="B56" s="1071">
        <f>COVER!A13</f>
        <v>44063157016</v>
      </c>
    </row>
  </sheetData>
  <phoneticPr fontId="14" type="noConversion"/>
  <pageMargins left="0.39" right="0.2" top="0.56999999999999995" bottom="0.25" header="0.19" footer="0.16"/>
  <pageSetup scale="80" firstPageNumber="32" orientation="landscape"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topLeftCell="A4"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57999999999999996"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13" sqref="B13"/>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2" t="s">
        <v>1784</v>
      </c>
      <c r="B18" s="2352"/>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4</xdr:row>
                <xdr:rowOff>0</xdr:rowOff>
              </from>
              <to>
                <xdr:col>1</xdr:col>
                <xdr:colOff>914400</xdr:colOff>
                <xdr:row>8</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3" t="s">
        <v>1790</v>
      </c>
      <c r="B1" s="2354"/>
      <c r="C1" s="2354"/>
      <c r="D1" s="2354"/>
      <c r="E1" s="2354"/>
      <c r="F1" s="2355"/>
    </row>
    <row r="2" spans="1:8" ht="45" customHeight="1" x14ac:dyDescent="0.2">
      <c r="A2" s="2363" t="s">
        <v>1791</v>
      </c>
      <c r="B2" s="2364"/>
      <c r="C2" s="2364"/>
      <c r="D2" s="2364"/>
      <c r="E2" s="2364"/>
      <c r="F2" s="2365"/>
      <c r="G2" s="1075"/>
      <c r="H2" s="1075"/>
    </row>
    <row r="3" spans="1:8" ht="57" customHeight="1" x14ac:dyDescent="0.2">
      <c r="A3" s="2366" t="s">
        <v>1786</v>
      </c>
      <c r="B3" s="2367"/>
      <c r="C3" s="2367"/>
      <c r="D3" s="2367"/>
      <c r="E3" s="2367"/>
      <c r="F3" s="2368"/>
      <c r="G3" s="1075"/>
      <c r="H3" s="1075"/>
    </row>
    <row r="4" spans="1:8" ht="14.25" customHeight="1" x14ac:dyDescent="0.2">
      <c r="A4" s="2372" t="s">
        <v>2056</v>
      </c>
      <c r="B4" s="2373"/>
      <c r="C4" s="2373"/>
      <c r="D4" s="2373"/>
      <c r="E4" s="2373"/>
      <c r="F4" s="2374"/>
      <c r="G4" s="1075"/>
      <c r="H4" s="1075"/>
    </row>
    <row r="5" spans="1:8" ht="14.25" customHeight="1" x14ac:dyDescent="0.2">
      <c r="A5" s="2375" t="s">
        <v>2057</v>
      </c>
      <c r="B5" s="2376"/>
      <c r="C5" s="2376"/>
      <c r="D5" s="2376"/>
      <c r="E5" s="2376"/>
      <c r="F5" s="2377"/>
      <c r="G5" s="1075"/>
      <c r="H5" s="1075"/>
    </row>
    <row r="6" spans="1:8" s="1076" customFormat="1" ht="41.25" customHeight="1" x14ac:dyDescent="0.2">
      <c r="A6" s="2369" t="s">
        <v>1792</v>
      </c>
      <c r="B6" s="2370"/>
      <c r="C6" s="2370"/>
      <c r="D6" s="2370"/>
      <c r="E6" s="2370"/>
      <c r="F6" s="2371"/>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10398291</v>
      </c>
      <c r="C8" s="1838">
        <f>'Acct Summary 7-8'!D8</f>
        <v>1595883</v>
      </c>
      <c r="D8" s="1838">
        <f>'Acct Summary 7-8'!F8</f>
        <v>1742087</v>
      </c>
      <c r="E8" s="1838">
        <f>'Acct Summary 7-8'!I8</f>
        <v>166172</v>
      </c>
      <c r="F8" s="1838">
        <f>SUM(B8:E8)</f>
        <v>13902433</v>
      </c>
    </row>
    <row r="9" spans="1:8" s="1080" customFormat="1" ht="14.25" customHeight="1" thickBot="1" x14ac:dyDescent="0.25">
      <c r="A9" s="1079" t="s">
        <v>1436</v>
      </c>
      <c r="B9" s="1839">
        <f>'Acct Summary 7-8'!C17</f>
        <v>8437377</v>
      </c>
      <c r="C9" s="1839">
        <f>'Acct Summary 7-8'!D17</f>
        <v>1228574</v>
      </c>
      <c r="D9" s="1839">
        <f>'Acct Summary 7-8'!F17</f>
        <v>1786053</v>
      </c>
      <c r="E9" s="1838"/>
      <c r="F9" s="1838">
        <f>SUM(B9:E9)</f>
        <v>11452004</v>
      </c>
    </row>
    <row r="10" spans="1:8" s="1080" customFormat="1" ht="14.25" thickTop="1" thickBot="1" x14ac:dyDescent="0.25">
      <c r="A10" s="1081" t="s">
        <v>1437</v>
      </c>
      <c r="B10" s="1840">
        <f>(B8-B9)</f>
        <v>1960914</v>
      </c>
      <c r="C10" s="1840">
        <f>(C8-C9)</f>
        <v>367309</v>
      </c>
      <c r="D10" s="1840">
        <f>(D8-D9)</f>
        <v>-43966</v>
      </c>
      <c r="E10" s="1839">
        <f>(E8-E9)</f>
        <v>166172</v>
      </c>
      <c r="F10" s="1841">
        <f>SUM(F8-F9)</f>
        <v>2450429</v>
      </c>
    </row>
    <row r="11" spans="1:8" s="1080" customFormat="1" ht="14.25" thickTop="1" thickBot="1" x14ac:dyDescent="0.25">
      <c r="A11" s="1082" t="s">
        <v>1785</v>
      </c>
      <c r="B11" s="1842">
        <f>'Acct Summary 7-8'!C81</f>
        <v>13645910</v>
      </c>
      <c r="C11" s="1842">
        <f>'Acct Summary 7-8'!D81</f>
        <v>1541678</v>
      </c>
      <c r="D11" s="1842">
        <f>'Acct Summary 7-8'!F81</f>
        <v>803447</v>
      </c>
      <c r="E11" s="1842">
        <f>'Acct Summary 7-8'!I81</f>
        <v>1060599</v>
      </c>
      <c r="F11" s="1843">
        <f>SUM(B11:E11)</f>
        <v>17051634</v>
      </c>
    </row>
    <row r="12" spans="1:8" ht="16.5" customHeight="1" thickTop="1" x14ac:dyDescent="0.2">
      <c r="A12" s="1083"/>
      <c r="B12" s="1084"/>
      <c r="C12" s="2357" t="str">
        <f>IF(AND(F10&lt;0,F11&gt;=0,ABS(F10*3)&gt;ABS(F11)),A16,IF(AND(F10&lt;0,F11&gt;0,ABS(F10*3)&lt;=ABS(F11)),A17,IF(AND(F10&lt;0,F11&lt;0),A16,IF(F11=0,A19,A18))))</f>
        <v>Balanced - no deficit reduction plan is required.</v>
      </c>
      <c r="D12" s="2358"/>
      <c r="E12" s="2358"/>
      <c r="F12" s="2359"/>
    </row>
    <row r="13" spans="1:8" ht="19.5" customHeight="1" x14ac:dyDescent="0.2">
      <c r="A13" s="1085"/>
      <c r="B13" s="1086"/>
      <c r="C13" s="2357"/>
      <c r="D13" s="2358"/>
      <c r="E13" s="2358"/>
      <c r="F13" s="2359"/>
      <c r="H13" s="1075"/>
    </row>
    <row r="14" spans="1:8" ht="19.5" customHeight="1" x14ac:dyDescent="0.2">
      <c r="A14" s="1085"/>
      <c r="B14" s="1086"/>
      <c r="C14" s="2357"/>
      <c r="D14" s="2358"/>
      <c r="E14" s="2358"/>
      <c r="F14" s="2359"/>
      <c r="H14" s="1075"/>
    </row>
    <row r="15" spans="1:8" ht="17.25" customHeight="1" x14ac:dyDescent="0.2">
      <c r="A15" s="1085"/>
      <c r="B15" s="1086"/>
      <c r="C15" s="2360"/>
      <c r="D15" s="2361"/>
      <c r="E15" s="2361"/>
      <c r="F15" s="2362"/>
      <c r="H15" s="1075"/>
    </row>
    <row r="16" spans="1:8" s="310" customFormat="1" ht="51.75" hidden="1" customHeight="1" x14ac:dyDescent="0.2">
      <c r="A16" s="2356" t="s">
        <v>1787</v>
      </c>
      <c r="B16" s="2356"/>
      <c r="C16" s="2356"/>
      <c r="D16" s="2356"/>
      <c r="E16" s="2356"/>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38" colorId="8" zoomScale="110" zoomScaleNormal="110" workbookViewId="0">
      <selection activeCell="D49" sqref="D49"/>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78" t="s">
        <v>686</v>
      </c>
      <c r="B3" s="2379"/>
      <c r="C3" s="2379"/>
      <c r="D3" s="2380"/>
    </row>
    <row r="4" spans="1:4" x14ac:dyDescent="0.2">
      <c r="A4" s="1153" t="s">
        <v>1793</v>
      </c>
      <c r="B4" s="1154"/>
      <c r="C4" s="1155"/>
      <c r="D4" s="1156"/>
    </row>
    <row r="5" spans="1:4" ht="21" customHeight="1" x14ac:dyDescent="0.2">
      <c r="A5" s="1149"/>
      <c r="B5" s="1150">
        <v>1</v>
      </c>
      <c r="C5" s="1151" t="s">
        <v>1946</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89" t="s">
        <v>1584</v>
      </c>
      <c r="D7" s="2390"/>
    </row>
    <row r="8" spans="1:4" s="669" customFormat="1" ht="12.75" x14ac:dyDescent="0.2">
      <c r="A8" s="1139"/>
      <c r="B8" s="1094"/>
      <c r="C8" s="1097" t="s">
        <v>1583</v>
      </c>
      <c r="D8" s="1098"/>
    </row>
    <row r="9" spans="1:4" s="669" customFormat="1" ht="14.25" customHeight="1" x14ac:dyDescent="0.2">
      <c r="A9" s="1139"/>
      <c r="B9" s="1094">
        <f>B7+1</f>
        <v>4</v>
      </c>
      <c r="C9" s="1095" t="s">
        <v>2049</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1" t="s">
        <v>1065</v>
      </c>
      <c r="B15" s="2382"/>
      <c r="C15" s="2382"/>
      <c r="D15" s="2383"/>
    </row>
    <row r="16" spans="1:4" s="669" customFormat="1" ht="24" customHeight="1" x14ac:dyDescent="0.2">
      <c r="A16" s="2384" t="s">
        <v>684</v>
      </c>
      <c r="B16" s="2385"/>
      <c r="C16" s="2385"/>
      <c r="D16" s="2386"/>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3" t="s">
        <v>332</v>
      </c>
      <c r="D21" s="2394"/>
    </row>
    <row r="22" spans="1:10" ht="12.75" x14ac:dyDescent="0.2">
      <c r="A22" s="1140"/>
      <c r="B22" s="1141">
        <v>2</v>
      </c>
      <c r="C22" s="2391" t="s">
        <v>1605</v>
      </c>
      <c r="D22" s="2392"/>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str">
        <f>IF('Aud Quest 2'!B53="X",IF('Aud Quest 2'!F53&gt;"00/00/00 ","Enter Effective Date","ok"))</f>
        <v>ok</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5" t="s">
        <v>557</v>
      </c>
      <c r="D43" s="2396"/>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7" t="s">
        <v>817</v>
      </c>
      <c r="D56" s="2388"/>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2050</v>
      </c>
      <c r="D66" s="1126"/>
    </row>
    <row r="67" spans="1:4" x14ac:dyDescent="0.2">
      <c r="A67" s="1120"/>
      <c r="B67" s="1141"/>
      <c r="C67" s="1148" t="s">
        <v>1079</v>
      </c>
      <c r="D67" s="1126"/>
    </row>
    <row r="68" spans="1:4" x14ac:dyDescent="0.2">
      <c r="A68" s="1101"/>
      <c r="B68" s="1111"/>
      <c r="C68" s="1103" t="s">
        <v>2051</v>
      </c>
      <c r="D68" s="1125" t="str">
        <f>IF('Short-Term Long-Term Debt 24'!F49=SUM(,'Acct Summary 7-8'!C33:K33),"OK","ERROR!")</f>
        <v>OK</v>
      </c>
    </row>
    <row r="69" spans="1:4" x14ac:dyDescent="0.2">
      <c r="A69" s="1101"/>
      <c r="B69" s="1111"/>
      <c r="C69" s="1103" t="s">
        <v>2052</v>
      </c>
      <c r="D69" s="1125" t="str">
        <f>IF('Expenditures 15-22'!H170&lt;&gt;'Short-Term Long-Term Debt 24'!H49,"ERROR!","OK")</f>
        <v>OK</v>
      </c>
    </row>
    <row r="70" spans="1:4" x14ac:dyDescent="0.2">
      <c r="A70" s="1099"/>
      <c r="B70" s="1121">
        <f>B66+1</f>
        <v>9</v>
      </c>
      <c r="C70" s="2387" t="s">
        <v>1797</v>
      </c>
      <c r="D70" s="2388"/>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2053</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2054</v>
      </c>
      <c r="D78" s="1125" t="str">
        <f>IF(ISNUMBER('Acct Summary 7-8'!C9),"OK","ENTRY IS REQUIRED!")</f>
        <v>OK</v>
      </c>
    </row>
    <row r="79" spans="1:4" x14ac:dyDescent="0.2">
      <c r="A79" s="1120"/>
      <c r="B79" s="1121">
        <f>B74+1+1</f>
        <v>12</v>
      </c>
      <c r="C79" s="1131" t="s">
        <v>2019</v>
      </c>
      <c r="D79" s="1132" t="str">
        <f>IF(OR(COVER!$B$6="X",'PCTC-OEPP 27-28'!F78&gt;0),"OK","PLEASE ENTER 9 MO ADA.")</f>
        <v>OK</v>
      </c>
    </row>
    <row r="80" spans="1:4" x14ac:dyDescent="0.2">
      <c r="A80" s="1099"/>
      <c r="B80" s="1121">
        <v>13</v>
      </c>
      <c r="C80" s="1131" t="s">
        <v>2055</v>
      </c>
      <c r="D80" s="1132" t="str">
        <f>IF('Contracts Paid in CY 29'!D141&gt;0,"OK","PLEASE ENTER CONTRACTS PAID IN CURRENT YEAR.")</f>
        <v>PLEASE ENTER CONTRACTS PAID IN CURRENT YEAR.</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44063157016</v>
      </c>
    </row>
    <row r="3" spans="1:2" x14ac:dyDescent="0.2">
      <c r="A3" t="s">
        <v>1013</v>
      </c>
      <c r="B3" s="138" t="str">
        <f>COVER!A15</f>
        <v>MCHENRY</v>
      </c>
    </row>
    <row r="4" spans="1:2" x14ac:dyDescent="0.2">
      <c r="A4" t="s">
        <v>1064</v>
      </c>
      <c r="B4" s="138" t="str">
        <f>COVER!A17</f>
        <v>Richmond-Burton CHSD 157</v>
      </c>
    </row>
    <row r="5" spans="1:2" x14ac:dyDescent="0.2">
      <c r="A5" t="s">
        <v>728</v>
      </c>
      <c r="B5" s="138">
        <f>COVER!A38</f>
        <v>0</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066-005142</v>
      </c>
    </row>
    <row r="16" spans="1:2" x14ac:dyDescent="0.2">
      <c r="A16" t="s">
        <v>442</v>
      </c>
      <c r="B16" s="138" t="str">
        <f>COVER!T13</f>
        <v>EDER, CASELLA &amp; CO.</v>
      </c>
    </row>
    <row r="17" spans="1:2" x14ac:dyDescent="0.2">
      <c r="A17" t="s">
        <v>939</v>
      </c>
      <c r="B17" s="138" t="str">
        <f>COVER!T15</f>
        <v>KEVIN SMITH</v>
      </c>
    </row>
    <row r="18" spans="1:2" x14ac:dyDescent="0.2">
      <c r="A18" t="s">
        <v>1212</v>
      </c>
      <c r="B18" s="138" t="str">
        <f>COVER!T17</f>
        <v>5400 WEST ELM STREET</v>
      </c>
    </row>
    <row r="19" spans="1:2" x14ac:dyDescent="0.2">
      <c r="A19" t="s">
        <v>941</v>
      </c>
      <c r="B19" s="138" t="str">
        <f>COVER!T25</f>
        <v>CPAS@EDERCASELLA.COM</v>
      </c>
    </row>
    <row r="20" spans="1:2" x14ac:dyDescent="0.2">
      <c r="A20" t="s">
        <v>942</v>
      </c>
      <c r="B20" s="138" t="str">
        <f>COVER!T19</f>
        <v>MCHENRY</v>
      </c>
    </row>
    <row r="21" spans="1:2" x14ac:dyDescent="0.2">
      <c r="A21" t="s">
        <v>500</v>
      </c>
      <c r="B21" s="138" t="str">
        <f>COVER!X19</f>
        <v>IL</v>
      </c>
    </row>
    <row r="22" spans="1:2" x14ac:dyDescent="0.2">
      <c r="A22" t="s">
        <v>943</v>
      </c>
      <c r="B22" s="138">
        <f>COVER!Z19</f>
        <v>60050</v>
      </c>
    </row>
    <row r="23" spans="1:2" x14ac:dyDescent="0.2">
      <c r="A23" t="s">
        <v>1214</v>
      </c>
      <c r="B23" s="138" t="str">
        <f>COVER!T21</f>
        <v>815-344-1300</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33239</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2798131</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13645910</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13645910</v>
      </c>
      <c r="D92" s="2" t="str">
        <f t="shared" si="0"/>
        <v>Error?</v>
      </c>
    </row>
    <row r="93" spans="1:4" x14ac:dyDescent="0.2">
      <c r="A93" s="5">
        <v>32</v>
      </c>
      <c r="B93" s="138">
        <f>'Assets-Liab 5-6'!C41</f>
        <v>13645910</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316126</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1541678</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1541678</v>
      </c>
      <c r="D123" s="2" t="str">
        <f t="shared" si="0"/>
        <v>Error?</v>
      </c>
    </row>
    <row r="124" spans="1:4" x14ac:dyDescent="0.2">
      <c r="A124" s="5">
        <v>63</v>
      </c>
      <c r="B124" s="138">
        <f>'Assets-Liab 5-6'!D41</f>
        <v>1541678</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12615</v>
      </c>
      <c r="D129" s="2" t="str">
        <f t="shared" si="1"/>
        <v>Error?</v>
      </c>
    </row>
    <row r="130" spans="1:4" x14ac:dyDescent="0.2">
      <c r="A130" s="5">
        <v>69</v>
      </c>
      <c r="B130" s="138">
        <f>'Assets-Liab 5-6'!E12</f>
        <v>0</v>
      </c>
      <c r="D130" s="2" t="str">
        <f t="shared" si="1"/>
        <v>Error?</v>
      </c>
    </row>
    <row r="131" spans="1:4" x14ac:dyDescent="0.2">
      <c r="A131" s="5">
        <v>70</v>
      </c>
      <c r="B131" s="138">
        <f>'Assets-Liab 5-6'!E13</f>
        <v>61522</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61522</v>
      </c>
      <c r="D140" s="2" t="str">
        <f t="shared" si="1"/>
        <v>Error?</v>
      </c>
    </row>
    <row r="141" spans="1:4" x14ac:dyDescent="0.2">
      <c r="A141" s="5">
        <v>80</v>
      </c>
      <c r="B141" s="138">
        <f>'Assets-Liab 5-6'!E41</f>
        <v>61522</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164749</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803447</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803447</v>
      </c>
      <c r="D170" s="2" t="str">
        <f t="shared" si="1"/>
        <v>Error?</v>
      </c>
    </row>
    <row r="171" spans="1:4" x14ac:dyDescent="0.2">
      <c r="A171" s="5">
        <v>110</v>
      </c>
      <c r="B171" s="138">
        <f>'Assets-Liab 5-6'!F41</f>
        <v>803447</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139096</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678343</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668716</v>
      </c>
      <c r="D189" s="2" t="str">
        <f t="shared" si="1"/>
        <v>Error?</v>
      </c>
    </row>
    <row r="190" spans="1:4" x14ac:dyDescent="0.2">
      <c r="A190" s="5">
        <v>129</v>
      </c>
      <c r="B190" s="138">
        <f>'Assets-Liab 5-6'!G41</f>
        <v>678343</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34804</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169734</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169734</v>
      </c>
      <c r="D212" s="2" t="str">
        <f t="shared" si="2"/>
        <v>Error?</v>
      </c>
    </row>
    <row r="213" spans="1:4" x14ac:dyDescent="0.2">
      <c r="A213" s="12">
        <v>152</v>
      </c>
      <c r="B213" s="138">
        <f>'Assets-Liab 5-6'!H41</f>
        <v>169734</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81500</v>
      </c>
      <c r="D273" s="2" t="str">
        <f t="shared" si="3"/>
        <v>Error?</v>
      </c>
    </row>
    <row r="274" spans="1:4" x14ac:dyDescent="0.2">
      <c r="A274" s="5">
        <v>213</v>
      </c>
      <c r="B274" s="138">
        <f>'Assets-Liab 5-6'!M17</f>
        <v>25403896</v>
      </c>
      <c r="D274" s="2" t="str">
        <f t="shared" si="3"/>
        <v>Error?</v>
      </c>
    </row>
    <row r="275" spans="1:4" x14ac:dyDescent="0.2">
      <c r="A275" s="5">
        <v>214</v>
      </c>
      <c r="B275" s="138">
        <f>'Assets-Liab 5-6'!M18</f>
        <v>1528226</v>
      </c>
      <c r="D275" s="2" t="str">
        <f t="shared" si="3"/>
        <v>Error?</v>
      </c>
    </row>
    <row r="276" spans="1:4" x14ac:dyDescent="0.2">
      <c r="A276" s="5">
        <v>215</v>
      </c>
      <c r="B276" s="138">
        <f>'Assets-Liab 5-6'!M19</f>
        <v>5280806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32294428</v>
      </c>
      <c r="C279" s="2" t="s">
        <v>594</v>
      </c>
      <c r="D279" s="2" t="str">
        <f t="shared" si="3"/>
        <v>Error?</v>
      </c>
    </row>
    <row r="280" spans="1:4" x14ac:dyDescent="0.2">
      <c r="A280" s="5">
        <v>219</v>
      </c>
      <c r="B280" s="138">
        <f>'Assets-Liab 5-6'!M40</f>
        <v>32294428</v>
      </c>
      <c r="D280" s="2" t="str">
        <f t="shared" si="3"/>
        <v>Error?</v>
      </c>
    </row>
    <row r="281" spans="1:4" x14ac:dyDescent="0.2">
      <c r="A281" s="5">
        <v>220</v>
      </c>
      <c r="B281" s="138">
        <f>'Assets-Liab 5-6'!M41</f>
        <v>32294428</v>
      </c>
      <c r="C281" s="2" t="s">
        <v>594</v>
      </c>
      <c r="D281" s="2" t="str">
        <f t="shared" si="3"/>
        <v>Error?</v>
      </c>
    </row>
    <row r="282" spans="1:4" x14ac:dyDescent="0.2">
      <c r="A282" s="5">
        <v>221</v>
      </c>
      <c r="B282" s="138">
        <f>'Assets-Liab 5-6'!N21</f>
        <v>61522</v>
      </c>
      <c r="D282" s="2" t="str">
        <f t="shared" si="3"/>
        <v>Error?</v>
      </c>
    </row>
    <row r="283" spans="1:4" x14ac:dyDescent="0.2">
      <c r="A283" s="5">
        <v>222</v>
      </c>
      <c r="B283" s="138">
        <f>'Assets-Liab 5-6'!N22</f>
        <v>4073478</v>
      </c>
      <c r="D283" s="2" t="str">
        <f t="shared" si="3"/>
        <v>Error?</v>
      </c>
    </row>
    <row r="284" spans="1:4" x14ac:dyDescent="0.2">
      <c r="A284" s="5">
        <v>223</v>
      </c>
      <c r="B284" s="138">
        <f>'Assets-Liab 5-6'!N23</f>
        <v>4135000</v>
      </c>
      <c r="C284" s="2" t="s">
        <v>594</v>
      </c>
      <c r="D284" s="2" t="str">
        <f t="shared" si="3"/>
        <v>Error?</v>
      </c>
    </row>
    <row r="285" spans="1:4" x14ac:dyDescent="0.2">
      <c r="A285" s="5">
        <v>224</v>
      </c>
      <c r="B285" s="138">
        <f>'Assets-Liab 5-6'!N36</f>
        <v>4135000</v>
      </c>
      <c r="D285" s="2" t="str">
        <f t="shared" si="3"/>
        <v>Error?</v>
      </c>
    </row>
    <row r="286" spans="1:4" x14ac:dyDescent="0.2">
      <c r="A286" s="10">
        <v>225</v>
      </c>
      <c r="D286" s="2" t="str">
        <f t="shared" si="3"/>
        <v>OK</v>
      </c>
    </row>
    <row r="287" spans="1:4" x14ac:dyDescent="0.2">
      <c r="A287" s="5">
        <v>226</v>
      </c>
      <c r="B287" s="138">
        <f>'Assets-Liab 5-6'!N37</f>
        <v>4135000</v>
      </c>
      <c r="C287" s="2" t="s">
        <v>594</v>
      </c>
      <c r="D287" s="2" t="str">
        <f t="shared" si="3"/>
        <v>Error?</v>
      </c>
    </row>
    <row r="288" spans="1:4" x14ac:dyDescent="0.2">
      <c r="A288" s="5">
        <v>227</v>
      </c>
      <c r="B288" s="138">
        <f>'Assets-Liab 5-6'!N41</f>
        <v>4135000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2772020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613751</v>
      </c>
      <c r="D718" s="2" t="str">
        <f t="shared" si="10"/>
        <v>Error?</v>
      </c>
    </row>
    <row r="719" spans="1:4" x14ac:dyDescent="0.2">
      <c r="A719" s="5">
        <v>658</v>
      </c>
      <c r="B719" s="138">
        <f>'Expenditures 15-22'!C15</f>
        <v>0</v>
      </c>
      <c r="D719" s="2" t="str">
        <f t="shared" si="10"/>
        <v>Error?</v>
      </c>
    </row>
    <row r="720" spans="1:4" x14ac:dyDescent="0.2">
      <c r="A720" s="5">
        <v>659</v>
      </c>
      <c r="B720" s="138">
        <f>'Expenditures 15-22'!C33</f>
        <v>4089297</v>
      </c>
      <c r="C720" s="2" t="s">
        <v>594</v>
      </c>
      <c r="D720" s="2" t="str">
        <f t="shared" si="10"/>
        <v>Error?</v>
      </c>
    </row>
    <row r="721" spans="1:4" x14ac:dyDescent="0.2">
      <c r="A721" s="5">
        <v>660</v>
      </c>
      <c r="B721" s="138">
        <f>'Expenditures 15-22'!C36</f>
        <v>117026</v>
      </c>
      <c r="D721" s="2" t="str">
        <f t="shared" si="10"/>
        <v>Error?</v>
      </c>
    </row>
    <row r="722" spans="1:4" x14ac:dyDescent="0.2">
      <c r="A722" s="5">
        <v>661</v>
      </c>
      <c r="B722" s="138">
        <f>'Expenditures 15-22'!C37</f>
        <v>185320</v>
      </c>
      <c r="D722" s="2" t="str">
        <f t="shared" si="10"/>
        <v>Error?</v>
      </c>
    </row>
    <row r="723" spans="1:4" x14ac:dyDescent="0.2">
      <c r="A723" s="5">
        <v>662</v>
      </c>
      <c r="B723" s="138">
        <f>'Expenditures 15-22'!C38</f>
        <v>42325</v>
      </c>
      <c r="D723" s="2" t="str">
        <f t="shared" si="10"/>
        <v>Error?</v>
      </c>
    </row>
    <row r="724" spans="1:4" x14ac:dyDescent="0.2">
      <c r="A724" s="5">
        <v>663</v>
      </c>
      <c r="B724" s="138">
        <f>'Expenditures 15-22'!C39</f>
        <v>44999</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389670</v>
      </c>
      <c r="C727" s="2" t="s">
        <v>594</v>
      </c>
      <c r="D727" s="2" t="str">
        <f t="shared" si="10"/>
        <v>Error?</v>
      </c>
    </row>
    <row r="728" spans="1:4" x14ac:dyDescent="0.2">
      <c r="A728" s="5">
        <v>667</v>
      </c>
      <c r="B728" s="138">
        <f>'Expenditures 15-22'!C44</f>
        <v>3425</v>
      </c>
      <c r="D728" s="2" t="str">
        <f t="shared" si="10"/>
        <v>Error?</v>
      </c>
    </row>
    <row r="729" spans="1:4" x14ac:dyDescent="0.2">
      <c r="A729" s="5">
        <v>668</v>
      </c>
      <c r="B729" s="138">
        <f>'Expenditures 15-22'!C45</f>
        <v>99303</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102728</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68936</v>
      </c>
      <c r="D733" s="2" t="str">
        <f t="shared" si="10"/>
        <v>Error?</v>
      </c>
    </row>
    <row r="734" spans="1:4" x14ac:dyDescent="0.2">
      <c r="A734" s="5">
        <v>673</v>
      </c>
      <c r="B734" s="138">
        <f>'Expenditures 15-22'!C53</f>
        <v>68936</v>
      </c>
      <c r="C734" s="2" t="s">
        <v>594</v>
      </c>
      <c r="D734" s="2" t="str">
        <f t="shared" si="10"/>
        <v>Error?</v>
      </c>
    </row>
    <row r="735" spans="1:4" x14ac:dyDescent="0.2">
      <c r="A735" s="5">
        <v>674</v>
      </c>
      <c r="B735" s="138">
        <f>'Expenditures 15-22'!C55</f>
        <v>384749</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384749</v>
      </c>
      <c r="C737" s="2" t="s">
        <v>594</v>
      </c>
      <c r="D737" s="2" t="str">
        <f t="shared" si="10"/>
        <v>Error?</v>
      </c>
    </row>
    <row r="738" spans="1:4" x14ac:dyDescent="0.2">
      <c r="A738" s="5">
        <v>677</v>
      </c>
      <c r="B738" s="138">
        <f>'Expenditures 15-22'!C59</f>
        <v>40459</v>
      </c>
      <c r="D738" s="2" t="str">
        <f t="shared" si="10"/>
        <v>Error?</v>
      </c>
    </row>
    <row r="739" spans="1:4" x14ac:dyDescent="0.2">
      <c r="A739" s="5">
        <v>678</v>
      </c>
      <c r="B739" s="138">
        <f>'Expenditures 15-22'!C60</f>
        <v>12067</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17653</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70179</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48600</v>
      </c>
      <c r="D751" s="2" t="str">
        <f t="shared" si="10"/>
        <v>Error?</v>
      </c>
    </row>
    <row r="752" spans="1:4" x14ac:dyDescent="0.2">
      <c r="A752" s="10">
        <v>691</v>
      </c>
      <c r="D752" s="2" t="str">
        <f t="shared" si="10"/>
        <v>OK</v>
      </c>
    </row>
    <row r="753" spans="1:4" x14ac:dyDescent="0.2">
      <c r="A753" s="5">
        <v>692</v>
      </c>
      <c r="B753" s="138">
        <f>'Expenditures 15-22'!C72</f>
        <v>48600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1064862</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5154159</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398907</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45254</v>
      </c>
      <c r="D776" s="2" t="str">
        <f t="shared" si="11"/>
        <v>Error?</v>
      </c>
    </row>
    <row r="777" spans="1:4" x14ac:dyDescent="0.2">
      <c r="A777" s="5">
        <v>716</v>
      </c>
      <c r="B777" s="138">
        <f>'Expenditures 15-22'!D15</f>
        <v>0</v>
      </c>
      <c r="D777" s="2" t="str">
        <f t="shared" si="11"/>
        <v>Error?</v>
      </c>
    </row>
    <row r="778" spans="1:4" x14ac:dyDescent="0.2">
      <c r="A778" s="5">
        <v>717</v>
      </c>
      <c r="B778" s="138">
        <f>'Expenditures 15-22'!D33</f>
        <v>596551</v>
      </c>
      <c r="C778" s="2" t="s">
        <v>594</v>
      </c>
      <c r="D778" s="2" t="str">
        <f t="shared" si="11"/>
        <v>Error?</v>
      </c>
    </row>
    <row r="779" spans="1:4" x14ac:dyDescent="0.2">
      <c r="A779" s="5">
        <v>718</v>
      </c>
      <c r="B779" s="138">
        <f>'Expenditures 15-22'!D36</f>
        <v>18688</v>
      </c>
      <c r="D779" s="2" t="str">
        <f t="shared" si="11"/>
        <v>Error?</v>
      </c>
    </row>
    <row r="780" spans="1:4" x14ac:dyDescent="0.2">
      <c r="A780" s="5">
        <v>719</v>
      </c>
      <c r="B780" s="138">
        <f>'Expenditures 15-22'!D37</f>
        <v>30372</v>
      </c>
      <c r="D780" s="2" t="str">
        <f t="shared" si="11"/>
        <v>Error?</v>
      </c>
    </row>
    <row r="781" spans="1:4" x14ac:dyDescent="0.2">
      <c r="A781" s="5">
        <v>720</v>
      </c>
      <c r="B781" s="138">
        <f>'Expenditures 15-22'!D38</f>
        <v>9318</v>
      </c>
      <c r="D781" s="2" t="str">
        <f t="shared" si="11"/>
        <v>Error?</v>
      </c>
    </row>
    <row r="782" spans="1:4" x14ac:dyDescent="0.2">
      <c r="A782" s="5">
        <v>721</v>
      </c>
      <c r="B782" s="138">
        <f>'Expenditures 15-22'!D39</f>
        <v>8681</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67059</v>
      </c>
      <c r="C785" s="2" t="s">
        <v>594</v>
      </c>
      <c r="D785" s="2" t="str">
        <f t="shared" si="11"/>
        <v>Error?</v>
      </c>
    </row>
    <row r="786" spans="1:4" x14ac:dyDescent="0.2">
      <c r="A786" s="5">
        <v>725</v>
      </c>
      <c r="B786" s="138">
        <f>'Expenditures 15-22'!D44</f>
        <v>50</v>
      </c>
      <c r="D786" s="2" t="str">
        <f t="shared" si="11"/>
        <v>Error?</v>
      </c>
    </row>
    <row r="787" spans="1:4" x14ac:dyDescent="0.2">
      <c r="A787" s="5">
        <v>726</v>
      </c>
      <c r="B787" s="138">
        <f>'Expenditures 15-22'!D45</f>
        <v>18800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18850</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22893</v>
      </c>
      <c r="D791" s="2" t="str">
        <f t="shared" si="11"/>
        <v>Error?</v>
      </c>
    </row>
    <row r="792" spans="1:4" x14ac:dyDescent="0.2">
      <c r="A792" s="5">
        <v>731</v>
      </c>
      <c r="B792" s="138">
        <f>'Expenditures 15-22'!D53</f>
        <v>22893</v>
      </c>
      <c r="C792" s="2" t="s">
        <v>594</v>
      </c>
      <c r="D792" s="2" t="str">
        <f t="shared" si="11"/>
        <v>Error?</v>
      </c>
    </row>
    <row r="793" spans="1:4" x14ac:dyDescent="0.2">
      <c r="A793" s="5">
        <v>732</v>
      </c>
      <c r="B793" s="138">
        <f>'Expenditures 15-22'!D55</f>
        <v>85743</v>
      </c>
      <c r="D793" s="2" t="str">
        <f t="shared" si="11"/>
        <v>Error?</v>
      </c>
    </row>
    <row r="794" spans="1:4" x14ac:dyDescent="0.2">
      <c r="A794" s="5">
        <v>733</v>
      </c>
      <c r="B794" s="138">
        <f>'Expenditures 15-22'!D56</f>
        <v>0</v>
      </c>
      <c r="D794" s="2" t="str">
        <f t="shared" si="11"/>
        <v>Error?</v>
      </c>
    </row>
    <row r="795" spans="1:4" x14ac:dyDescent="0.2">
      <c r="A795" s="5">
        <v>734</v>
      </c>
      <c r="B795" s="138">
        <f>'Expenditures 15-22'!D57</f>
        <v>85743</v>
      </c>
      <c r="C795" s="2" t="s">
        <v>594</v>
      </c>
      <c r="D795" s="2" t="str">
        <f t="shared" si="11"/>
        <v>Error?</v>
      </c>
    </row>
    <row r="796" spans="1:4" x14ac:dyDescent="0.2">
      <c r="A796" s="5">
        <v>735</v>
      </c>
      <c r="B796" s="138">
        <f>'Expenditures 15-22'!D59</f>
        <v>1731</v>
      </c>
      <c r="D796" s="2" t="str">
        <f t="shared" si="11"/>
        <v>Error?</v>
      </c>
    </row>
    <row r="797" spans="1:4" x14ac:dyDescent="0.2">
      <c r="A797" s="5">
        <v>736</v>
      </c>
      <c r="B797" s="138">
        <f>'Expenditures 15-22'!D60</f>
        <v>3386</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9284</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14401</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16071</v>
      </c>
      <c r="D809" s="2" t="str">
        <f t="shared" si="11"/>
        <v>Error?</v>
      </c>
    </row>
    <row r="810" spans="1:4" x14ac:dyDescent="0.2">
      <c r="A810" s="10">
        <v>749</v>
      </c>
      <c r="D810" s="2" t="str">
        <f t="shared" si="11"/>
        <v>OK</v>
      </c>
    </row>
    <row r="811" spans="1:4" x14ac:dyDescent="0.2">
      <c r="A811" s="5">
        <v>750</v>
      </c>
      <c r="B811" s="138">
        <f>'Expenditures 15-22'!D72</f>
        <v>16071</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225017</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821568</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117809</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76326</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291781</v>
      </c>
      <c r="C836" s="2" t="s">
        <v>594</v>
      </c>
      <c r="D836" s="2" t="str">
        <f t="shared" si="12"/>
        <v>Error?</v>
      </c>
    </row>
    <row r="837" spans="1:4" x14ac:dyDescent="0.2">
      <c r="A837" s="5">
        <v>776</v>
      </c>
      <c r="B837" s="138">
        <f>'Expenditures 15-22'!E36</f>
        <v>1100</v>
      </c>
      <c r="D837" s="2" t="str">
        <f t="shared" si="12"/>
        <v>Error?</v>
      </c>
    </row>
    <row r="838" spans="1:4" x14ac:dyDescent="0.2">
      <c r="A838" s="5">
        <v>777</v>
      </c>
      <c r="B838" s="138">
        <f>'Expenditures 15-22'!E37</f>
        <v>2633</v>
      </c>
      <c r="D838" s="2" t="str">
        <f t="shared" si="12"/>
        <v>Error?</v>
      </c>
    </row>
    <row r="839" spans="1:4" x14ac:dyDescent="0.2">
      <c r="A839" s="5">
        <v>778</v>
      </c>
      <c r="B839" s="138">
        <f>'Expenditures 15-22'!E38</f>
        <v>205</v>
      </c>
      <c r="D839" s="2" t="str">
        <f t="shared" si="12"/>
        <v>Error?</v>
      </c>
    </row>
    <row r="840" spans="1:4" x14ac:dyDescent="0.2">
      <c r="A840" s="5">
        <v>779</v>
      </c>
      <c r="B840" s="138">
        <f>'Expenditures 15-22'!E39</f>
        <v>47897</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51835</v>
      </c>
      <c r="C843" s="2" t="s">
        <v>594</v>
      </c>
      <c r="D843" s="2" t="str">
        <f t="shared" si="12"/>
        <v>Error?</v>
      </c>
    </row>
    <row r="844" spans="1:4" x14ac:dyDescent="0.2">
      <c r="A844" s="5">
        <v>783</v>
      </c>
      <c r="B844" s="138">
        <f>'Expenditures 15-22'!E44</f>
        <v>35476</v>
      </c>
      <c r="D844" s="2" t="str">
        <f t="shared" si="12"/>
        <v>Error?</v>
      </c>
    </row>
    <row r="845" spans="1:4" x14ac:dyDescent="0.2">
      <c r="A845" s="5">
        <v>784</v>
      </c>
      <c r="B845" s="138">
        <f>'Expenditures 15-22'!E45</f>
        <v>15876</v>
      </c>
      <c r="D845" s="2" t="str">
        <f t="shared" si="12"/>
        <v>Error?</v>
      </c>
    </row>
    <row r="846" spans="1:4" x14ac:dyDescent="0.2">
      <c r="A846" s="5">
        <v>785</v>
      </c>
      <c r="B846" s="138">
        <f>'Expenditures 15-22'!E46</f>
        <v>0</v>
      </c>
      <c r="D846" s="2" t="str">
        <f t="shared" si="12"/>
        <v>Error?</v>
      </c>
    </row>
    <row r="847" spans="1:4" x14ac:dyDescent="0.2">
      <c r="A847" s="5">
        <v>786</v>
      </c>
      <c r="B847" s="138">
        <f>'Expenditures 15-22'!E47</f>
        <v>51352</v>
      </c>
      <c r="C847" s="2" t="s">
        <v>594</v>
      </c>
      <c r="D847" s="2" t="str">
        <f t="shared" si="12"/>
        <v>Error?</v>
      </c>
    </row>
    <row r="848" spans="1:4" x14ac:dyDescent="0.2">
      <c r="A848" s="5">
        <v>787</v>
      </c>
      <c r="B848" s="138">
        <f>'Expenditures 15-22'!E49</f>
        <v>553742</v>
      </c>
      <c r="D848" s="2" t="str">
        <f t="shared" si="12"/>
        <v>Error?</v>
      </c>
    </row>
    <row r="849" spans="1:4" x14ac:dyDescent="0.2">
      <c r="A849" s="5">
        <v>788</v>
      </c>
      <c r="B849" s="138">
        <f>'Expenditures 15-22'!E50</f>
        <v>30409</v>
      </c>
      <c r="D849" s="2" t="str">
        <f t="shared" si="12"/>
        <v>Error?</v>
      </c>
    </row>
    <row r="850" spans="1:4" x14ac:dyDescent="0.2">
      <c r="A850" s="5">
        <v>789</v>
      </c>
      <c r="B850" s="138">
        <f>'Expenditures 15-22'!E53</f>
        <v>584833</v>
      </c>
      <c r="C850" s="2" t="s">
        <v>594</v>
      </c>
      <c r="D850" s="2" t="str">
        <f t="shared" si="12"/>
        <v>Error?</v>
      </c>
    </row>
    <row r="851" spans="1:4" x14ac:dyDescent="0.2">
      <c r="A851" s="5">
        <v>790</v>
      </c>
      <c r="B851" s="138">
        <f>'Expenditures 15-22'!E55</f>
        <v>5455</v>
      </c>
      <c r="D851" s="2" t="str">
        <f t="shared" si="12"/>
        <v>Error?</v>
      </c>
    </row>
    <row r="852" spans="1:4" x14ac:dyDescent="0.2">
      <c r="A852" s="5">
        <v>791</v>
      </c>
      <c r="B852" s="138">
        <f>'Expenditures 15-22'!E56</f>
        <v>0</v>
      </c>
      <c r="D852" s="2" t="str">
        <f t="shared" si="12"/>
        <v>Error?</v>
      </c>
    </row>
    <row r="853" spans="1:4" x14ac:dyDescent="0.2">
      <c r="A853" s="5">
        <v>792</v>
      </c>
      <c r="B853" s="138">
        <f>'Expenditures 15-22'!E57</f>
        <v>5455</v>
      </c>
      <c r="C853" s="2" t="s">
        <v>594</v>
      </c>
      <c r="D853" s="2" t="str">
        <f t="shared" si="12"/>
        <v>Error?</v>
      </c>
    </row>
    <row r="854" spans="1:4" x14ac:dyDescent="0.2">
      <c r="A854" s="5">
        <v>793</v>
      </c>
      <c r="B854" s="138">
        <f>'Expenditures 15-22'!E59</f>
        <v>385</v>
      </c>
      <c r="D854" s="2" t="str">
        <f t="shared" si="12"/>
        <v>Error?</v>
      </c>
    </row>
    <row r="855" spans="1:4" x14ac:dyDescent="0.2">
      <c r="A855" s="5">
        <v>794</v>
      </c>
      <c r="B855" s="138">
        <f>'Expenditures 15-22'!E60</f>
        <v>59706</v>
      </c>
      <c r="D855" s="2" t="str">
        <f t="shared" si="12"/>
        <v>Error?</v>
      </c>
    </row>
    <row r="856" spans="1:4" x14ac:dyDescent="0.2">
      <c r="A856" s="5">
        <v>795</v>
      </c>
      <c r="B856" s="138">
        <f>'Expenditures 15-22'!E61</f>
        <v>54862</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209580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324533</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115527</v>
      </c>
      <c r="D867" s="2" t="str">
        <f t="shared" si="12"/>
        <v>Error?</v>
      </c>
    </row>
    <row r="868" spans="1:4" x14ac:dyDescent="0.2">
      <c r="A868" s="10">
        <v>807</v>
      </c>
      <c r="D868" s="2" t="str">
        <f t="shared" si="12"/>
        <v>OK</v>
      </c>
    </row>
    <row r="869" spans="1:4" x14ac:dyDescent="0.2">
      <c r="A869" s="5">
        <v>808</v>
      </c>
      <c r="B869" s="138">
        <f>'Expenditures 15-22'!E72</f>
        <v>115527</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1133535</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1425316</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188537</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74668</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269912</v>
      </c>
      <c r="C894" s="2" t="s">
        <v>594</v>
      </c>
      <c r="D894" s="2" t="str">
        <f t="shared" si="12"/>
        <v>Error?</v>
      </c>
    </row>
    <row r="895" spans="1:4" x14ac:dyDescent="0.2">
      <c r="A895" s="5">
        <v>834</v>
      </c>
      <c r="B895" s="138">
        <f>'Expenditures 15-22'!F36</f>
        <v>1223</v>
      </c>
      <c r="D895" s="2" t="str">
        <f t="shared" ref="D895:D958" si="13">IF(ISBLANK(B895),"OK",IF(A895-B895=0,"OK","Error?"))</f>
        <v>Error?</v>
      </c>
    </row>
    <row r="896" spans="1:4" x14ac:dyDescent="0.2">
      <c r="A896" s="5">
        <v>835</v>
      </c>
      <c r="B896" s="138">
        <f>'Expenditures 15-22'!F37</f>
        <v>47479</v>
      </c>
      <c r="D896" s="2" t="str">
        <f t="shared" si="13"/>
        <v>Error?</v>
      </c>
    </row>
    <row r="897" spans="1:4" x14ac:dyDescent="0.2">
      <c r="A897" s="5">
        <v>836</v>
      </c>
      <c r="B897" s="138">
        <f>'Expenditures 15-22'!F38</f>
        <v>1472</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50174</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28251</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28251</v>
      </c>
      <c r="C905" s="2" t="s">
        <v>594</v>
      </c>
      <c r="D905" s="2" t="str">
        <f t="shared" si="13"/>
        <v>Error?</v>
      </c>
    </row>
    <row r="906" spans="1:4" x14ac:dyDescent="0.2">
      <c r="A906" s="5">
        <v>845</v>
      </c>
      <c r="B906" s="138">
        <f>'Expenditures 15-22'!F49</f>
        <v>14218</v>
      </c>
      <c r="D906" s="2" t="str">
        <f t="shared" si="13"/>
        <v>Error?</v>
      </c>
    </row>
    <row r="907" spans="1:4" x14ac:dyDescent="0.2">
      <c r="A907" s="5">
        <v>846</v>
      </c>
      <c r="B907" s="138">
        <f>'Expenditures 15-22'!F50</f>
        <v>754</v>
      </c>
      <c r="D907" s="2" t="str">
        <f t="shared" si="13"/>
        <v>Error?</v>
      </c>
    </row>
    <row r="908" spans="1:4" x14ac:dyDescent="0.2">
      <c r="A908" s="5">
        <v>847</v>
      </c>
      <c r="B908" s="138">
        <f>'Expenditures 15-22'!F53</f>
        <v>14972</v>
      </c>
      <c r="C908" s="2" t="s">
        <v>594</v>
      </c>
      <c r="D908" s="2" t="str">
        <f t="shared" si="13"/>
        <v>Error?</v>
      </c>
    </row>
    <row r="909" spans="1:4" x14ac:dyDescent="0.2">
      <c r="A909" s="5">
        <v>848</v>
      </c>
      <c r="B909" s="138">
        <f>'Expenditures 15-22'!F55</f>
        <v>25122</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25122</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334</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704</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1038</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70768</v>
      </c>
      <c r="D925" s="2" t="str">
        <f t="shared" si="13"/>
        <v>Error?</v>
      </c>
    </row>
    <row r="926" spans="1:4" x14ac:dyDescent="0.2">
      <c r="A926" s="10">
        <v>865</v>
      </c>
      <c r="D926" s="2" t="str">
        <f t="shared" si="13"/>
        <v>OK</v>
      </c>
    </row>
    <row r="927" spans="1:4" x14ac:dyDescent="0.2">
      <c r="A927" s="5">
        <v>866</v>
      </c>
      <c r="B927" s="138">
        <f>'Expenditures 15-22'!F72</f>
        <v>70768</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190325</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460237</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7309</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103315</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112751</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91870</v>
      </c>
      <c r="D983" s="2" t="str">
        <f t="shared" si="14"/>
        <v>Error?</v>
      </c>
    </row>
    <row r="984" spans="1:4" x14ac:dyDescent="0.2">
      <c r="A984" s="10">
        <v>923</v>
      </c>
      <c r="D984" s="2" t="str">
        <f t="shared" si="14"/>
        <v>OK</v>
      </c>
    </row>
    <row r="985" spans="1:4" x14ac:dyDescent="0.2">
      <c r="A985" s="5">
        <v>924</v>
      </c>
      <c r="B985" s="138">
        <f>'Expenditures 15-22'!G72</f>
        <v>91870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91870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204621</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10374</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7630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200062</v>
      </c>
      <c r="C1010" s="2" t="s">
        <v>594</v>
      </c>
      <c r="D1010" s="2" t="str">
        <f t="shared" si="14"/>
        <v>Error?</v>
      </c>
    </row>
    <row r="1011" spans="1:4" x14ac:dyDescent="0.2">
      <c r="A1011" s="5">
        <v>950</v>
      </c>
      <c r="B1011" s="138">
        <f>'Expenditures 15-22'!H36</f>
        <v>490</v>
      </c>
      <c r="D1011" s="2" t="str">
        <f t="shared" si="14"/>
        <v>Error?</v>
      </c>
    </row>
    <row r="1012" spans="1:4" x14ac:dyDescent="0.2">
      <c r="A1012" s="5">
        <v>951</v>
      </c>
      <c r="B1012" s="138">
        <f>'Expenditures 15-22'!H37</f>
        <v>1054</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1544</v>
      </c>
      <c r="C1017" s="2" t="s">
        <v>594</v>
      </c>
      <c r="D1017" s="2" t="str">
        <f t="shared" si="14"/>
        <v>Error?</v>
      </c>
    </row>
    <row r="1018" spans="1:4" x14ac:dyDescent="0.2">
      <c r="A1018" s="5">
        <v>957</v>
      </c>
      <c r="B1018" s="138">
        <f>'Expenditures 15-22'!H44</f>
        <v>28744</v>
      </c>
      <c r="D1018" s="2" t="str">
        <f t="shared" si="14"/>
        <v>Error?</v>
      </c>
    </row>
    <row r="1019" spans="1:4" x14ac:dyDescent="0.2">
      <c r="A1019" s="5">
        <v>958</v>
      </c>
      <c r="B1019" s="138">
        <f>'Expenditures 15-22'!H45</f>
        <v>1272</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30016</v>
      </c>
      <c r="C1021" s="2" t="s">
        <v>594</v>
      </c>
      <c r="D1021" s="2" t="str">
        <f t="shared" si="14"/>
        <v>Error?</v>
      </c>
    </row>
    <row r="1022" spans="1:4" x14ac:dyDescent="0.2">
      <c r="A1022" s="5">
        <v>961</v>
      </c>
      <c r="B1022" s="138">
        <f>'Expenditures 15-22'!H49</f>
        <v>43838</v>
      </c>
      <c r="D1022" s="2" t="str">
        <f t="shared" si="14"/>
        <v>Error?</v>
      </c>
    </row>
    <row r="1023" spans="1:4" x14ac:dyDescent="0.2">
      <c r="A1023" s="5">
        <v>962</v>
      </c>
      <c r="B1023" s="138">
        <f>'Expenditures 15-22'!H50</f>
        <v>1362</v>
      </c>
      <c r="D1023" s="2" t="str">
        <f t="shared" ref="D1023:D1086" si="15">IF(ISBLANK(B1023),"OK",IF(A1023-B1023=0,"OK","Error?"))</f>
        <v>Error?</v>
      </c>
    </row>
    <row r="1024" spans="1:4" x14ac:dyDescent="0.2">
      <c r="A1024" s="5">
        <v>963</v>
      </c>
      <c r="B1024" s="138">
        <f>'Expenditures 15-22'!H53</f>
        <v>45200</v>
      </c>
      <c r="C1024" s="2" t="s">
        <v>594</v>
      </c>
      <c r="D1024" s="2" t="str">
        <f t="shared" si="15"/>
        <v>Error?</v>
      </c>
    </row>
    <row r="1025" spans="1:4" x14ac:dyDescent="0.2">
      <c r="A1025" s="5">
        <v>964</v>
      </c>
      <c r="B1025" s="138">
        <f>'Expenditures 15-22'!H55</f>
        <v>1679</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1679</v>
      </c>
      <c r="C1027" s="2" t="s">
        <v>594</v>
      </c>
      <c r="D1027" s="2" t="str">
        <f t="shared" si="15"/>
        <v>Error?</v>
      </c>
    </row>
    <row r="1028" spans="1:4" x14ac:dyDescent="0.2">
      <c r="A1028" s="5">
        <v>967</v>
      </c>
      <c r="B1028" s="138">
        <f>'Expenditures 15-22'!H59</f>
        <v>199</v>
      </c>
      <c r="D1028" s="2" t="str">
        <f t="shared" si="15"/>
        <v>Error?</v>
      </c>
    </row>
    <row r="1029" spans="1:4" x14ac:dyDescent="0.2">
      <c r="A1029" s="5">
        <v>968</v>
      </c>
      <c r="B1029" s="138">
        <f>'Expenditures 15-22'!H60</f>
        <v>806</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1005</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2280</v>
      </c>
      <c r="D1041" s="2" t="str">
        <f t="shared" si="15"/>
        <v>Error?</v>
      </c>
    </row>
    <row r="1042" spans="1:4" x14ac:dyDescent="0.2">
      <c r="A1042" s="10">
        <v>981</v>
      </c>
      <c r="D1042" s="2" t="str">
        <f t="shared" si="15"/>
        <v>OK</v>
      </c>
    </row>
    <row r="1043" spans="1:4" x14ac:dyDescent="0.2">
      <c r="A1043" s="5">
        <v>982</v>
      </c>
      <c r="B1043" s="138">
        <f>'Expenditures 15-22'!H72</f>
        <v>2280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81724</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74435</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356221</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3504503</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921727</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5570684</v>
      </c>
      <c r="C1108" s="2" t="s">
        <v>594</v>
      </c>
      <c r="D1108" s="2" t="str">
        <f t="shared" si="16"/>
        <v>Error?</v>
      </c>
    </row>
    <row r="1109" spans="1:4" x14ac:dyDescent="0.2">
      <c r="A1109" s="5">
        <v>1048</v>
      </c>
      <c r="B1109" s="138">
        <f>'Expenditures 15-22'!K36</f>
        <v>138527</v>
      </c>
      <c r="C1109" s="2" t="s">
        <v>594</v>
      </c>
      <c r="D1109" s="2" t="str">
        <f t="shared" si="16"/>
        <v>Error?</v>
      </c>
    </row>
    <row r="1110" spans="1:4" x14ac:dyDescent="0.2">
      <c r="A1110" s="5">
        <v>1049</v>
      </c>
      <c r="B1110" s="138">
        <f>'Expenditures 15-22'!K37</f>
        <v>266858</v>
      </c>
      <c r="C1110" s="2" t="s">
        <v>594</v>
      </c>
      <c r="D1110" s="2" t="str">
        <f t="shared" si="16"/>
        <v>Error?</v>
      </c>
    </row>
    <row r="1111" spans="1:4" x14ac:dyDescent="0.2">
      <c r="A1111" s="5">
        <v>1050</v>
      </c>
      <c r="B1111" s="138">
        <f>'Expenditures 15-22'!K38</f>
        <v>53320</v>
      </c>
      <c r="C1111" s="2" t="s">
        <v>594</v>
      </c>
      <c r="D1111" s="2" t="str">
        <f t="shared" si="16"/>
        <v>Error?</v>
      </c>
    </row>
    <row r="1112" spans="1:4" x14ac:dyDescent="0.2">
      <c r="A1112" s="5">
        <v>1051</v>
      </c>
      <c r="B1112" s="138">
        <f>'Expenditures 15-22'!K39</f>
        <v>101577</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560282</v>
      </c>
      <c r="C1115" s="2" t="s">
        <v>594</v>
      </c>
      <c r="D1115" s="2" t="str">
        <f t="shared" si="16"/>
        <v>Error?</v>
      </c>
    </row>
    <row r="1116" spans="1:4" x14ac:dyDescent="0.2">
      <c r="A1116" s="5">
        <v>1055</v>
      </c>
      <c r="B1116" s="138">
        <f>'Expenditures 15-22'!K44</f>
        <v>67695</v>
      </c>
      <c r="C1116" s="2" t="s">
        <v>594</v>
      </c>
      <c r="D1116" s="2" t="str">
        <f t="shared" si="16"/>
        <v>Error?</v>
      </c>
    </row>
    <row r="1117" spans="1:4" x14ac:dyDescent="0.2">
      <c r="A1117" s="5">
        <v>1056</v>
      </c>
      <c r="B1117" s="138">
        <f>'Expenditures 15-22'!K45</f>
        <v>168427</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236122</v>
      </c>
      <c r="C1119" s="2" t="s">
        <v>594</v>
      </c>
      <c r="D1119" s="2" t="str">
        <f t="shared" si="16"/>
        <v>Error?</v>
      </c>
    </row>
    <row r="1120" spans="1:4" x14ac:dyDescent="0.2">
      <c r="A1120" s="5">
        <v>1059</v>
      </c>
      <c r="B1120" s="138">
        <f>'Expenditures 15-22'!K49</f>
        <v>611798</v>
      </c>
      <c r="C1120" s="2" t="s">
        <v>594</v>
      </c>
      <c r="D1120" s="2" t="str">
        <f t="shared" si="16"/>
        <v>Error?</v>
      </c>
    </row>
    <row r="1121" spans="1:4" x14ac:dyDescent="0.2">
      <c r="A1121" s="5">
        <v>1060</v>
      </c>
      <c r="B1121" s="138">
        <f>'Expenditures 15-22'!K50</f>
        <v>124354</v>
      </c>
      <c r="C1121" s="2" t="s">
        <v>594</v>
      </c>
      <c r="D1121" s="2" t="str">
        <f t="shared" si="16"/>
        <v>Error?</v>
      </c>
    </row>
    <row r="1122" spans="1:4" x14ac:dyDescent="0.2">
      <c r="A1122" s="5">
        <v>1061</v>
      </c>
      <c r="B1122" s="138">
        <f>'Expenditures 15-22'!K53</f>
        <v>736834</v>
      </c>
      <c r="C1122" s="2" t="s">
        <v>594</v>
      </c>
      <c r="D1122" s="2" t="str">
        <f t="shared" si="16"/>
        <v>Error?</v>
      </c>
    </row>
    <row r="1123" spans="1:4" x14ac:dyDescent="0.2">
      <c r="A1123" s="5">
        <v>1062</v>
      </c>
      <c r="B1123" s="138">
        <f>'Expenditures 15-22'!K55</f>
        <v>502748</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502748</v>
      </c>
      <c r="C1125" s="2" t="s">
        <v>594</v>
      </c>
      <c r="D1125" s="2" t="str">
        <f t="shared" si="16"/>
        <v>Error?</v>
      </c>
    </row>
    <row r="1126" spans="1:4" x14ac:dyDescent="0.2">
      <c r="A1126" s="5">
        <v>1065</v>
      </c>
      <c r="B1126" s="138">
        <f>'Expenditures 15-22'!K59</f>
        <v>42774</v>
      </c>
      <c r="C1126" s="2" t="s">
        <v>594</v>
      </c>
      <c r="D1126" s="2" t="str">
        <f t="shared" si="16"/>
        <v>Error?</v>
      </c>
    </row>
    <row r="1127" spans="1:4" x14ac:dyDescent="0.2">
      <c r="A1127" s="5">
        <v>1066</v>
      </c>
      <c r="B1127" s="138">
        <f>'Expenditures 15-22'!K60</f>
        <v>76299</v>
      </c>
      <c r="C1127" s="2" t="s">
        <v>594</v>
      </c>
      <c r="D1127" s="2" t="str">
        <f t="shared" si="16"/>
        <v>Error?</v>
      </c>
    </row>
    <row r="1128" spans="1:4" x14ac:dyDescent="0.2">
      <c r="A1128" s="5">
        <v>1067</v>
      </c>
      <c r="B1128" s="138">
        <f>'Expenditures 15-22'!K61</f>
        <v>54862</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237221</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411156</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345116</v>
      </c>
      <c r="C1139" s="2" t="s">
        <v>594</v>
      </c>
      <c r="D1139" s="2" t="str">
        <f t="shared" si="16"/>
        <v>Error?</v>
      </c>
    </row>
    <row r="1140" spans="1:4" x14ac:dyDescent="0.2">
      <c r="A1140" s="10">
        <v>1079</v>
      </c>
      <c r="D1140" s="2" t="str">
        <f t="shared" si="16"/>
        <v>OK</v>
      </c>
    </row>
    <row r="1141" spans="1:4" x14ac:dyDescent="0.2">
      <c r="A1141" s="5">
        <v>1080</v>
      </c>
      <c r="B1141" s="138">
        <f>'Expenditures 15-22'!K72</f>
        <v>345116</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2792258</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74435</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8437377</v>
      </c>
      <c r="C1152" s="2" t="s">
        <v>594</v>
      </c>
      <c r="D1152" s="2" t="str">
        <f t="shared" si="17"/>
        <v>Error?</v>
      </c>
    </row>
    <row r="1153" spans="1:4" x14ac:dyDescent="0.2">
      <c r="A1153" s="5">
        <v>1092</v>
      </c>
      <c r="B1153" s="138">
        <f>'Expenditures 15-22'!K115</f>
        <v>1960914</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206207</v>
      </c>
      <c r="D1221" s="2" t="str">
        <f t="shared" si="18"/>
        <v>Error?</v>
      </c>
    </row>
    <row r="1222" spans="1:4" x14ac:dyDescent="0.2">
      <c r="A1222" s="10">
        <v>1161</v>
      </c>
      <c r="D1222" s="2" t="str">
        <f t="shared" si="18"/>
        <v>OK</v>
      </c>
    </row>
    <row r="1223" spans="1:4" x14ac:dyDescent="0.2">
      <c r="A1223" s="5">
        <v>1162</v>
      </c>
      <c r="B1223" s="138">
        <f>'Expenditures 15-22'!C127</f>
        <v>206207</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206207</v>
      </c>
      <c r="C1225" s="2" t="s">
        <v>594</v>
      </c>
      <c r="D1225" s="2" t="str">
        <f t="shared" si="18"/>
        <v>Error?</v>
      </c>
    </row>
    <row r="1226" spans="1:4" x14ac:dyDescent="0.2">
      <c r="A1226" s="5">
        <v>1165</v>
      </c>
      <c r="B1226" s="138">
        <f>'Expenditures 15-22'!C151</f>
        <v>206207</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26261</v>
      </c>
      <c r="D1229" s="2" t="str">
        <f t="shared" si="18"/>
        <v>Error?</v>
      </c>
    </row>
    <row r="1230" spans="1:4" x14ac:dyDescent="0.2">
      <c r="A1230" s="10">
        <v>1169</v>
      </c>
      <c r="D1230" s="2" t="str">
        <f t="shared" si="18"/>
        <v>OK</v>
      </c>
    </row>
    <row r="1231" spans="1:4" x14ac:dyDescent="0.2">
      <c r="A1231" s="5">
        <v>1170</v>
      </c>
      <c r="B1231" s="138">
        <f>'Expenditures 15-22'!D127</f>
        <v>26261</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26261</v>
      </c>
      <c r="C1233" s="2" t="s">
        <v>594</v>
      </c>
      <c r="D1233" s="2" t="str">
        <f t="shared" si="18"/>
        <v>Error?</v>
      </c>
    </row>
    <row r="1234" spans="1:4" x14ac:dyDescent="0.2">
      <c r="A1234" s="5">
        <v>1173</v>
      </c>
      <c r="B1234" s="138">
        <f>'Expenditures 15-22'!D151</f>
        <v>26261</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562546</v>
      </c>
      <c r="D1237" s="2" t="str">
        <f t="shared" si="18"/>
        <v>Error?</v>
      </c>
    </row>
    <row r="1238" spans="1:4" x14ac:dyDescent="0.2">
      <c r="A1238" s="10">
        <v>1177</v>
      </c>
      <c r="D1238" s="2" t="str">
        <f t="shared" si="18"/>
        <v>OK</v>
      </c>
    </row>
    <row r="1239" spans="1:4" x14ac:dyDescent="0.2">
      <c r="A1239" s="5">
        <v>1178</v>
      </c>
      <c r="B1239" s="138">
        <f>'Expenditures 15-22'!E127</f>
        <v>562546</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562546</v>
      </c>
      <c r="C1241" s="2" t="s">
        <v>594</v>
      </c>
      <c r="D1241" s="2" t="str">
        <f t="shared" si="18"/>
        <v>Error?</v>
      </c>
    </row>
    <row r="1242" spans="1:4" x14ac:dyDescent="0.2">
      <c r="A1242" s="5">
        <v>1181</v>
      </c>
      <c r="B1242" s="138">
        <f>'Expenditures 15-22'!E151</f>
        <v>562546</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354071</v>
      </c>
      <c r="D1245" s="2" t="str">
        <f t="shared" si="18"/>
        <v>Error?</v>
      </c>
    </row>
    <row r="1246" spans="1:4" x14ac:dyDescent="0.2">
      <c r="A1246" s="10">
        <v>1185</v>
      </c>
      <c r="D1246" s="2" t="str">
        <f t="shared" si="18"/>
        <v>OK</v>
      </c>
    </row>
    <row r="1247" spans="1:4" x14ac:dyDescent="0.2">
      <c r="A1247" s="5">
        <v>1186</v>
      </c>
      <c r="B1247" s="138">
        <f>'Expenditures 15-22'!F127</f>
        <v>354071</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354071</v>
      </c>
      <c r="C1249" s="2" t="s">
        <v>594</v>
      </c>
      <c r="D1249" s="2" t="str">
        <f t="shared" si="18"/>
        <v>Error?</v>
      </c>
    </row>
    <row r="1250" spans="1:4" x14ac:dyDescent="0.2">
      <c r="A1250" s="5">
        <v>1189</v>
      </c>
      <c r="B1250" s="138">
        <f>'Expenditures 15-22'!F151</f>
        <v>354071</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60109</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60109</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60109</v>
      </c>
      <c r="C1258" s="2" t="s">
        <v>594</v>
      </c>
      <c r="D1258" s="2" t="str">
        <f t="shared" si="18"/>
        <v>Error?</v>
      </c>
    </row>
    <row r="1259" spans="1:4" x14ac:dyDescent="0.2">
      <c r="A1259" s="5">
        <v>1198</v>
      </c>
      <c r="B1259" s="138">
        <f>'Expenditures 15-22'!G151</f>
        <v>60109</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505</v>
      </c>
      <c r="D1262" s="2" t="str">
        <f t="shared" si="18"/>
        <v>Error?</v>
      </c>
    </row>
    <row r="1263" spans="1:4" x14ac:dyDescent="0.2">
      <c r="A1263" s="10">
        <v>1202</v>
      </c>
      <c r="D1263" s="2" t="str">
        <f t="shared" si="18"/>
        <v>OK</v>
      </c>
    </row>
    <row r="1264" spans="1:4" x14ac:dyDescent="0.2">
      <c r="A1264" s="5">
        <v>1203</v>
      </c>
      <c r="B1264" s="138">
        <f>'Expenditures 15-22'!H127</f>
        <v>505</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505</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505</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1228574</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1228574</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1228574</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1228574</v>
      </c>
      <c r="C1288" s="2" t="s">
        <v>594</v>
      </c>
      <c r="D1288" s="2" t="str">
        <f t="shared" si="19"/>
        <v>Error?</v>
      </c>
    </row>
    <row r="1289" spans="1:4" x14ac:dyDescent="0.2">
      <c r="A1289" s="5">
        <v>1228</v>
      </c>
      <c r="B1289" s="138">
        <f>'Expenditures 15-22'!K152</f>
        <v>367309</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147639</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1710000</v>
      </c>
      <c r="D1315" s="2" t="str">
        <f t="shared" si="19"/>
        <v>Error?</v>
      </c>
    </row>
    <row r="1316" spans="1:4" x14ac:dyDescent="0.2">
      <c r="A1316" s="5">
        <v>1255</v>
      </c>
      <c r="B1316" s="138">
        <f>'Expenditures 15-22'!H171</f>
        <v>2750</v>
      </c>
      <c r="D1316" s="2" t="str">
        <f t="shared" si="19"/>
        <v>Error?</v>
      </c>
    </row>
    <row r="1317" spans="1:4" x14ac:dyDescent="0.2">
      <c r="A1317" s="5">
        <v>1256</v>
      </c>
      <c r="B1317" s="138">
        <f>'Expenditures 15-22'!H172</f>
        <v>1860389</v>
      </c>
      <c r="C1317" s="2" t="s">
        <v>594</v>
      </c>
      <c r="D1317" s="2" t="str">
        <f t="shared" si="19"/>
        <v>Error?</v>
      </c>
    </row>
    <row r="1318" spans="1:4" x14ac:dyDescent="0.2">
      <c r="A1318" s="5">
        <v>1257</v>
      </c>
      <c r="B1318" s="138">
        <f>'Expenditures 15-22'!H174</f>
        <v>1860389</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147639</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1710000</v>
      </c>
      <c r="C1329" s="2" t="s">
        <v>594</v>
      </c>
      <c r="D1329" s="2" t="str">
        <f t="shared" si="19"/>
        <v>Error?</v>
      </c>
    </row>
    <row r="1330" spans="1:4" x14ac:dyDescent="0.2">
      <c r="A1330" s="5">
        <v>1269</v>
      </c>
      <c r="B1330" s="138">
        <f>'Expenditures 15-22'!K171</f>
        <v>2750</v>
      </c>
      <c r="C1330" s="2" t="s">
        <v>594</v>
      </c>
      <c r="D1330" s="2" t="str">
        <f t="shared" si="19"/>
        <v>Error?</v>
      </c>
    </row>
    <row r="1331" spans="1:4" x14ac:dyDescent="0.2">
      <c r="A1331" s="5">
        <v>1270</v>
      </c>
      <c r="B1331" s="138">
        <f>'Expenditures 15-22'!K172</f>
        <v>1860389</v>
      </c>
      <c r="C1331" s="2" t="s">
        <v>594</v>
      </c>
      <c r="D1331" s="2" t="str">
        <f t="shared" si="19"/>
        <v>Error?</v>
      </c>
    </row>
    <row r="1332" spans="1:4" x14ac:dyDescent="0.2">
      <c r="A1332" s="5">
        <v>1271</v>
      </c>
      <c r="B1332" s="138">
        <f>'Expenditures 15-22'!K174</f>
        <v>1860389</v>
      </c>
      <c r="C1332" s="2" t="s">
        <v>594</v>
      </c>
      <c r="D1332" s="2" t="str">
        <f t="shared" si="19"/>
        <v>Error?</v>
      </c>
    </row>
    <row r="1333" spans="1:4" x14ac:dyDescent="0.2">
      <c r="A1333" s="5">
        <v>1272</v>
      </c>
      <c r="B1333" s="138">
        <f>'Expenditures 15-22'!K175</f>
        <v>-137440</v>
      </c>
      <c r="C1333" s="2" t="s">
        <v>594</v>
      </c>
      <c r="D1333" s="2" t="str">
        <f t="shared" si="19"/>
        <v>Error?</v>
      </c>
    </row>
    <row r="1334" spans="1:4" x14ac:dyDescent="0.2">
      <c r="A1334" s="10">
        <v>1273</v>
      </c>
      <c r="D1334" s="2" t="str">
        <f t="shared" si="19"/>
        <v>OK</v>
      </c>
    </row>
    <row r="1335" spans="1:4" x14ac:dyDescent="0.2">
      <c r="A1335" s="5">
        <v>1274</v>
      </c>
      <c r="B1335" s="138">
        <f>'Expenditures 15-22'!C182</f>
        <v>805386</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805386</v>
      </c>
      <c r="C1339" s="2" t="s">
        <v>594</v>
      </c>
      <c r="D1339" s="2" t="str">
        <f t="shared" si="19"/>
        <v>Error?</v>
      </c>
    </row>
    <row r="1340" spans="1:4" x14ac:dyDescent="0.2">
      <c r="A1340" s="5">
        <v>1279</v>
      </c>
      <c r="B1340" s="138">
        <f>'Expenditures 15-22'!C210</f>
        <v>805386</v>
      </c>
      <c r="C1340" s="2" t="s">
        <v>594</v>
      </c>
      <c r="D1340" s="2" t="str">
        <f t="shared" si="19"/>
        <v>Error?</v>
      </c>
    </row>
    <row r="1341" spans="1:4" x14ac:dyDescent="0.2">
      <c r="A1341" s="5">
        <v>1280</v>
      </c>
      <c r="B1341" s="138">
        <f>'Expenditures 15-22'!D182</f>
        <v>254523</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254523</v>
      </c>
      <c r="C1345" s="2" t="s">
        <v>594</v>
      </c>
      <c r="D1345" s="2" t="str">
        <f t="shared" si="20"/>
        <v>Error?</v>
      </c>
    </row>
    <row r="1346" spans="1:4" x14ac:dyDescent="0.2">
      <c r="A1346" s="5">
        <v>1285</v>
      </c>
      <c r="B1346" s="138">
        <f>'Expenditures 15-22'!D210</f>
        <v>254523</v>
      </c>
      <c r="C1346" s="2" t="s">
        <v>594</v>
      </c>
      <c r="D1346" s="2" t="str">
        <f t="shared" si="20"/>
        <v>Error?</v>
      </c>
    </row>
    <row r="1347" spans="1:4" x14ac:dyDescent="0.2">
      <c r="A1347" s="5">
        <v>1286</v>
      </c>
      <c r="B1347" s="138">
        <f>'Expenditures 15-22'!E182</f>
        <v>577820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577820</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577820</v>
      </c>
      <c r="C1353" s="2" t="s">
        <v>594</v>
      </c>
      <c r="D1353" s="2" t="str">
        <f t="shared" si="20"/>
        <v>Error?</v>
      </c>
    </row>
    <row r="1354" spans="1:4" x14ac:dyDescent="0.2">
      <c r="A1354" s="5">
        <v>1293</v>
      </c>
      <c r="B1354" s="138">
        <f>'Expenditures 15-22'!F182</f>
        <v>147269</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147269</v>
      </c>
      <c r="C1358" s="2" t="s">
        <v>594</v>
      </c>
      <c r="D1358" s="2" t="str">
        <f t="shared" si="20"/>
        <v>Error?</v>
      </c>
    </row>
    <row r="1359" spans="1:4" x14ac:dyDescent="0.2">
      <c r="A1359" s="5">
        <v>1298</v>
      </c>
      <c r="B1359" s="138">
        <f>'Expenditures 15-22'!F210</f>
        <v>147269</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1055</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1055</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1055</v>
      </c>
      <c r="C1376" s="2" t="s">
        <v>594</v>
      </c>
      <c r="D1376" s="2" t="str">
        <f t="shared" si="20"/>
        <v>Error?</v>
      </c>
    </row>
    <row r="1377" spans="1:4" x14ac:dyDescent="0.2">
      <c r="A1377" s="5">
        <v>1316</v>
      </c>
      <c r="B1377" s="138">
        <f>'Expenditures 15-22'!K182</f>
        <v>1786053</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1786053</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1786053</v>
      </c>
      <c r="C1388" s="2" t="s">
        <v>594</v>
      </c>
      <c r="D1388" s="2" t="str">
        <f t="shared" si="20"/>
        <v>Error?</v>
      </c>
    </row>
    <row r="1389" spans="1:4" x14ac:dyDescent="0.2">
      <c r="A1389" s="5">
        <v>1328</v>
      </c>
      <c r="B1389" s="138">
        <f>'Expenditures 15-22'!K211</f>
        <v>-43966</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25979</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108985</v>
      </c>
      <c r="C1410" s="2" t="s">
        <v>594</v>
      </c>
      <c r="D1410" s="2" t="str">
        <f t="shared" si="21"/>
        <v>Error?</v>
      </c>
    </row>
    <row r="1411" spans="1:4" x14ac:dyDescent="0.2">
      <c r="A1411" s="5">
        <v>1350</v>
      </c>
      <c r="B1411" s="138">
        <f>'Expenditures 15-22'!D232</f>
        <v>1697</v>
      </c>
      <c r="D1411" s="2" t="str">
        <f t="shared" si="21"/>
        <v>Error?</v>
      </c>
    </row>
    <row r="1412" spans="1:4" x14ac:dyDescent="0.2">
      <c r="A1412" s="5">
        <v>1351</v>
      </c>
      <c r="B1412" s="138">
        <f>'Expenditures 15-22'!D233</f>
        <v>8905</v>
      </c>
      <c r="D1412" s="2" t="str">
        <f t="shared" si="21"/>
        <v>Error?</v>
      </c>
    </row>
    <row r="1413" spans="1:4" x14ac:dyDescent="0.2">
      <c r="A1413" s="5">
        <v>1352</v>
      </c>
      <c r="B1413" s="138">
        <f>'Expenditures 15-22'!D234</f>
        <v>7944</v>
      </c>
      <c r="D1413" s="2" t="str">
        <f t="shared" si="21"/>
        <v>Error?</v>
      </c>
    </row>
    <row r="1414" spans="1:4" x14ac:dyDescent="0.2">
      <c r="A1414" s="5">
        <v>1353</v>
      </c>
      <c r="B1414" s="138">
        <f>'Expenditures 15-22'!D235</f>
        <v>1819</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20365</v>
      </c>
      <c r="C1417" s="2" t="s">
        <v>594</v>
      </c>
      <c r="D1417" s="2" t="str">
        <f t="shared" si="21"/>
        <v>Error?</v>
      </c>
    </row>
    <row r="1418" spans="1:4" x14ac:dyDescent="0.2">
      <c r="A1418" s="5">
        <v>1357</v>
      </c>
      <c r="B1418" s="138">
        <f>'Expenditures 15-22'!D240</f>
        <v>50</v>
      </c>
      <c r="D1418" s="2" t="str">
        <f t="shared" si="21"/>
        <v>Error?</v>
      </c>
    </row>
    <row r="1419" spans="1:4" x14ac:dyDescent="0.2">
      <c r="A1419" s="5">
        <v>1358</v>
      </c>
      <c r="B1419" s="138">
        <f>'Expenditures 15-22'!D241</f>
        <v>6789</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6839</v>
      </c>
      <c r="C1421" s="2" t="s">
        <v>594</v>
      </c>
      <c r="D1421" s="2" t="str">
        <f t="shared" si="21"/>
        <v>Error?</v>
      </c>
    </row>
    <row r="1422" spans="1:4" x14ac:dyDescent="0.2">
      <c r="A1422" s="5">
        <v>1361</v>
      </c>
      <c r="B1422" s="138">
        <f>'Expenditures 15-22'!D245</f>
        <v>16</v>
      </c>
      <c r="D1422" s="2" t="str">
        <f t="shared" si="21"/>
        <v>Error?</v>
      </c>
    </row>
    <row r="1423" spans="1:4" x14ac:dyDescent="0.2">
      <c r="A1423" s="5">
        <v>1362</v>
      </c>
      <c r="B1423" s="138">
        <f>'Expenditures 15-22'!D246</f>
        <v>1005</v>
      </c>
      <c r="D1423" s="2" t="str">
        <f t="shared" si="21"/>
        <v>Error?</v>
      </c>
    </row>
    <row r="1424" spans="1:4" x14ac:dyDescent="0.2">
      <c r="A1424" s="5">
        <v>1363</v>
      </c>
      <c r="B1424" s="138">
        <f>'Expenditures 15-22'!D257</f>
        <v>1021</v>
      </c>
      <c r="C1424" s="2" t="s">
        <v>594</v>
      </c>
      <c r="D1424" s="2" t="str">
        <f t="shared" si="21"/>
        <v>Error?</v>
      </c>
    </row>
    <row r="1425" spans="1:4" x14ac:dyDescent="0.2">
      <c r="A1425" s="5">
        <v>1364</v>
      </c>
      <c r="B1425" s="138">
        <f>'Expenditures 15-22'!D259</f>
        <v>16773</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16773</v>
      </c>
      <c r="C1427" s="2" t="s">
        <v>594</v>
      </c>
      <c r="D1427" s="2" t="str">
        <f t="shared" si="21"/>
        <v>Error?</v>
      </c>
    </row>
    <row r="1428" spans="1:4" x14ac:dyDescent="0.2">
      <c r="A1428" s="5">
        <v>1367</v>
      </c>
      <c r="B1428" s="138">
        <f>'Expenditures 15-22'!D263</f>
        <v>1523</v>
      </c>
      <c r="D1428" s="2" t="str">
        <f t="shared" si="21"/>
        <v>Error?</v>
      </c>
    </row>
    <row r="1429" spans="1:4" x14ac:dyDescent="0.2">
      <c r="A1429" s="5">
        <v>1368</v>
      </c>
      <c r="B1429" s="138">
        <f>'Expenditures 15-22'!D264</f>
        <v>6886</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36169</v>
      </c>
      <c r="D1431" s="2" t="str">
        <f t="shared" si="21"/>
        <v>Error?</v>
      </c>
    </row>
    <row r="1432" spans="1:4" x14ac:dyDescent="0.2">
      <c r="A1432" s="5">
        <v>1371</v>
      </c>
      <c r="B1432" s="138">
        <f>'Expenditures 15-22'!D267</f>
        <v>148739</v>
      </c>
      <c r="D1432" s="2" t="str">
        <f t="shared" si="21"/>
        <v>Error?</v>
      </c>
    </row>
    <row r="1433" spans="1:4" x14ac:dyDescent="0.2">
      <c r="A1433" s="5">
        <v>1372</v>
      </c>
      <c r="B1433" s="138">
        <f>'Expenditures 15-22'!D268</f>
        <v>3312</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196629</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22995</v>
      </c>
      <c r="D1442" s="2" t="str">
        <f t="shared" si="21"/>
        <v>Error?</v>
      </c>
    </row>
    <row r="1443" spans="1:4" x14ac:dyDescent="0.2">
      <c r="A1443" s="10">
        <v>1382</v>
      </c>
      <c r="D1443" s="2" t="str">
        <f t="shared" si="21"/>
        <v>OK</v>
      </c>
    </row>
    <row r="1444" spans="1:4" x14ac:dyDescent="0.2">
      <c r="A1444" s="5">
        <v>1383</v>
      </c>
      <c r="B1444" s="138">
        <f>'Expenditures 15-22'!D277</f>
        <v>22995</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264622</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373607</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25979</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108985</v>
      </c>
      <c r="C1474" s="2" t="s">
        <v>594</v>
      </c>
      <c r="D1474" s="2" t="str">
        <f t="shared" si="22"/>
        <v>Error?</v>
      </c>
    </row>
    <row r="1475" spans="1:4" x14ac:dyDescent="0.2">
      <c r="A1475" s="5">
        <v>1414</v>
      </c>
      <c r="B1475" s="138">
        <f>'Expenditures 15-22'!K232</f>
        <v>1697</v>
      </c>
      <c r="C1475" s="2" t="s">
        <v>594</v>
      </c>
      <c r="D1475" s="2" t="str">
        <f t="shared" si="22"/>
        <v>Error?</v>
      </c>
    </row>
    <row r="1476" spans="1:4" x14ac:dyDescent="0.2">
      <c r="A1476" s="5">
        <v>1415</v>
      </c>
      <c r="B1476" s="138">
        <f>'Expenditures 15-22'!K233</f>
        <v>8905</v>
      </c>
      <c r="C1476" s="2" t="s">
        <v>594</v>
      </c>
      <c r="D1476" s="2" t="str">
        <f t="shared" si="22"/>
        <v>Error?</v>
      </c>
    </row>
    <row r="1477" spans="1:4" x14ac:dyDescent="0.2">
      <c r="A1477" s="5">
        <v>1416</v>
      </c>
      <c r="B1477" s="138">
        <f>'Expenditures 15-22'!K234</f>
        <v>7944</v>
      </c>
      <c r="C1477" s="2" t="s">
        <v>594</v>
      </c>
      <c r="D1477" s="2" t="str">
        <f t="shared" si="22"/>
        <v>Error?</v>
      </c>
    </row>
    <row r="1478" spans="1:4" x14ac:dyDescent="0.2">
      <c r="A1478" s="5">
        <v>1417</v>
      </c>
      <c r="B1478" s="138">
        <f>'Expenditures 15-22'!K235</f>
        <v>1819</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20365</v>
      </c>
      <c r="C1481" s="2" t="s">
        <v>594</v>
      </c>
      <c r="D1481" s="2" t="str">
        <f t="shared" si="22"/>
        <v>Error?</v>
      </c>
    </row>
    <row r="1482" spans="1:4" x14ac:dyDescent="0.2">
      <c r="A1482" s="5">
        <v>1421</v>
      </c>
      <c r="B1482" s="138">
        <f>'Expenditures 15-22'!K240</f>
        <v>50</v>
      </c>
      <c r="C1482" s="2" t="s">
        <v>594</v>
      </c>
      <c r="D1482" s="2" t="str">
        <f t="shared" si="22"/>
        <v>Error?</v>
      </c>
    </row>
    <row r="1483" spans="1:4" x14ac:dyDescent="0.2">
      <c r="A1483" s="5">
        <v>1422</v>
      </c>
      <c r="B1483" s="138">
        <f>'Expenditures 15-22'!K241</f>
        <v>6789</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6839</v>
      </c>
      <c r="C1485" s="2" t="s">
        <v>594</v>
      </c>
      <c r="D1485" s="2" t="str">
        <f t="shared" si="22"/>
        <v>Error?</v>
      </c>
    </row>
    <row r="1486" spans="1:4" x14ac:dyDescent="0.2">
      <c r="A1486" s="5">
        <v>1425</v>
      </c>
      <c r="B1486" s="138">
        <f>'Expenditures 15-22'!K245</f>
        <v>16</v>
      </c>
      <c r="C1486" s="2" t="s">
        <v>594</v>
      </c>
      <c r="D1486" s="2" t="str">
        <f t="shared" si="22"/>
        <v>Error?</v>
      </c>
    </row>
    <row r="1487" spans="1:4" x14ac:dyDescent="0.2">
      <c r="A1487" s="5">
        <v>1426</v>
      </c>
      <c r="B1487" s="138">
        <f>'Expenditures 15-22'!K246</f>
        <v>1005</v>
      </c>
      <c r="C1487" s="2" t="s">
        <v>594</v>
      </c>
      <c r="D1487" s="2" t="str">
        <f t="shared" si="22"/>
        <v>Error?</v>
      </c>
    </row>
    <row r="1488" spans="1:4" x14ac:dyDescent="0.2">
      <c r="A1488" s="5">
        <v>1427</v>
      </c>
      <c r="B1488" s="138">
        <f>'Expenditures 15-22'!K257</f>
        <v>1021</v>
      </c>
      <c r="C1488" s="2" t="s">
        <v>594</v>
      </c>
      <c r="D1488" s="2" t="str">
        <f t="shared" si="22"/>
        <v>Error?</v>
      </c>
    </row>
    <row r="1489" spans="1:4" x14ac:dyDescent="0.2">
      <c r="A1489" s="5">
        <v>1428</v>
      </c>
      <c r="B1489" s="138">
        <f>'Expenditures 15-22'!K259</f>
        <v>16773</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16773</v>
      </c>
      <c r="C1491" s="2" t="s">
        <v>594</v>
      </c>
      <c r="D1491" s="2" t="str">
        <f t="shared" si="22"/>
        <v>Error?</v>
      </c>
    </row>
    <row r="1492" spans="1:4" x14ac:dyDescent="0.2">
      <c r="A1492" s="5">
        <v>1431</v>
      </c>
      <c r="B1492" s="138">
        <f>'Expenditures 15-22'!K263</f>
        <v>1523</v>
      </c>
      <c r="C1492" s="2" t="s">
        <v>594</v>
      </c>
      <c r="D1492" s="2" t="str">
        <f t="shared" si="22"/>
        <v>Error?</v>
      </c>
    </row>
    <row r="1493" spans="1:4" x14ac:dyDescent="0.2">
      <c r="A1493" s="5">
        <v>1432</v>
      </c>
      <c r="B1493" s="138">
        <f>'Expenditures 15-22'!K264</f>
        <v>6886</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36169</v>
      </c>
      <c r="C1495" s="2" t="s">
        <v>594</v>
      </c>
      <c r="D1495" s="2" t="str">
        <f t="shared" si="22"/>
        <v>Error?</v>
      </c>
    </row>
    <row r="1496" spans="1:4" x14ac:dyDescent="0.2">
      <c r="A1496" s="5">
        <v>1435</v>
      </c>
      <c r="B1496" s="138">
        <f>'Expenditures 15-22'!K267</f>
        <v>148739</v>
      </c>
      <c r="C1496" s="2" t="s">
        <v>594</v>
      </c>
      <c r="D1496" s="2" t="str">
        <f t="shared" si="22"/>
        <v>Error?</v>
      </c>
    </row>
    <row r="1497" spans="1:4" x14ac:dyDescent="0.2">
      <c r="A1497" s="5">
        <v>1436</v>
      </c>
      <c r="B1497" s="138">
        <f>'Expenditures 15-22'!K268</f>
        <v>3312</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196629</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22995</v>
      </c>
      <c r="C1506" s="2" t="s">
        <v>594</v>
      </c>
      <c r="D1506" s="2" t="str">
        <f t="shared" si="22"/>
        <v>Error?</v>
      </c>
    </row>
    <row r="1507" spans="1:4" x14ac:dyDescent="0.2">
      <c r="A1507" s="10">
        <v>1446</v>
      </c>
      <c r="D1507" s="2" t="str">
        <f t="shared" si="22"/>
        <v>OK</v>
      </c>
    </row>
    <row r="1508" spans="1:4" x14ac:dyDescent="0.2">
      <c r="A1508" s="5">
        <v>1447</v>
      </c>
      <c r="B1508" s="138">
        <f>'Expenditures 15-22'!K277</f>
        <v>22995</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264622</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373607</v>
      </c>
      <c r="C1517" s="2" t="s">
        <v>594</v>
      </c>
      <c r="D1517" s="2" t="str">
        <f t="shared" si="22"/>
        <v>Error?</v>
      </c>
    </row>
    <row r="1518" spans="1:4" x14ac:dyDescent="0.2">
      <c r="A1518" s="5">
        <v>1457</v>
      </c>
      <c r="B1518" s="138">
        <f>'Expenditures 15-22'!K296</f>
        <v>20513</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12066</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11684496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13645910</v>
      </c>
      <c r="C1630" s="2" t="s">
        <v>594</v>
      </c>
      <c r="D1630" s="2" t="str">
        <f t="shared" si="24"/>
        <v>Error?</v>
      </c>
    </row>
    <row r="1631" spans="1:4" x14ac:dyDescent="0.2">
      <c r="A1631" s="5">
        <v>1570</v>
      </c>
      <c r="B1631" s="138">
        <f>'Acct Summary 7-8'!D79</f>
        <v>1361369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1541678</v>
      </c>
      <c r="C1644" s="2" t="s">
        <v>594</v>
      </c>
      <c r="D1644" s="2" t="str">
        <f t="shared" si="24"/>
        <v>Error?</v>
      </c>
    </row>
    <row r="1645" spans="1:4" x14ac:dyDescent="0.2">
      <c r="A1645" s="5">
        <v>1584</v>
      </c>
      <c r="B1645" s="138">
        <f>'Acct Summary 7-8'!E79</f>
        <v>11962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61522</v>
      </c>
      <c r="C1658" s="2" t="s">
        <v>594</v>
      </c>
      <c r="D1658" s="2" t="str">
        <f t="shared" si="24"/>
        <v>Error?</v>
      </c>
    </row>
    <row r="1659" spans="1:4" x14ac:dyDescent="0.2">
      <c r="A1659" s="5">
        <v>1598</v>
      </c>
      <c r="B1659" s="138">
        <f>'Acct Summary 7-8'!F79</f>
        <v>847413</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803447</v>
      </c>
      <c r="C1672" s="2" t="s">
        <v>594</v>
      </c>
      <c r="D1672" s="2" t="str">
        <f t="shared" si="25"/>
        <v>Error?</v>
      </c>
    </row>
    <row r="1673" spans="1:4" x14ac:dyDescent="0.2">
      <c r="A1673" s="5">
        <v>1612</v>
      </c>
      <c r="B1673" s="138">
        <f>'Acct Summary 7-8'!G79</f>
        <v>657830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678343</v>
      </c>
      <c r="C1686" s="2" t="s">
        <v>594</v>
      </c>
      <c r="D1686" s="2" t="str">
        <f t="shared" si="25"/>
        <v>Error?</v>
      </c>
    </row>
    <row r="1687" spans="1:4" x14ac:dyDescent="0.2">
      <c r="A1687" s="5">
        <v>1626</v>
      </c>
      <c r="B1687" s="138">
        <f>'Acct Summary 7-8'!H79</f>
        <v>157668</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169734</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7658787</v>
      </c>
      <c r="C1744" s="2" t="s">
        <v>594</v>
      </c>
      <c r="D1744" s="2" t="str">
        <f t="shared" si="26"/>
        <v>Error?</v>
      </c>
    </row>
    <row r="1745" spans="1:5" x14ac:dyDescent="0.2">
      <c r="A1745" s="5">
        <v>1684</v>
      </c>
      <c r="B1745" s="138">
        <f>'Tax Sched 23'!B5</f>
        <v>1584669</v>
      </c>
      <c r="C1745" s="2" t="s">
        <v>594</v>
      </c>
      <c r="D1745" s="2" t="str">
        <f t="shared" si="26"/>
        <v>Error?</v>
      </c>
    </row>
    <row r="1746" spans="1:5" x14ac:dyDescent="0.2">
      <c r="A1746" s="5">
        <v>1685</v>
      </c>
      <c r="B1746" s="138">
        <f>'Tax Sched 23'!B6</f>
        <v>1722106</v>
      </c>
      <c r="C1746" s="2" t="s">
        <v>594</v>
      </c>
      <c r="D1746" s="2" t="str">
        <f t="shared" si="26"/>
        <v>Error?</v>
      </c>
    </row>
    <row r="1747" spans="1:5" x14ac:dyDescent="0.2">
      <c r="A1747" s="5">
        <v>1686</v>
      </c>
      <c r="B1747" s="138">
        <f>'Tax Sched 23'!B7</f>
        <v>510110</v>
      </c>
      <c r="C1747" s="2" t="s">
        <v>594</v>
      </c>
      <c r="D1747" s="2" t="str">
        <f t="shared" si="26"/>
        <v>Error?</v>
      </c>
    </row>
    <row r="1748" spans="1:5" x14ac:dyDescent="0.2">
      <c r="A1748" s="5">
        <v>1687</v>
      </c>
      <c r="B1748" s="138">
        <f>'Tax Sched 23'!B8</f>
        <v>118956</v>
      </c>
      <c r="C1748" s="2" t="s">
        <v>594</v>
      </c>
      <c r="D1748" s="2" t="str">
        <f t="shared" si="26"/>
        <v>Error?</v>
      </c>
    </row>
    <row r="1749" spans="1:5" x14ac:dyDescent="0.2">
      <c r="A1749" s="5">
        <v>1688</v>
      </c>
      <c r="B1749" s="138">
        <f>'Tax Sched 23'!B10</f>
        <v>157870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0</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105928</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12001191</v>
      </c>
      <c r="C1759" s="2" t="s">
        <v>594</v>
      </c>
      <c r="D1759" s="2" t="str">
        <f t="shared" si="26"/>
        <v>Error?</v>
      </c>
    </row>
    <row r="1760" spans="1:5" x14ac:dyDescent="0.2">
      <c r="A1760" s="5">
        <v>1699</v>
      </c>
      <c r="B1760" s="138">
        <f>'Tax Sched 23'!D4</f>
        <v>3593370</v>
      </c>
      <c r="C1760" s="2" t="s">
        <v>594</v>
      </c>
      <c r="D1760" s="2" t="str">
        <f t="shared" si="26"/>
        <v>Error?</v>
      </c>
    </row>
    <row r="1761" spans="1:5" x14ac:dyDescent="0.2">
      <c r="A1761" s="5">
        <v>1700</v>
      </c>
      <c r="B1761" s="138">
        <f>'Tax Sched 23'!D5</f>
        <v>692967</v>
      </c>
      <c r="C1761" s="2" t="s">
        <v>594</v>
      </c>
      <c r="D1761" s="2" t="str">
        <f t="shared" si="26"/>
        <v>Error?</v>
      </c>
    </row>
    <row r="1762" spans="1:5" s="8" customFormat="1" x14ac:dyDescent="0.2">
      <c r="A1762" s="5">
        <v>1701</v>
      </c>
      <c r="B1762" s="138">
        <f>'Tax Sched 23'!D6</f>
        <v>807773</v>
      </c>
      <c r="C1762" s="2" t="s">
        <v>594</v>
      </c>
      <c r="D1762" s="2" t="str">
        <f t="shared" si="26"/>
        <v>Error?</v>
      </c>
      <c r="E1762" s="9"/>
    </row>
    <row r="1763" spans="1:5" x14ac:dyDescent="0.2">
      <c r="A1763" s="5">
        <v>1702</v>
      </c>
      <c r="B1763" s="138">
        <f>'Tax Sched 23'!D7</f>
        <v>235739</v>
      </c>
      <c r="C1763" s="2" t="s">
        <v>594</v>
      </c>
      <c r="D1763" s="2" t="str">
        <f t="shared" si="26"/>
        <v>Error?</v>
      </c>
    </row>
    <row r="1764" spans="1:5" x14ac:dyDescent="0.2">
      <c r="A1764" s="5">
        <v>1703</v>
      </c>
      <c r="B1764" s="138">
        <f>'Tax Sched 23'!D8</f>
        <v>66192</v>
      </c>
      <c r="C1764" s="2" t="s">
        <v>594</v>
      </c>
      <c r="D1764" s="2" t="str">
        <f t="shared" si="26"/>
        <v>Error?</v>
      </c>
    </row>
    <row r="1765" spans="1:5" x14ac:dyDescent="0.2">
      <c r="A1765" s="5">
        <v>1704</v>
      </c>
      <c r="B1765" s="138">
        <f>'Tax Sched 23'!D10</f>
        <v>70809</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0</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45249</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5602100</v>
      </c>
      <c r="C1775" s="2" t="s">
        <v>594</v>
      </c>
      <c r="D1775" s="2" t="str">
        <f t="shared" si="26"/>
        <v>Error?</v>
      </c>
    </row>
    <row r="1776" spans="1:5" x14ac:dyDescent="0.2">
      <c r="A1776" s="5">
        <v>1715</v>
      </c>
      <c r="B1776" s="138">
        <f>'Tax Sched 23'!C4</f>
        <v>4065417</v>
      </c>
      <c r="D1776" s="2" t="str">
        <f t="shared" si="26"/>
        <v>Error?</v>
      </c>
    </row>
    <row r="1777" spans="1:4" x14ac:dyDescent="0.2">
      <c r="A1777" s="5">
        <v>1716</v>
      </c>
      <c r="B1777" s="138">
        <f>'Tax Sched 23'!C5</f>
        <v>891702</v>
      </c>
      <c r="D1777" s="2" t="str">
        <f t="shared" si="26"/>
        <v>Error?</v>
      </c>
    </row>
    <row r="1778" spans="1:4" x14ac:dyDescent="0.2">
      <c r="A1778" s="5">
        <v>1717</v>
      </c>
      <c r="B1778" s="138">
        <f>'Tax Sched 23'!C6</f>
        <v>914333</v>
      </c>
      <c r="D1778" s="2" t="str">
        <f t="shared" si="26"/>
        <v>Error?</v>
      </c>
    </row>
    <row r="1779" spans="1:4" x14ac:dyDescent="0.2">
      <c r="A1779" s="5">
        <v>1718</v>
      </c>
      <c r="B1779" s="138">
        <f>'Tax Sched 23'!C7</f>
        <v>274371</v>
      </c>
      <c r="D1779" s="2" t="str">
        <f t="shared" si="26"/>
        <v>Error?</v>
      </c>
    </row>
    <row r="1780" spans="1:4" x14ac:dyDescent="0.2">
      <c r="A1780" s="5">
        <v>1719</v>
      </c>
      <c r="B1780" s="138">
        <f>'Tax Sched 23'!C8</f>
        <v>52764</v>
      </c>
      <c r="D1780" s="2" t="str">
        <f t="shared" si="26"/>
        <v>Error?</v>
      </c>
    </row>
    <row r="1781" spans="1:4" x14ac:dyDescent="0.2">
      <c r="A1781" s="5">
        <v>1720</v>
      </c>
      <c r="B1781" s="138">
        <f>'Tax Sched 23'!C10</f>
        <v>87061</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60679</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6399091</v>
      </c>
      <c r="C1791" s="2" t="s">
        <v>594</v>
      </c>
      <c r="D1791" s="2" t="str">
        <f t="shared" ref="D1791:D1854" si="27">IF(ISBLANK(B1791),"OK",IF(A1791-B1791=0,"OK","Error?"))</f>
        <v>Error?</v>
      </c>
    </row>
    <row r="1792" spans="1:4" x14ac:dyDescent="0.2">
      <c r="A1792" s="5">
        <v>1731</v>
      </c>
      <c r="B1792" s="138">
        <f>'Tax Sched 23'!F4</f>
        <v>3479307</v>
      </c>
      <c r="C1792" s="2" t="s">
        <v>594</v>
      </c>
      <c r="D1792" s="2" t="str">
        <f t="shared" si="27"/>
        <v>Error?</v>
      </c>
    </row>
    <row r="1793" spans="1:4" x14ac:dyDescent="0.2">
      <c r="A1793" s="5">
        <v>1732</v>
      </c>
      <c r="B1793" s="138">
        <f>'Tax Sched 23'!F5</f>
        <v>763145</v>
      </c>
      <c r="C1793" s="2" t="s">
        <v>594</v>
      </c>
      <c r="D1793" s="2" t="str">
        <f t="shared" si="27"/>
        <v>Error?</v>
      </c>
    </row>
    <row r="1794" spans="1:4" x14ac:dyDescent="0.2">
      <c r="A1794" s="5">
        <v>1733</v>
      </c>
      <c r="B1794" s="138">
        <f>'Tax Sched 23'!F6</f>
        <v>782514</v>
      </c>
      <c r="C1794" s="2" t="s">
        <v>594</v>
      </c>
      <c r="D1794" s="2" t="str">
        <f t="shared" si="27"/>
        <v>Error?</v>
      </c>
    </row>
    <row r="1795" spans="1:4" x14ac:dyDescent="0.2">
      <c r="A1795" s="5">
        <v>1734</v>
      </c>
      <c r="B1795" s="138">
        <f>'Tax Sched 23'!F7</f>
        <v>234815</v>
      </c>
      <c r="C1795" s="2" t="s">
        <v>594</v>
      </c>
      <c r="D1795" s="2" t="str">
        <f t="shared" si="27"/>
        <v>Error?</v>
      </c>
    </row>
    <row r="1796" spans="1:4" x14ac:dyDescent="0.2">
      <c r="A1796" s="5">
        <v>1735</v>
      </c>
      <c r="B1796" s="138">
        <f>'Tax Sched 23'!F8</f>
        <v>45158</v>
      </c>
      <c r="C1796" s="2" t="s">
        <v>594</v>
      </c>
      <c r="D1796" s="2" t="str">
        <f t="shared" si="27"/>
        <v>Error?</v>
      </c>
    </row>
    <row r="1797" spans="1:4" x14ac:dyDescent="0.2">
      <c r="A1797" s="5">
        <v>1736</v>
      </c>
      <c r="B1797" s="138">
        <f>'Tax Sched 23'!F10</f>
        <v>74509</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0</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51932</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5476538</v>
      </c>
      <c r="C1807" s="2" t="s">
        <v>594</v>
      </c>
      <c r="D1807" s="2" t="str">
        <f t="shared" si="27"/>
        <v>Error?</v>
      </c>
    </row>
    <row r="1808" spans="1:4" x14ac:dyDescent="0.2">
      <c r="A1808" s="5">
        <v>1747</v>
      </c>
      <c r="B1808" s="138">
        <f>'Tax Sched 23'!E4</f>
        <v>7544724</v>
      </c>
      <c r="D1808" s="2" t="str">
        <f t="shared" si="27"/>
        <v>Error?</v>
      </c>
    </row>
    <row r="1809" spans="1:4" x14ac:dyDescent="0.2">
      <c r="A1809" s="5">
        <v>1748</v>
      </c>
      <c r="B1809" s="138">
        <f>'Tax Sched 23'!E5</f>
        <v>1654847</v>
      </c>
      <c r="D1809" s="2" t="str">
        <f t="shared" si="27"/>
        <v>Error?</v>
      </c>
    </row>
    <row r="1810" spans="1:4" x14ac:dyDescent="0.2">
      <c r="A1810" s="5">
        <v>1749</v>
      </c>
      <c r="B1810" s="138">
        <f>'Tax Sched 23'!E6</f>
        <v>1696847</v>
      </c>
      <c r="D1810" s="2" t="str">
        <f t="shared" si="27"/>
        <v>Error?</v>
      </c>
    </row>
    <row r="1811" spans="1:4" x14ac:dyDescent="0.2">
      <c r="A1811" s="5">
        <v>1750</v>
      </c>
      <c r="B1811" s="138">
        <f>'Tax Sched 23'!E7</f>
        <v>509186</v>
      </c>
      <c r="D1811" s="2" t="str">
        <f t="shared" si="27"/>
        <v>Error?</v>
      </c>
    </row>
    <row r="1812" spans="1:4" x14ac:dyDescent="0.2">
      <c r="A1812" s="5">
        <v>1751</v>
      </c>
      <c r="B1812" s="138">
        <f>'Tax Sched 23'!E8</f>
        <v>97922</v>
      </c>
      <c r="D1812" s="2" t="str">
        <f t="shared" si="27"/>
        <v>Error?</v>
      </c>
    </row>
    <row r="1813" spans="1:4" x14ac:dyDescent="0.2">
      <c r="A1813" s="5">
        <v>1752</v>
      </c>
      <c r="B1813" s="138">
        <f>'Tax Sched 23'!E10</f>
        <v>161570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112611</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11875629</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5845000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105928</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105928</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105928</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81500</v>
      </c>
      <c r="D2008" s="2" t="str">
        <f t="shared" si="30"/>
        <v>Error?</v>
      </c>
    </row>
    <row r="2009" spans="1:4" x14ac:dyDescent="0.2">
      <c r="A2009" s="5">
        <v>1948</v>
      </c>
      <c r="B2009" s="138">
        <f>'Cap Outlay Deprec 26'!C8</f>
        <v>25400475</v>
      </c>
      <c r="D2009" s="2" t="str">
        <f t="shared" si="30"/>
        <v>Error?</v>
      </c>
    </row>
    <row r="2010" spans="1:4" x14ac:dyDescent="0.2">
      <c r="A2010" s="5">
        <v>1949</v>
      </c>
      <c r="B2010" s="138">
        <f>'Cap Outlay Deprec 26'!C10</f>
        <v>1376101</v>
      </c>
      <c r="D2010" s="2" t="str">
        <f t="shared" si="30"/>
        <v>Error?</v>
      </c>
    </row>
    <row r="2011" spans="1:4" x14ac:dyDescent="0.2">
      <c r="A2011" s="5">
        <v>1950</v>
      </c>
      <c r="B2011" s="138">
        <f>'Cap Outlay Deprec 26'!C12</f>
        <v>4990112</v>
      </c>
      <c r="D2011" s="2" t="str">
        <f t="shared" si="30"/>
        <v>Error?</v>
      </c>
    </row>
    <row r="2012" spans="1:4" x14ac:dyDescent="0.2">
      <c r="A2012" s="5">
        <v>1951</v>
      </c>
      <c r="B2012" s="138">
        <f>'Cap Outlay Deprec 26'!C13</f>
        <v>181510</v>
      </c>
      <c r="D2012" s="2" t="str">
        <f t="shared" si="30"/>
        <v>Error?</v>
      </c>
    </row>
    <row r="2013" spans="1:4" x14ac:dyDescent="0.2">
      <c r="A2013" s="5">
        <v>1952</v>
      </c>
      <c r="B2013" s="138">
        <f>'Cap Outlay Deprec 26'!C16</f>
        <v>32029698</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3421</v>
      </c>
      <c r="D2015" s="2" t="str">
        <f t="shared" si="30"/>
        <v>Error?</v>
      </c>
    </row>
    <row r="2016" spans="1:4" x14ac:dyDescent="0.2">
      <c r="A2016" s="5">
        <v>1955</v>
      </c>
      <c r="B2016" s="138">
        <f>'Cap Outlay Deprec 26'!D10</f>
        <v>152125</v>
      </c>
      <c r="D2016" s="2" t="str">
        <f t="shared" si="30"/>
        <v>Error?</v>
      </c>
    </row>
    <row r="2017" spans="1:4" x14ac:dyDescent="0.2">
      <c r="A2017" s="5">
        <v>1956</v>
      </c>
      <c r="B2017" s="138">
        <f>'Cap Outlay Deprec 26'!D12</f>
        <v>109184</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264730</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81500</v>
      </c>
      <c r="C2026" s="2" t="s">
        <v>594</v>
      </c>
      <c r="D2026" s="2" t="str">
        <f t="shared" si="30"/>
        <v>Error?</v>
      </c>
    </row>
    <row r="2027" spans="1:4" x14ac:dyDescent="0.2">
      <c r="A2027" s="5">
        <v>1966</v>
      </c>
      <c r="B2027" s="138">
        <f>'Cap Outlay Deprec 26'!F8</f>
        <v>25403896</v>
      </c>
      <c r="C2027" s="2" t="s">
        <v>594</v>
      </c>
      <c r="D2027" s="2" t="str">
        <f t="shared" si="30"/>
        <v>Error?</v>
      </c>
    </row>
    <row r="2028" spans="1:4" x14ac:dyDescent="0.2">
      <c r="A2028" s="5">
        <v>1967</v>
      </c>
      <c r="B2028" s="138">
        <f>'Cap Outlay Deprec 26'!F10</f>
        <v>1528226</v>
      </c>
      <c r="C2028" s="2" t="s">
        <v>594</v>
      </c>
      <c r="D2028" s="2" t="str">
        <f t="shared" si="30"/>
        <v>Error?</v>
      </c>
    </row>
    <row r="2029" spans="1:4" x14ac:dyDescent="0.2">
      <c r="A2029" s="5">
        <v>1968</v>
      </c>
      <c r="B2029" s="138">
        <f>'Cap Outlay Deprec 26'!F12</f>
        <v>5099296</v>
      </c>
      <c r="C2029" s="2" t="s">
        <v>594</v>
      </c>
      <c r="D2029" s="2" t="str">
        <f t="shared" si="30"/>
        <v>Error?</v>
      </c>
    </row>
    <row r="2030" spans="1:4" x14ac:dyDescent="0.2">
      <c r="A2030" s="5">
        <v>1969</v>
      </c>
      <c r="B2030" s="138">
        <f>'Cap Outlay Deprec 26'!F13</f>
        <v>181510</v>
      </c>
      <c r="C2030" s="2" t="s">
        <v>594</v>
      </c>
      <c r="D2030" s="2" t="str">
        <f t="shared" si="30"/>
        <v>Error?</v>
      </c>
    </row>
    <row r="2031" spans="1:4" x14ac:dyDescent="0.2">
      <c r="A2031" s="5">
        <v>1970</v>
      </c>
      <c r="B2031" s="138">
        <f>'Cap Outlay Deprec 26'!F16</f>
        <v>32294428</v>
      </c>
      <c r="C2031" s="2" t="s">
        <v>594</v>
      </c>
      <c r="D2031" s="2" t="str">
        <f t="shared" si="30"/>
        <v>Error?</v>
      </c>
    </row>
    <row r="2032" spans="1:4" x14ac:dyDescent="0.2">
      <c r="A2032" s="10">
        <v>1971</v>
      </c>
      <c r="D2032" s="2" t="str">
        <f t="shared" si="30"/>
        <v>OK</v>
      </c>
    </row>
    <row r="2033" spans="1:4" x14ac:dyDescent="0.2">
      <c r="A2033" s="5">
        <v>1972</v>
      </c>
      <c r="B2033" s="138">
        <f>'Cap Outlay Deprec 26'!H8</f>
        <v>6696855</v>
      </c>
      <c r="D2033" s="2" t="str">
        <f t="shared" si="30"/>
        <v>Error?</v>
      </c>
    </row>
    <row r="2034" spans="1:4" x14ac:dyDescent="0.2">
      <c r="A2034" s="5">
        <v>1973</v>
      </c>
      <c r="B2034" s="138">
        <f>'Cap Outlay Deprec 26'!H10</f>
        <v>742109</v>
      </c>
      <c r="D2034" s="2" t="str">
        <f t="shared" si="30"/>
        <v>Error?</v>
      </c>
    </row>
    <row r="2035" spans="1:4" x14ac:dyDescent="0.2">
      <c r="A2035" s="5">
        <v>1974</v>
      </c>
      <c r="B2035" s="138">
        <f>'Cap Outlay Deprec 26'!H12</f>
        <v>4342334</v>
      </c>
      <c r="D2035" s="2" t="str">
        <f t="shared" si="30"/>
        <v>Error?</v>
      </c>
    </row>
    <row r="2036" spans="1:4" x14ac:dyDescent="0.2">
      <c r="A2036" s="5">
        <v>1975</v>
      </c>
      <c r="B2036" s="138">
        <f>'Cap Outlay Deprec 26'!H13</f>
        <v>99485</v>
      </c>
      <c r="D2036" s="2" t="str">
        <f t="shared" si="30"/>
        <v>Error?</v>
      </c>
    </row>
    <row r="2037" spans="1:4" x14ac:dyDescent="0.2">
      <c r="A2037" s="5">
        <v>1976</v>
      </c>
      <c r="B2037" s="138">
        <f>'Cap Outlay Deprec 26'!H16</f>
        <v>11880783</v>
      </c>
      <c r="C2037" s="2" t="s">
        <v>594</v>
      </c>
      <c r="D2037" s="2" t="str">
        <f t="shared" si="30"/>
        <v>Error?</v>
      </c>
    </row>
    <row r="2038" spans="1:4" x14ac:dyDescent="0.2">
      <c r="A2038" s="10">
        <v>1977</v>
      </c>
      <c r="D2038" s="2" t="str">
        <f t="shared" si="30"/>
        <v>OK</v>
      </c>
    </row>
    <row r="2039" spans="1:4" x14ac:dyDescent="0.2">
      <c r="A2039" s="5">
        <v>1978</v>
      </c>
      <c r="B2039" s="138">
        <f>'Cap Outlay Deprec 26'!I8</f>
        <v>508181</v>
      </c>
      <c r="D2039" s="2" t="str">
        <f t="shared" si="30"/>
        <v>Error?</v>
      </c>
    </row>
    <row r="2040" spans="1:4" x14ac:dyDescent="0.2">
      <c r="A2040" s="5">
        <v>1979</v>
      </c>
      <c r="B2040" s="138">
        <f>'Cap Outlay Deprec 26'!I10</f>
        <v>76244</v>
      </c>
      <c r="D2040" s="2" t="str">
        <f t="shared" si="30"/>
        <v>Error?</v>
      </c>
    </row>
    <row r="2041" spans="1:4" x14ac:dyDescent="0.2">
      <c r="A2041" s="5">
        <v>1980</v>
      </c>
      <c r="B2041" s="138">
        <f>'Cap Outlay Deprec 26'!I12</f>
        <v>153179</v>
      </c>
      <c r="D2041" s="2" t="str">
        <f t="shared" si="30"/>
        <v>Error?</v>
      </c>
    </row>
    <row r="2042" spans="1:4" x14ac:dyDescent="0.2">
      <c r="A2042" s="5">
        <v>1981</v>
      </c>
      <c r="B2042" s="138">
        <f>'Cap Outlay Deprec 26'!I13</f>
        <v>24002</v>
      </c>
      <c r="D2042" s="2" t="str">
        <f t="shared" si="30"/>
        <v>Error?</v>
      </c>
    </row>
    <row r="2043" spans="1:4" x14ac:dyDescent="0.2">
      <c r="A2043" s="5">
        <v>1982</v>
      </c>
      <c r="B2043" s="138">
        <f>'Cap Outlay Deprec 26'!I16</f>
        <v>761606</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7205036</v>
      </c>
      <c r="C2051" s="2" t="s">
        <v>594</v>
      </c>
      <c r="D2051" s="2" t="str">
        <f t="shared" si="31"/>
        <v>Error?</v>
      </c>
    </row>
    <row r="2052" spans="1:4" x14ac:dyDescent="0.2">
      <c r="A2052" s="5">
        <v>1991</v>
      </c>
      <c r="B2052" s="138">
        <f>'Cap Outlay Deprec 26'!K10</f>
        <v>818353</v>
      </c>
      <c r="C2052" s="2" t="s">
        <v>594</v>
      </c>
      <c r="D2052" s="2" t="str">
        <f t="shared" si="31"/>
        <v>Error?</v>
      </c>
    </row>
    <row r="2053" spans="1:4" x14ac:dyDescent="0.2">
      <c r="A2053" s="5">
        <v>1992</v>
      </c>
      <c r="B2053" s="138">
        <f>'Cap Outlay Deprec 26'!K12</f>
        <v>4495513</v>
      </c>
      <c r="C2053" s="2" t="s">
        <v>594</v>
      </c>
      <c r="D2053" s="2" t="str">
        <f t="shared" si="31"/>
        <v>Error?</v>
      </c>
    </row>
    <row r="2054" spans="1:4" x14ac:dyDescent="0.2">
      <c r="A2054" s="5">
        <v>1993</v>
      </c>
      <c r="B2054" s="138">
        <f>'Cap Outlay Deprec 26'!K13</f>
        <v>123487</v>
      </c>
      <c r="C2054" s="2" t="s">
        <v>594</v>
      </c>
      <c r="D2054" s="2" t="str">
        <f t="shared" si="31"/>
        <v>Error?</v>
      </c>
    </row>
    <row r="2055" spans="1:4" x14ac:dyDescent="0.2">
      <c r="A2055" s="5">
        <v>1994</v>
      </c>
      <c r="B2055" s="138">
        <f>'Cap Outlay Deprec 26'!K16</f>
        <v>12642389</v>
      </c>
      <c r="C2055" s="2" t="s">
        <v>594</v>
      </c>
      <c r="D2055" s="2" t="str">
        <f t="shared" si="31"/>
        <v>Error?</v>
      </c>
    </row>
    <row r="2056" spans="1:4" x14ac:dyDescent="0.2">
      <c r="A2056" s="5">
        <v>1995</v>
      </c>
      <c r="B2056" s="138">
        <f>'Cap Outlay Deprec 26'!L5</f>
        <v>81500</v>
      </c>
      <c r="C2056" s="2" t="s">
        <v>594</v>
      </c>
      <c r="D2056" s="2" t="str">
        <f t="shared" si="31"/>
        <v>Error?</v>
      </c>
    </row>
    <row r="2057" spans="1:4" x14ac:dyDescent="0.2">
      <c r="A2057" s="5">
        <v>1996</v>
      </c>
      <c r="B2057" s="138">
        <f>'Cap Outlay Deprec 26'!L8</f>
        <v>18198860</v>
      </c>
      <c r="C2057" s="2" t="s">
        <v>594</v>
      </c>
      <c r="D2057" s="2" t="str">
        <f t="shared" si="31"/>
        <v>Error?</v>
      </c>
    </row>
    <row r="2058" spans="1:4" x14ac:dyDescent="0.2">
      <c r="A2058" s="5">
        <v>1997</v>
      </c>
      <c r="B2058" s="138">
        <f>'Cap Outlay Deprec 26'!L10</f>
        <v>709873</v>
      </c>
      <c r="C2058" s="2" t="s">
        <v>594</v>
      </c>
      <c r="D2058" s="2" t="str">
        <f t="shared" si="31"/>
        <v>Error?</v>
      </c>
    </row>
    <row r="2059" spans="1:4" x14ac:dyDescent="0.2">
      <c r="A2059" s="5">
        <v>1998</v>
      </c>
      <c r="B2059" s="138">
        <f>'Cap Outlay Deprec 26'!L12</f>
        <v>603783</v>
      </c>
      <c r="C2059" s="2" t="s">
        <v>594</v>
      </c>
      <c r="D2059" s="2" t="str">
        <f t="shared" si="31"/>
        <v>Error?</v>
      </c>
    </row>
    <row r="2060" spans="1:4" x14ac:dyDescent="0.2">
      <c r="A2060" s="5">
        <v>1999</v>
      </c>
      <c r="B2060" s="138">
        <f>'Cap Outlay Deprec 26'!L13</f>
        <v>58023</v>
      </c>
      <c r="C2060" s="2" t="s">
        <v>594</v>
      </c>
      <c r="D2060" s="2" t="str">
        <f t="shared" si="31"/>
        <v>Error?</v>
      </c>
    </row>
    <row r="2061" spans="1:4" x14ac:dyDescent="0.2">
      <c r="A2061" s="5">
        <v>2000</v>
      </c>
      <c r="B2061" s="138">
        <f>'Cap Outlay Deprec 26'!L16</f>
        <v>19652039</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24218</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24218</v>
      </c>
      <c r="C2088" s="2" t="s">
        <v>594</v>
      </c>
      <c r="D2088" s="2" t="str">
        <f t="shared" si="31"/>
        <v>Error?</v>
      </c>
    </row>
    <row r="2089" spans="1:4" x14ac:dyDescent="0.2">
      <c r="A2089" s="5">
        <v>2028</v>
      </c>
      <c r="B2089" s="138">
        <f>'Expenditures 15-22'!K92</f>
        <v>50217</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9627</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8632899</v>
      </c>
      <c r="C2551" s="2" t="s">
        <v>594</v>
      </c>
      <c r="D2551" s="2" t="str">
        <f t="shared" si="38"/>
        <v>Error?</v>
      </c>
    </row>
    <row r="2552" spans="1:4" x14ac:dyDescent="0.2">
      <c r="A2552" s="10">
        <v>2491</v>
      </c>
      <c r="D2552" s="2" t="str">
        <f t="shared" si="38"/>
        <v>OK</v>
      </c>
    </row>
    <row r="2553" spans="1:4" x14ac:dyDescent="0.2">
      <c r="A2553" s="5">
        <v>2492</v>
      </c>
      <c r="B2553" s="138">
        <f>'Acct Summary 7-8'!C6</f>
        <v>1606467</v>
      </c>
      <c r="C2553" s="2" t="s">
        <v>594</v>
      </c>
      <c r="D2553" s="2" t="str">
        <f t="shared" si="38"/>
        <v>Error?</v>
      </c>
    </row>
    <row r="2554" spans="1:4" x14ac:dyDescent="0.2">
      <c r="A2554" s="5">
        <v>2493</v>
      </c>
      <c r="B2554" s="138">
        <f>'Acct Summary 7-8'!C7</f>
        <v>158925</v>
      </c>
      <c r="C2554" s="2" t="s">
        <v>594</v>
      </c>
      <c r="D2554" s="2" t="str">
        <f t="shared" si="38"/>
        <v>Error?</v>
      </c>
    </row>
    <row r="2555" spans="1:4" x14ac:dyDescent="0.2">
      <c r="A2555" s="5">
        <v>2494</v>
      </c>
      <c r="B2555" s="138">
        <f>'Acct Summary 7-8'!C8</f>
        <v>10398291</v>
      </c>
      <c r="C2555" s="2" t="s">
        <v>594</v>
      </c>
      <c r="D2555" s="2" t="str">
        <f t="shared" si="38"/>
        <v>Error?</v>
      </c>
    </row>
    <row r="2556" spans="1:4" x14ac:dyDescent="0.2">
      <c r="A2556" s="5">
        <v>2495</v>
      </c>
      <c r="B2556" s="138">
        <f>'Acct Summary 7-8'!C12</f>
        <v>5570684</v>
      </c>
      <c r="C2556" s="2" t="s">
        <v>594</v>
      </c>
      <c r="D2556" s="2" t="str">
        <f t="shared" si="38"/>
        <v>Error?</v>
      </c>
    </row>
    <row r="2557" spans="1:4" x14ac:dyDescent="0.2">
      <c r="A2557" s="5">
        <v>2496</v>
      </c>
      <c r="B2557" s="138">
        <f>'Acct Summary 7-8'!C13</f>
        <v>2792258</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74435</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8437377</v>
      </c>
      <c r="C2561" s="2" t="s">
        <v>594</v>
      </c>
      <c r="D2561" s="2" t="str">
        <f t="shared" si="39"/>
        <v>Error?</v>
      </c>
    </row>
    <row r="2562" spans="1:4" x14ac:dyDescent="0.2">
      <c r="A2562" s="5">
        <v>2501</v>
      </c>
      <c r="B2562" s="138">
        <f>'Acct Summary 7-8'!C20</f>
        <v>1960914</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1595883</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1595883</v>
      </c>
      <c r="C2568" s="2" t="s">
        <v>594</v>
      </c>
      <c r="D2568" s="2" t="str">
        <f t="shared" si="39"/>
        <v>Error?</v>
      </c>
    </row>
    <row r="2569" spans="1:4" x14ac:dyDescent="0.2">
      <c r="A2569" s="5">
        <v>2508</v>
      </c>
      <c r="B2569" s="138">
        <f>'Acct Summary 7-8'!D13</f>
        <v>1228574</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1228574</v>
      </c>
      <c r="C2573" s="2" t="s">
        <v>594</v>
      </c>
      <c r="D2573" s="2" t="str">
        <f t="shared" si="39"/>
        <v>Error?</v>
      </c>
    </row>
    <row r="2574" spans="1:4" x14ac:dyDescent="0.2">
      <c r="A2574" s="5">
        <v>2513</v>
      </c>
      <c r="B2574" s="138">
        <f>'Acct Summary 7-8'!D20</f>
        <v>367309</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1109835</v>
      </c>
      <c r="C2591" s="2" t="s">
        <v>594</v>
      </c>
      <c r="D2591" s="2" t="str">
        <f t="shared" si="39"/>
        <v>Error?</v>
      </c>
    </row>
    <row r="2592" spans="1:4" x14ac:dyDescent="0.2">
      <c r="A2592" s="10">
        <v>2531</v>
      </c>
      <c r="D2592" s="2" t="str">
        <f t="shared" si="39"/>
        <v>OK</v>
      </c>
    </row>
    <row r="2593" spans="1:4" x14ac:dyDescent="0.2">
      <c r="A2593" s="5">
        <v>2532</v>
      </c>
      <c r="B2593" s="138">
        <f>'Acct Summary 7-8'!F6</f>
        <v>632252</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1742087</v>
      </c>
      <c r="C2595" s="2" t="s">
        <v>594</v>
      </c>
      <c r="D2595" s="2" t="str">
        <f t="shared" si="39"/>
        <v>Error?</v>
      </c>
    </row>
    <row r="2596" spans="1:4" x14ac:dyDescent="0.2">
      <c r="A2596" s="5">
        <v>2535</v>
      </c>
      <c r="B2596" s="138">
        <f>'Acct Summary 7-8'!F13</f>
        <v>1786053</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1786053</v>
      </c>
      <c r="C2600" s="2" t="s">
        <v>594</v>
      </c>
      <c r="D2600" s="2" t="str">
        <f t="shared" si="39"/>
        <v>Error?</v>
      </c>
    </row>
    <row r="2601" spans="1:4" x14ac:dyDescent="0.2">
      <c r="A2601" s="5">
        <v>2540</v>
      </c>
      <c r="B2601" s="138">
        <f>'Acct Summary 7-8'!F20</f>
        <v>-43966</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394120</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394120</v>
      </c>
      <c r="C2606" s="2" t="s">
        <v>594</v>
      </c>
      <c r="D2606" s="2" t="str">
        <f t="shared" si="39"/>
        <v>Error?</v>
      </c>
    </row>
    <row r="2607" spans="1:4" x14ac:dyDescent="0.2">
      <c r="A2607" s="5">
        <v>2546</v>
      </c>
      <c r="B2607" s="138">
        <f>'Acct Summary 7-8'!G12</f>
        <v>108985</v>
      </c>
      <c r="C2607" s="2" t="s">
        <v>594</v>
      </c>
      <c r="D2607" s="2" t="str">
        <f t="shared" si="39"/>
        <v>Error?</v>
      </c>
    </row>
    <row r="2608" spans="1:4" x14ac:dyDescent="0.2">
      <c r="A2608" s="5">
        <v>2547</v>
      </c>
      <c r="B2608" s="138">
        <f>'Acct Summary 7-8'!G13</f>
        <v>264622</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373607</v>
      </c>
      <c r="C2612" s="2" t="s">
        <v>594</v>
      </c>
      <c r="D2612" s="2" t="str">
        <f t="shared" si="39"/>
        <v>Error?</v>
      </c>
    </row>
    <row r="2613" spans="1:4" x14ac:dyDescent="0.2">
      <c r="A2613" s="5">
        <v>2552</v>
      </c>
      <c r="B2613" s="138">
        <f>'Acct Summary 7-8'!G20</f>
        <v>20513</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1722949</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1722949</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1860389</v>
      </c>
      <c r="C2634" s="2" t="s">
        <v>594</v>
      </c>
      <c r="D2634" s="2" t="str">
        <f t="shared" si="40"/>
        <v>Error?</v>
      </c>
    </row>
    <row r="2635" spans="1:4" x14ac:dyDescent="0.2">
      <c r="A2635" s="5">
        <v>2574</v>
      </c>
      <c r="B2635" s="138">
        <f>'Acct Summary 7-8'!E17</f>
        <v>1860389</v>
      </c>
      <c r="C2635" s="2" t="s">
        <v>594</v>
      </c>
      <c r="D2635" s="2" t="str">
        <f t="shared" si="40"/>
        <v>Error?</v>
      </c>
    </row>
    <row r="2636" spans="1:4" x14ac:dyDescent="0.2">
      <c r="A2636" s="5">
        <v>2575</v>
      </c>
      <c r="B2636" s="138">
        <f>'Acct Summary 7-8'!E20</f>
        <v>-137440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12066</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12066</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12066</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217479</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1060599</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93222</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1060599</v>
      </c>
      <c r="D2912" s="2" t="str">
        <f t="shared" si="44"/>
        <v>Error?</v>
      </c>
    </row>
    <row r="2913" spans="1:4" x14ac:dyDescent="0.2">
      <c r="A2913" s="5">
        <v>2852</v>
      </c>
      <c r="B2913" s="138">
        <f>'Assets-Liab 5-6'!I41</f>
        <v>1060599</v>
      </c>
      <c r="C2913" s="2" t="s">
        <v>594</v>
      </c>
      <c r="D2913" s="2" t="str">
        <f t="shared" si="44"/>
        <v>Error?</v>
      </c>
    </row>
    <row r="2914" spans="1:4" x14ac:dyDescent="0.2">
      <c r="A2914" s="5">
        <v>2853</v>
      </c>
      <c r="B2914" s="138">
        <f>'Assets-Liab 5-6'!L33</f>
        <v>93222</v>
      </c>
      <c r="D2914" s="2" t="str">
        <f t="shared" si="44"/>
        <v>Error?</v>
      </c>
    </row>
    <row r="2915" spans="1:4" x14ac:dyDescent="0.2">
      <c r="A2915" s="10">
        <v>2854</v>
      </c>
      <c r="D2915" s="2" t="str">
        <f t="shared" si="44"/>
        <v>OK</v>
      </c>
    </row>
    <row r="2916" spans="1:4" x14ac:dyDescent="0.2">
      <c r="A2916" s="5">
        <v>2855</v>
      </c>
      <c r="B2916" s="138">
        <f>'Assets-Liab 5-6'!L34</f>
        <v>93222</v>
      </c>
      <c r="C2916" s="2" t="s">
        <v>594</v>
      </c>
      <c r="D2916" s="2" t="str">
        <f t="shared" si="44"/>
        <v>Error?</v>
      </c>
    </row>
    <row r="2917" spans="1:4" x14ac:dyDescent="0.2">
      <c r="A2917" s="5">
        <v>2856</v>
      </c>
      <c r="B2917" s="138">
        <f>'Assets-Liab 5-6'!L41</f>
        <v>93222</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1565</v>
      </c>
      <c r="D2955" s="2" t="str">
        <f t="shared" si="45"/>
        <v>Error?</v>
      </c>
    </row>
    <row r="2956" spans="1:4" x14ac:dyDescent="0.2">
      <c r="A2956" s="5">
        <v>2895</v>
      </c>
      <c r="B2956" s="138">
        <f>'Expenditures 15-22'!H79</f>
        <v>22653</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1565</v>
      </c>
      <c r="C2973" s="2" t="s">
        <v>594</v>
      </c>
      <c r="D2973" s="2" t="str">
        <f t="shared" si="45"/>
        <v>Error?</v>
      </c>
    </row>
    <row r="2974" spans="1:4" x14ac:dyDescent="0.2">
      <c r="A2974" s="5">
        <v>2913</v>
      </c>
      <c r="B2974" s="138">
        <f>'Expenditures 15-22'!K79</f>
        <v>22653</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166172</v>
      </c>
      <c r="C3225" s="2" t="s">
        <v>594</v>
      </c>
      <c r="D3225" s="2" t="str">
        <f t="shared" si="49"/>
        <v>Error?</v>
      </c>
    </row>
    <row r="3226" spans="1:4" x14ac:dyDescent="0.2">
      <c r="A3226" s="5">
        <v>3165</v>
      </c>
      <c r="B3226" s="138">
        <f>'Acct Summary 7-8'!I8</f>
        <v>166172</v>
      </c>
      <c r="C3226" s="2" t="s">
        <v>594</v>
      </c>
      <c r="D3226" s="2" t="str">
        <f t="shared" si="49"/>
        <v>Error?</v>
      </c>
    </row>
    <row r="3227" spans="1:4" x14ac:dyDescent="0.2">
      <c r="A3227" s="5">
        <v>3166</v>
      </c>
      <c r="B3227" s="138">
        <f>'Acct Summary 7-8'!I20</f>
        <v>166172</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500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500</v>
      </c>
      <c r="C3232" s="2" t="s">
        <v>594</v>
      </c>
      <c r="D3232" s="2" t="str">
        <f t="shared" si="49"/>
        <v>Error?</v>
      </c>
    </row>
    <row r="3233" spans="1:4" x14ac:dyDescent="0.2">
      <c r="A3233" s="5">
        <v>3172</v>
      </c>
      <c r="B3233" s="138">
        <f>'Acct Summary 7-8'!C78</f>
        <v>1961414</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187000</v>
      </c>
      <c r="D3236" s="2" t="str">
        <f t="shared" si="49"/>
        <v>Error?</v>
      </c>
    </row>
    <row r="3237" spans="1:4" x14ac:dyDescent="0.2">
      <c r="A3237" s="5">
        <v>3176</v>
      </c>
      <c r="B3237" s="138">
        <f>'Acct Summary 7-8'!D76</f>
        <v>187000</v>
      </c>
      <c r="C3237" s="2" t="s">
        <v>594</v>
      </c>
      <c r="D3237" s="2" t="str">
        <f t="shared" si="49"/>
        <v>Error?</v>
      </c>
    </row>
    <row r="3238" spans="1:4" x14ac:dyDescent="0.2">
      <c r="A3238" s="5">
        <v>3177</v>
      </c>
      <c r="B3238" s="138">
        <f>'Acct Summary 7-8'!D77</f>
        <v>-187000</v>
      </c>
      <c r="C3238" s="2" t="s">
        <v>594</v>
      </c>
      <c r="D3238" s="2" t="str">
        <f t="shared" si="49"/>
        <v>Error?</v>
      </c>
    </row>
    <row r="3239" spans="1:4" x14ac:dyDescent="0.2">
      <c r="A3239" s="5">
        <v>3178</v>
      </c>
      <c r="B3239" s="138">
        <f>'Acct Summary 7-8'!D78</f>
        <v>180309</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-43966</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20513</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187000</v>
      </c>
      <c r="D3273" s="2" t="str">
        <f t="shared" si="50"/>
        <v>Error?</v>
      </c>
    </row>
    <row r="3274" spans="1:4" x14ac:dyDescent="0.2">
      <c r="A3274" s="5">
        <v>3213</v>
      </c>
      <c r="B3274" s="138">
        <f>'Acct Summary 7-8'!E44</f>
        <v>187000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187000</v>
      </c>
      <c r="C3277" s="2" t="s">
        <v>594</v>
      </c>
      <c r="D3277" s="2" t="str">
        <f t="shared" si="50"/>
        <v>Error?</v>
      </c>
    </row>
    <row r="3278" spans="1:4" x14ac:dyDescent="0.2">
      <c r="A3278" s="5">
        <v>3217</v>
      </c>
      <c r="B3278" s="138">
        <f>'Acct Summary 7-8'!E78</f>
        <v>49560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12066</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166172</v>
      </c>
      <c r="C3320" s="2" t="s">
        <v>594</v>
      </c>
      <c r="D3320" s="2" t="str">
        <f t="shared" si="50"/>
        <v>Error?</v>
      </c>
    </row>
    <row r="3321" spans="1:4" x14ac:dyDescent="0.2">
      <c r="A3321" s="5">
        <v>3260</v>
      </c>
      <c r="B3321" s="138">
        <f>'Acct Summary 7-8'!I79</f>
        <v>894427</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1060599</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617832</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140692</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97217</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6075</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2127</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1771</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865714</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42584</v>
      </c>
      <c r="D3387" s="2" t="str">
        <f t="shared" si="51"/>
        <v>Error?</v>
      </c>
    </row>
    <row r="3388" spans="1:4" x14ac:dyDescent="0.2">
      <c r="A3388" s="5">
        <v>3327</v>
      </c>
      <c r="B3388" s="138">
        <f>'Expenditures 15-22'!D217</f>
        <v>39179</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42584</v>
      </c>
      <c r="C3390" s="2" t="s">
        <v>594</v>
      </c>
      <c r="D3390" s="2" t="str">
        <f t="shared" si="51"/>
        <v>Error?</v>
      </c>
    </row>
    <row r="3391" spans="1:4" x14ac:dyDescent="0.2">
      <c r="A3391" s="5">
        <v>3330</v>
      </c>
      <c r="B3391" s="138">
        <f>'Expenditures 15-22'!K217</f>
        <v>39179</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10847779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1225552</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48907</v>
      </c>
      <c r="D3417" s="2" t="str">
        <f t="shared" si="52"/>
        <v>Error?</v>
      </c>
    </row>
    <row r="3418" spans="1:4" x14ac:dyDescent="0.2">
      <c r="A3418" s="10">
        <v>3357</v>
      </c>
      <c r="D3418" s="2" t="str">
        <f t="shared" si="52"/>
        <v>OK</v>
      </c>
    </row>
    <row r="3419" spans="1:4" x14ac:dyDescent="0.2">
      <c r="A3419" s="5">
        <v>3358</v>
      </c>
      <c r="B3419" s="138">
        <f>'Assets-Liab 5-6'!F4</f>
        <v>638698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539247</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134930</v>
      </c>
      <c r="D3425" s="2" t="str">
        <f t="shared" si="52"/>
        <v>Error?</v>
      </c>
    </row>
    <row r="3426" spans="1:4" x14ac:dyDescent="0.2">
      <c r="A3426" s="10">
        <v>3365</v>
      </c>
      <c r="D3426" s="2" t="str">
        <f t="shared" si="52"/>
        <v>OK</v>
      </c>
    </row>
    <row r="3427" spans="1:4" x14ac:dyDescent="0.2">
      <c r="A3427" s="5">
        <v>3366</v>
      </c>
      <c r="B3427" s="138">
        <f>'Assets-Liab 5-6'!I4</f>
        <v>843120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93222</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142765</v>
      </c>
      <c r="C3446" s="2" t="s">
        <v>594</v>
      </c>
      <c r="D3446" s="2" t="str">
        <f t="shared" si="52"/>
        <v>Error?</v>
      </c>
    </row>
    <row r="3447" spans="1:4" x14ac:dyDescent="0.2">
      <c r="A3447" s="5">
        <v>3386</v>
      </c>
      <c r="B3447" s="138">
        <f>'Tax Sched 23'!D16</f>
        <v>90001</v>
      </c>
      <c r="C3447" s="2" t="s">
        <v>594</v>
      </c>
      <c r="D3447" s="2" t="str">
        <f t="shared" si="52"/>
        <v>Error?</v>
      </c>
    </row>
    <row r="3448" spans="1:4" x14ac:dyDescent="0.2">
      <c r="A3448" s="5">
        <v>3387</v>
      </c>
      <c r="B3448" s="138">
        <f>'Tax Sched 23'!C16</f>
        <v>52764</v>
      </c>
      <c r="D3448" s="2" t="str">
        <f t="shared" si="52"/>
        <v>Error?</v>
      </c>
    </row>
    <row r="3449" spans="1:4" x14ac:dyDescent="0.2">
      <c r="A3449" s="5">
        <v>3388</v>
      </c>
      <c r="B3449" s="138">
        <f>'Tax Sched 23'!F16</f>
        <v>45158</v>
      </c>
      <c r="C3449" s="2" t="s">
        <v>594</v>
      </c>
      <c r="D3449" s="2" t="str">
        <f t="shared" si="52"/>
        <v>Error?</v>
      </c>
    </row>
    <row r="3450" spans="1:4" x14ac:dyDescent="0.2">
      <c r="A3450" s="5">
        <v>3389</v>
      </c>
      <c r="B3450" s="138">
        <f>'Tax Sched 23'!E16</f>
        <v>97922</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500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3498850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13897141</v>
      </c>
      <c r="C4122" s="2" t="s">
        <v>594</v>
      </c>
      <c r="D4122" s="2" t="str">
        <f t="shared" si="63"/>
        <v>Error?</v>
      </c>
    </row>
    <row r="4123" spans="1:4" x14ac:dyDescent="0.2">
      <c r="A4123" s="5">
        <v>4062</v>
      </c>
      <c r="B4123" s="138">
        <f>'Acct Summary 7-8'!D10</f>
        <v>1595883</v>
      </c>
      <c r="C4123" s="2" t="s">
        <v>594</v>
      </c>
      <c r="D4123" s="2" t="str">
        <f t="shared" si="63"/>
        <v>Error?</v>
      </c>
    </row>
    <row r="4124" spans="1:4" x14ac:dyDescent="0.2">
      <c r="A4124" s="5">
        <v>4063</v>
      </c>
      <c r="B4124" s="138">
        <f>'Acct Summary 7-8'!E10</f>
        <v>1722949</v>
      </c>
      <c r="C4124" s="2" t="s">
        <v>594</v>
      </c>
      <c r="D4124" s="2" t="str">
        <f t="shared" si="63"/>
        <v>Error?</v>
      </c>
    </row>
    <row r="4125" spans="1:4" x14ac:dyDescent="0.2">
      <c r="A4125" s="5">
        <v>4064</v>
      </c>
      <c r="B4125" s="138">
        <f>'Acct Summary 7-8'!F10</f>
        <v>1742087</v>
      </c>
      <c r="C4125" s="2" t="s">
        <v>594</v>
      </c>
      <c r="D4125" s="2" t="str">
        <f t="shared" si="63"/>
        <v>Error?</v>
      </c>
    </row>
    <row r="4126" spans="1:4" x14ac:dyDescent="0.2">
      <c r="A4126" s="5">
        <v>4065</v>
      </c>
      <c r="B4126" s="138">
        <f>'Acct Summary 7-8'!G10</f>
        <v>394120</v>
      </c>
      <c r="C4126" s="2" t="s">
        <v>594</v>
      </c>
      <c r="D4126" s="2" t="str">
        <f t="shared" si="63"/>
        <v>Error?</v>
      </c>
    </row>
    <row r="4127" spans="1:4" x14ac:dyDescent="0.2">
      <c r="A4127" s="5">
        <v>4066</v>
      </c>
      <c r="B4127" s="138">
        <f>'Acct Summary 7-8'!H10</f>
        <v>12066</v>
      </c>
      <c r="C4127" s="2" t="s">
        <v>594</v>
      </c>
      <c r="D4127" s="2" t="str">
        <f t="shared" si="63"/>
        <v>Error?</v>
      </c>
    </row>
    <row r="4128" spans="1:4" x14ac:dyDescent="0.2">
      <c r="A4128" s="5">
        <v>4067</v>
      </c>
      <c r="B4128" s="138">
        <f>'Acct Summary 7-8'!I10</f>
        <v>166172</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3498850</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11936227</v>
      </c>
      <c r="C4136" s="2" t="s">
        <v>594</v>
      </c>
      <c r="D4136" s="2" t="str">
        <f t="shared" si="63"/>
        <v>Error?</v>
      </c>
    </row>
    <row r="4137" spans="1:4" x14ac:dyDescent="0.2">
      <c r="A4137" s="5">
        <v>4076</v>
      </c>
      <c r="B4137" s="138">
        <f>'Acct Summary 7-8'!D19</f>
        <v>1228574</v>
      </c>
      <c r="C4137" s="2" t="s">
        <v>594</v>
      </c>
      <c r="D4137" s="2" t="str">
        <f t="shared" si="63"/>
        <v>Error?</v>
      </c>
    </row>
    <row r="4138" spans="1:4" x14ac:dyDescent="0.2">
      <c r="A4138" s="5">
        <v>4077</v>
      </c>
      <c r="B4138" s="138">
        <f>'Acct Summary 7-8'!E19</f>
        <v>1860389</v>
      </c>
      <c r="C4138" s="2" t="s">
        <v>594</v>
      </c>
      <c r="D4138" s="2" t="str">
        <f t="shared" si="63"/>
        <v>Error?</v>
      </c>
    </row>
    <row r="4139" spans="1:4" x14ac:dyDescent="0.2">
      <c r="A4139" s="5">
        <v>4078</v>
      </c>
      <c r="B4139" s="138">
        <f>'Acct Summary 7-8'!F19</f>
        <v>1786053</v>
      </c>
      <c r="C4139" s="2" t="s">
        <v>594</v>
      </c>
      <c r="D4139" s="2" t="str">
        <f t="shared" si="63"/>
        <v>Error?</v>
      </c>
    </row>
    <row r="4140" spans="1:4" x14ac:dyDescent="0.2">
      <c r="A4140" s="5">
        <v>4079</v>
      </c>
      <c r="B4140" s="138">
        <f>'Acct Summary 7-8'!G19</f>
        <v>373607</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4135000</v>
      </c>
      <c r="C4171" s="2" t="s">
        <v>594</v>
      </c>
      <c r="D4171" s="2" t="str">
        <f t="shared" si="64"/>
        <v>Error?</v>
      </c>
    </row>
    <row r="4172" spans="1:4" x14ac:dyDescent="0.2">
      <c r="A4172" s="5">
        <v>4111</v>
      </c>
      <c r="B4172" s="138">
        <f>'Short-Term Long-Term Debt 24'!J49</f>
        <v>4073478</v>
      </c>
      <c r="C4172" s="2" t="s">
        <v>594</v>
      </c>
      <c r="D4172" s="2" t="str">
        <f t="shared" si="64"/>
        <v>Error?</v>
      </c>
    </row>
    <row r="4173" spans="1:4" x14ac:dyDescent="0.2">
      <c r="A4173" s="5">
        <v>4112</v>
      </c>
      <c r="B4173" s="138">
        <f>'Short-Term Long-Term Debt 24'!H49</f>
        <v>1710000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2185.5</v>
      </c>
      <c r="C4265" s="2" t="s">
        <v>594</v>
      </c>
      <c r="D4265" s="2" t="str">
        <f t="shared" si="65"/>
        <v>Error?</v>
      </c>
      <c r="E4265" s="128"/>
    </row>
    <row r="4266" spans="1:5" x14ac:dyDescent="0.2">
      <c r="A4266" s="12">
        <v>4205</v>
      </c>
      <c r="B4266" s="138">
        <f>('FP Info 3'!F10)*100000</f>
        <v>479.4</v>
      </c>
      <c r="C4266" s="2" t="s">
        <v>594</v>
      </c>
      <c r="D4266" s="2" t="str">
        <f t="shared" si="65"/>
        <v>Error?</v>
      </c>
      <c r="E4266" s="128"/>
    </row>
    <row r="4267" spans="1:5" x14ac:dyDescent="0.2">
      <c r="A4267" s="12">
        <v>4206</v>
      </c>
      <c r="B4267" s="138">
        <f>('FP Info 3'!H10)*100000</f>
        <v>147.5</v>
      </c>
      <c r="C4267" s="2" t="s">
        <v>594</v>
      </c>
      <c r="D4267" s="2" t="str">
        <f t="shared" si="65"/>
        <v>Error?</v>
      </c>
      <c r="E4267" s="128"/>
    </row>
    <row r="4268" spans="1:5" x14ac:dyDescent="0.2">
      <c r="A4268" s="12">
        <v>4207</v>
      </c>
      <c r="B4268" s="138">
        <f>('FP Info 3'!J10)*100000</f>
        <v>2812</v>
      </c>
      <c r="C4268" s="2" t="s">
        <v>594</v>
      </c>
      <c r="D4268" s="2" t="str">
        <f t="shared" si="65"/>
        <v>Error?</v>
      </c>
    </row>
    <row r="4269" spans="1:5" x14ac:dyDescent="0.2">
      <c r="A4269" s="12">
        <v>4208</v>
      </c>
      <c r="B4269" s="138">
        <f>'FP Info 3'!J16</f>
        <v>17051634</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7795</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10000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9375</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46.8</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1500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345220153</v>
      </c>
      <c r="D4995" s="2" t="str">
        <f t="shared" si="77"/>
        <v>Error?</v>
      </c>
    </row>
    <row r="4996" spans="1:4" x14ac:dyDescent="0.2">
      <c r="A4996" s="12">
        <v>4935</v>
      </c>
      <c r="B4996" s="138">
        <f>'FP Info 3'!H31</f>
        <v>23820190.557000004</v>
      </c>
      <c r="D4996" s="2" t="str">
        <f t="shared" si="77"/>
        <v>Error?</v>
      </c>
    </row>
    <row r="4997" spans="1:4" x14ac:dyDescent="0.2">
      <c r="A4997" s="12">
        <v>4936</v>
      </c>
      <c r="B4997" s="138">
        <f>'FP Info 3'!H37</f>
        <v>4135000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7658787</v>
      </c>
      <c r="D5061" s="2" t="str">
        <f t="shared" si="78"/>
        <v>Error?</v>
      </c>
    </row>
    <row r="5062" spans="1:4" x14ac:dyDescent="0.2">
      <c r="A5062" s="10">
        <v>5001</v>
      </c>
      <c r="D5062" s="2" t="str">
        <f t="shared" si="78"/>
        <v>OK</v>
      </c>
    </row>
    <row r="5063" spans="1:4" x14ac:dyDescent="0.2">
      <c r="A5063" s="5">
        <v>5002</v>
      </c>
      <c r="B5063" s="138">
        <f>'Revenues 9-14'!C7</f>
        <v>105928</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7764715</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41409</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19527</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60936</v>
      </c>
      <c r="C5087" s="2" t="s">
        <v>594</v>
      </c>
      <c r="D5087" s="2" t="str">
        <f t="shared" si="78"/>
        <v>Error?</v>
      </c>
    </row>
    <row r="5088" spans="1:4" x14ac:dyDescent="0.2">
      <c r="A5088" s="5">
        <v>5027</v>
      </c>
      <c r="B5088" s="138">
        <f>'Revenues 9-14'!C65</f>
        <v>96827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96827</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236132</v>
      </c>
      <c r="C5096" s="2" t="s">
        <v>594</v>
      </c>
      <c r="D5096" s="2" t="str">
        <f t="shared" si="78"/>
        <v>Error?</v>
      </c>
    </row>
    <row r="5097" spans="1:4" x14ac:dyDescent="0.2">
      <c r="A5097" s="5">
        <v>5036</v>
      </c>
      <c r="B5097" s="138">
        <f>'Revenues 9-14'!C77</f>
        <v>39180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181090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188184</v>
      </c>
      <c r="D5101" s="2" t="str">
        <f t="shared" si="78"/>
        <v>Error?</v>
      </c>
    </row>
    <row r="5102" spans="1:4" x14ac:dyDescent="0.2">
      <c r="A5102" s="5">
        <v>5041</v>
      </c>
      <c r="B5102" s="138">
        <f>'Revenues 9-14'!C82</f>
        <v>408454</v>
      </c>
      <c r="C5102" s="2" t="s">
        <v>594</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17343</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42507</v>
      </c>
      <c r="D5119" s="2" t="str">
        <f t="shared" ref="D5119:D5182" si="79">IF(ISBLANK(B5119),"OK",IF(A5119-B5119=0,"OK","Error?"))</f>
        <v>Error?</v>
      </c>
    </row>
    <row r="5120" spans="1:4" x14ac:dyDescent="0.2">
      <c r="A5120" s="5">
        <v>5059</v>
      </c>
      <c r="B5120" s="138">
        <f>'Revenues 9-14'!C108</f>
        <v>65835</v>
      </c>
      <c r="C5120" s="2" t="s">
        <v>594</v>
      </c>
      <c r="D5120" s="2" t="str">
        <f t="shared" si="79"/>
        <v>Error?</v>
      </c>
    </row>
    <row r="5121" spans="1:4" x14ac:dyDescent="0.2">
      <c r="A5121" s="5">
        <v>5060</v>
      </c>
      <c r="B5121" s="138">
        <f>'Revenues 9-14'!C109</f>
        <v>8632899</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1392804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1394304</v>
      </c>
      <c r="C5132" s="2" t="s">
        <v>594</v>
      </c>
      <c r="D5132" s="2" t="str">
        <f t="shared" si="79"/>
        <v>Error?</v>
      </c>
    </row>
    <row r="5133" spans="1:4" x14ac:dyDescent="0.2">
      <c r="A5133" s="5">
        <v>5072</v>
      </c>
      <c r="B5133" s="138">
        <f>'Revenues 9-14'!C124</f>
        <v>62276</v>
      </c>
      <c r="D5133" s="2" t="str">
        <f t="shared" si="79"/>
        <v>Error?</v>
      </c>
    </row>
    <row r="5134" spans="1:4" x14ac:dyDescent="0.2">
      <c r="A5134" s="5">
        <v>5073</v>
      </c>
      <c r="B5134" s="138">
        <f>'Revenues 9-14'!C125</f>
        <v>44030</v>
      </c>
      <c r="D5134" s="2" t="str">
        <f t="shared" si="79"/>
        <v>Error?</v>
      </c>
    </row>
    <row r="5135" spans="1:4" x14ac:dyDescent="0.2">
      <c r="A5135" s="5">
        <v>5074</v>
      </c>
      <c r="B5135" s="138">
        <f>'Revenues 9-14'!C126</f>
        <v>69497</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2353</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178156</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11082</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11082</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0</v>
      </c>
      <c r="D5167" s="2" t="str">
        <f t="shared" si="79"/>
        <v>Error?</v>
      </c>
    </row>
    <row r="5168" spans="1:4" x14ac:dyDescent="0.2">
      <c r="A5168" s="5">
        <v>5107</v>
      </c>
      <c r="B5168" s="138">
        <f>'Revenues 9-14'!C147</f>
        <v>22925</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212163</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1606467</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0</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0</v>
      </c>
      <c r="C5246" s="2" t="s">
        <v>594</v>
      </c>
      <c r="D5246" s="2" t="str">
        <f t="shared" si="80"/>
        <v>Error?</v>
      </c>
    </row>
    <row r="5247" spans="1:4" x14ac:dyDescent="0.2">
      <c r="A5247" s="5">
        <v>5186</v>
      </c>
      <c r="B5247" s="138">
        <f>'Revenues 9-14'!C203</f>
        <v>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10000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118916</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118916</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12839</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12839</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158925</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158925</v>
      </c>
      <c r="C5326" s="2" t="s">
        <v>594</v>
      </c>
      <c r="D5326" s="2" t="str">
        <f t="shared" si="82"/>
        <v>Error?</v>
      </c>
    </row>
    <row r="5327" spans="1:4" x14ac:dyDescent="0.2">
      <c r="A5327" s="5">
        <v>5266</v>
      </c>
      <c r="B5327" s="138">
        <f>'Revenues 9-14'!C275</f>
        <v>10398291</v>
      </c>
      <c r="C5327" s="2" t="s">
        <v>594</v>
      </c>
      <c r="D5327" s="2" t="str">
        <f t="shared" si="82"/>
        <v>Error?</v>
      </c>
    </row>
    <row r="5328" spans="1:4" x14ac:dyDescent="0.2">
      <c r="A5328" s="5">
        <v>5267</v>
      </c>
      <c r="B5328" s="138">
        <f>'Revenues 9-14'!D5</f>
        <v>1584669</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1584669</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10194</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10194</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1020</v>
      </c>
      <c r="D5354" s="2" t="str">
        <f t="shared" si="82"/>
        <v>Error?</v>
      </c>
    </row>
    <row r="5355" spans="1:4" x14ac:dyDescent="0.2">
      <c r="A5355" s="5">
        <v>5294</v>
      </c>
      <c r="B5355" s="138">
        <f>'Revenues 9-14'!D108</f>
        <v>1020</v>
      </c>
      <c r="C5355" s="2" t="s">
        <v>594</v>
      </c>
      <c r="D5355" s="2" t="str">
        <f t="shared" si="82"/>
        <v>Error?</v>
      </c>
    </row>
    <row r="5356" spans="1:4" x14ac:dyDescent="0.2">
      <c r="A5356" s="5">
        <v>5295</v>
      </c>
      <c r="B5356" s="138">
        <f>'Revenues 9-14'!D109</f>
        <v>1595883</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1595883</v>
      </c>
      <c r="C5508" s="2" t="s">
        <v>594</v>
      </c>
      <c r="D5508" s="2" t="str">
        <f t="shared" si="85"/>
        <v>Error?</v>
      </c>
    </row>
    <row r="5509" spans="1:4" x14ac:dyDescent="0.2">
      <c r="A5509" s="5">
        <v>5448</v>
      </c>
      <c r="B5509" s="138">
        <f>'Revenues 9-14'!E5</f>
        <v>1722106</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1722106</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843</v>
      </c>
      <c r="D5519" s="2" t="str">
        <f t="shared" si="85"/>
        <v>Error?</v>
      </c>
    </row>
    <row r="5520" spans="1:4" x14ac:dyDescent="0.2">
      <c r="A5520" s="5">
        <v>5459</v>
      </c>
      <c r="B5520" s="138">
        <f>'Revenues 9-14'!E66</f>
        <v>0</v>
      </c>
      <c r="D5520" s="2" t="str">
        <f t="shared" si="85"/>
        <v>Error?</v>
      </c>
    </row>
    <row r="5521" spans="1:4" x14ac:dyDescent="0.2">
      <c r="A5521" s="5">
        <v>5460</v>
      </c>
      <c r="B5521" s="138">
        <f>'Revenues 9-14'!E67</f>
        <v>843</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1722949</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1722949</v>
      </c>
      <c r="C5552" s="2" t="s">
        <v>594</v>
      </c>
      <c r="D5552" s="2" t="str">
        <f t="shared" si="85"/>
        <v>Error?</v>
      </c>
    </row>
    <row r="5553" spans="1:4" x14ac:dyDescent="0.2">
      <c r="A5553" s="5">
        <v>5492</v>
      </c>
      <c r="B5553" s="138">
        <f>'Revenues 9-14'!F5</f>
        <v>510110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510110</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557863</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557863</v>
      </c>
      <c r="C5579" s="2" t="s">
        <v>594</v>
      </c>
      <c r="D5579" s="2" t="str">
        <f t="shared" si="86"/>
        <v>Error?</v>
      </c>
    </row>
    <row r="5580" spans="1:4" x14ac:dyDescent="0.2">
      <c r="A5580" s="5">
        <v>5519</v>
      </c>
      <c r="B5580" s="138">
        <f>'Revenues 9-14'!F65</f>
        <v>3836</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3836</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38026</v>
      </c>
      <c r="D5586" s="2" t="str">
        <f t="shared" si="86"/>
        <v>Error?</v>
      </c>
    </row>
    <row r="5587" spans="1:4" x14ac:dyDescent="0.2">
      <c r="A5587" s="5">
        <v>5526</v>
      </c>
      <c r="B5587" s="138">
        <f>'Revenues 9-14'!F108</f>
        <v>38026</v>
      </c>
      <c r="C5587" s="2" t="s">
        <v>594</v>
      </c>
      <c r="D5587" s="2" t="str">
        <f t="shared" si="86"/>
        <v>Error?</v>
      </c>
    </row>
    <row r="5588" spans="1:4" x14ac:dyDescent="0.2">
      <c r="A5588" s="5">
        <v>5527</v>
      </c>
      <c r="B5588" s="138">
        <f>'Revenues 9-14'!F109</f>
        <v>1109835</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287620</v>
      </c>
      <c r="D5615" s="2" t="str">
        <f t="shared" si="86"/>
        <v>Error?</v>
      </c>
    </row>
    <row r="5616" spans="1:4" x14ac:dyDescent="0.2">
      <c r="A5616" s="10">
        <v>5555</v>
      </c>
      <c r="D5616" s="2" t="str">
        <f t="shared" si="86"/>
        <v>OK</v>
      </c>
    </row>
    <row r="5617" spans="1:4" x14ac:dyDescent="0.2">
      <c r="A5617" s="5">
        <v>5556</v>
      </c>
      <c r="B5617" s="138">
        <f>'Revenues 9-14'!F152</f>
        <v>344632</v>
      </c>
      <c r="D5617" s="2" t="str">
        <f t="shared" si="86"/>
        <v>Error?</v>
      </c>
    </row>
    <row r="5618" spans="1:4" x14ac:dyDescent="0.2">
      <c r="A5618" s="5">
        <v>5557</v>
      </c>
      <c r="B5618" s="138">
        <f>'Revenues 9-14'!F154</f>
        <v>632252</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632252</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632252</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1742087</v>
      </c>
      <c r="C5720" s="2" t="s">
        <v>594</v>
      </c>
      <c r="D5720" s="2" t="str">
        <f t="shared" si="88"/>
        <v>Error?</v>
      </c>
    </row>
    <row r="5721" spans="1:4" x14ac:dyDescent="0.2">
      <c r="A5721" s="5">
        <v>5660</v>
      </c>
      <c r="B5721" s="138">
        <f>'Revenues 9-14'!G5</f>
        <v>118956</v>
      </c>
      <c r="D5721" s="2" t="str">
        <f t="shared" si="88"/>
        <v>Error?</v>
      </c>
    </row>
    <row r="5722" spans="1:4" x14ac:dyDescent="0.2">
      <c r="A5722" s="5">
        <v>5661</v>
      </c>
      <c r="B5722" s="138">
        <f>'Revenues 9-14'!G7</f>
        <v>0</v>
      </c>
      <c r="D5722" s="2" t="str">
        <f t="shared" si="88"/>
        <v>Error?</v>
      </c>
    </row>
    <row r="5723" spans="1:4" x14ac:dyDescent="0.2">
      <c r="A5723" s="5">
        <v>5662</v>
      </c>
      <c r="B5723" s="138">
        <f>'Revenues 9-14'!G8</f>
        <v>142765</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261721</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126742</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126742</v>
      </c>
      <c r="C5730" s="2" t="s">
        <v>594</v>
      </c>
      <c r="D5730" s="2" t="str">
        <f t="shared" si="88"/>
        <v>Error?</v>
      </c>
    </row>
    <row r="5731" spans="1:4" x14ac:dyDescent="0.2">
      <c r="A5731" s="5">
        <v>5670</v>
      </c>
      <c r="B5731" s="138">
        <f>'Revenues 9-14'!G65</f>
        <v>5657</v>
      </c>
      <c r="D5731" s="2" t="str">
        <f t="shared" si="88"/>
        <v>Error?</v>
      </c>
    </row>
    <row r="5732" spans="1:4" x14ac:dyDescent="0.2">
      <c r="A5732" s="5">
        <v>5671</v>
      </c>
      <c r="B5732" s="138">
        <f>'Revenues 9-14'!G66</f>
        <v>0</v>
      </c>
      <c r="D5732" s="2" t="str">
        <f t="shared" si="88"/>
        <v>Error?</v>
      </c>
    </row>
    <row r="5733" spans="1:4" x14ac:dyDescent="0.2">
      <c r="A5733" s="5">
        <v>5672</v>
      </c>
      <c r="B5733" s="138">
        <f>'Revenues 9-14'!G67</f>
        <v>5657</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394120</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1321</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1321</v>
      </c>
      <c r="C5881" s="2" t="s">
        <v>594</v>
      </c>
      <c r="D5881" s="2" t="str">
        <f t="shared" si="90"/>
        <v>Error?</v>
      </c>
    </row>
    <row r="5882" spans="1:4" x14ac:dyDescent="0.2">
      <c r="A5882" s="5">
        <v>5821</v>
      </c>
      <c r="B5882" s="138">
        <f>'Revenues 9-14'!H96</f>
        <v>10745</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10745</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12066</v>
      </c>
      <c r="C5915" s="2" t="s">
        <v>594</v>
      </c>
      <c r="D5915" s="2" t="str">
        <f t="shared" si="91"/>
        <v>Error?</v>
      </c>
    </row>
    <row r="5916" spans="1:4" x14ac:dyDescent="0.2">
      <c r="A5916" s="5">
        <v>5855</v>
      </c>
      <c r="B5916" s="138">
        <f>'Revenues 9-14'!I5</f>
        <v>157870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157870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8302</v>
      </c>
      <c r="D5924" s="2" t="str">
        <f t="shared" si="91"/>
        <v>Error?</v>
      </c>
    </row>
    <row r="5925" spans="1:4" x14ac:dyDescent="0.2">
      <c r="A5925" s="5">
        <v>5864</v>
      </c>
      <c r="B5925" s="138">
        <f>'Revenues 9-14'!I66</f>
        <v>0</v>
      </c>
      <c r="D5925" s="2" t="str">
        <f t="shared" si="91"/>
        <v>Error?</v>
      </c>
    </row>
    <row r="5926" spans="1:4" x14ac:dyDescent="0.2">
      <c r="A5926" s="5">
        <v>5865</v>
      </c>
      <c r="B5926" s="138">
        <f>'Revenues 9-14'!I67</f>
        <v>8302</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166172</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394120</v>
      </c>
      <c r="C6024" s="2" t="s">
        <v>594</v>
      </c>
      <c r="D6024" s="2" t="str">
        <f t="shared" si="93"/>
        <v>Error?</v>
      </c>
    </row>
    <row r="6025" spans="1:5" x14ac:dyDescent="0.2">
      <c r="A6025" s="5">
        <v>5964</v>
      </c>
      <c r="B6025" s="138">
        <f>'Revenues 9-14'!H109</f>
        <v>12066</v>
      </c>
      <c r="C6025" s="2" t="s">
        <v>594</v>
      </c>
      <c r="D6025" s="2" t="str">
        <f t="shared" si="93"/>
        <v>Error?</v>
      </c>
    </row>
    <row r="6026" spans="1:5" x14ac:dyDescent="0.2">
      <c r="A6026" s="5">
        <v>5965</v>
      </c>
      <c r="B6026" s="138">
        <f>'Revenues 9-14'!I109</f>
        <v>166172</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236132</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609.11</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1961414</v>
      </c>
      <c r="D6267" s="2" t="str">
        <f t="shared" si="96"/>
        <v>Error?</v>
      </c>
      <c r="E6267" s="2" t="s">
        <v>199</v>
      </c>
    </row>
    <row r="6268" spans="1:5" x14ac:dyDescent="0.2">
      <c r="A6268">
        <v>6207</v>
      </c>
      <c r="B6268" s="138">
        <f>'Acct Summary 7-8'!D82</f>
        <v>180309</v>
      </c>
      <c r="D6268" s="2" t="str">
        <f t="shared" si="96"/>
        <v>Error?</v>
      </c>
      <c r="E6268" s="2" t="s">
        <v>199</v>
      </c>
    </row>
    <row r="6269" spans="1:5" x14ac:dyDescent="0.2">
      <c r="A6269">
        <v>6208</v>
      </c>
      <c r="B6269" s="138">
        <f>'Acct Summary 7-8'!E82</f>
        <v>49560</v>
      </c>
      <c r="D6269" s="2" t="str">
        <f t="shared" si="96"/>
        <v>Error?</v>
      </c>
      <c r="E6269" s="2" t="s">
        <v>199</v>
      </c>
    </row>
    <row r="6270" spans="1:5" x14ac:dyDescent="0.2">
      <c r="A6270">
        <v>6209</v>
      </c>
      <c r="B6270" s="138">
        <f>'Acct Summary 7-8'!F82</f>
        <v>-43966</v>
      </c>
      <c r="D6270" s="2" t="str">
        <f t="shared" si="96"/>
        <v>Error?</v>
      </c>
      <c r="E6270" s="2" t="s">
        <v>199</v>
      </c>
    </row>
    <row r="6271" spans="1:5" x14ac:dyDescent="0.2">
      <c r="A6271">
        <v>6210</v>
      </c>
      <c r="B6271" s="138">
        <f>'Acct Summary 7-8'!G82</f>
        <v>20513</v>
      </c>
      <c r="D6271" s="2" t="str">
        <f t="shared" ref="D6271:D6334" si="97">IF(ISBLANK(B6271),"OK",IF(A6271-B6271=0,"OK","Error?"))</f>
        <v>Error?</v>
      </c>
      <c r="E6271" s="2" t="s">
        <v>199</v>
      </c>
    </row>
    <row r="6272" spans="1:5" x14ac:dyDescent="0.2">
      <c r="A6272">
        <v>6211</v>
      </c>
      <c r="B6272" s="138">
        <f>'Acct Summary 7-8'!H82</f>
        <v>12066</v>
      </c>
      <c r="D6272" s="2" t="str">
        <f t="shared" si="97"/>
        <v>Error?</v>
      </c>
      <c r="E6272" s="2" t="s">
        <v>199</v>
      </c>
    </row>
    <row r="6273" spans="1:5" x14ac:dyDescent="0.2">
      <c r="A6273">
        <v>6212</v>
      </c>
      <c r="B6273" s="138">
        <f>'Acct Summary 7-8'!I82</f>
        <v>166172</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0.14373640160311771</v>
      </c>
      <c r="D6276" s="2" t="str">
        <f t="shared" si="97"/>
        <v>Error?</v>
      </c>
      <c r="E6276" s="2" t="s">
        <v>199</v>
      </c>
    </row>
    <row r="6277" spans="1:5" x14ac:dyDescent="0.2">
      <c r="A6277">
        <v>6216</v>
      </c>
      <c r="B6277" s="138">
        <f>'Acct Summary 7-8'!D83</f>
        <v>0.11695632940211899</v>
      </c>
      <c r="D6277" s="2" t="str">
        <f t="shared" si="97"/>
        <v>Error?</v>
      </c>
      <c r="E6277" s="2" t="s">
        <v>199</v>
      </c>
    </row>
    <row r="6278" spans="1:5" x14ac:dyDescent="0.2">
      <c r="A6278">
        <v>6217</v>
      </c>
      <c r="B6278" s="138">
        <f>'Acct Summary 7-8'!E83</f>
        <v>0.80556548876824552</v>
      </c>
      <c r="D6278" s="2" t="str">
        <f t="shared" si="97"/>
        <v>Error?</v>
      </c>
      <c r="E6278" s="2" t="s">
        <v>199</v>
      </c>
    </row>
    <row r="6279" spans="1:5" x14ac:dyDescent="0.2">
      <c r="A6279">
        <v>6218</v>
      </c>
      <c r="B6279" s="138">
        <f>'Acct Summary 7-8'!F83</f>
        <v>-5.4721717798435987E-2</v>
      </c>
      <c r="D6279" s="2" t="str">
        <f t="shared" si="97"/>
        <v>Error?</v>
      </c>
      <c r="E6279" s="2" t="s">
        <v>199</v>
      </c>
    </row>
    <row r="6280" spans="1:5" x14ac:dyDescent="0.2">
      <c r="A6280">
        <v>6219</v>
      </c>
      <c r="B6280" s="138">
        <f>'Acct Summary 7-8'!G83</f>
        <v>3.0239863903659358E-2</v>
      </c>
      <c r="D6280" s="2" t="str">
        <f t="shared" si="97"/>
        <v>Error?</v>
      </c>
      <c r="E6280" s="2" t="s">
        <v>199</v>
      </c>
    </row>
    <row r="6281" spans="1:5" x14ac:dyDescent="0.2">
      <c r="A6281">
        <v>6220</v>
      </c>
      <c r="B6281" s="138">
        <f>'Acct Summary 7-8'!H83</f>
        <v>7.1087701933613773E-2</v>
      </c>
      <c r="D6281" s="2" t="str">
        <f t="shared" si="97"/>
        <v>Error?</v>
      </c>
      <c r="E6281" s="2" t="s">
        <v>199</v>
      </c>
    </row>
    <row r="6282" spans="1:5" x14ac:dyDescent="0.2">
      <c r="A6282">
        <v>6221</v>
      </c>
      <c r="B6282" s="138">
        <f>'Acct Summary 7-8'!I83</f>
        <v>0.15667750016735826</v>
      </c>
      <c r="D6282" s="2" t="str">
        <f t="shared" si="97"/>
        <v>Error?</v>
      </c>
      <c r="E6282" s="2" t="s">
        <v>199</v>
      </c>
    </row>
    <row r="6283" spans="1:5" x14ac:dyDescent="0.2">
      <c r="A6283">
        <v>6222</v>
      </c>
      <c r="B6283" s="138" t="e">
        <f>'Acct Summary 7-8'!J83</f>
        <v>#DIV/0!</v>
      </c>
      <c r="D6283" s="2" t="e">
        <f t="shared" si="97"/>
        <v>#DIV/0!</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5985</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9547</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783</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98453</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180287</v>
      </c>
      <c r="D6880" s="2" t="str">
        <f t="shared" si="106"/>
        <v>Error?</v>
      </c>
    </row>
    <row r="6881" spans="1:4" x14ac:dyDescent="0.2">
      <c r="A6881">
        <v>6820</v>
      </c>
      <c r="B6881" s="138">
        <f>'Expenditures 15-22'!K22</f>
        <v>180287</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10330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4925</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4925</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682</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682</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4925</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48384</v>
      </c>
      <c r="D6983" s="2" t="str">
        <f t="shared" si="108"/>
        <v>Error?</v>
      </c>
    </row>
    <row r="6984" spans="1:4" x14ac:dyDescent="0.2">
      <c r="A6984">
        <v>6923</v>
      </c>
      <c r="B6984" s="138">
        <f>'Expenditures 15-22'!K86</f>
        <v>48384</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1833</v>
      </c>
      <c r="D6987" s="2" t="str">
        <f t="shared" si="108"/>
        <v>Error?</v>
      </c>
    </row>
    <row r="6988" spans="1:4" x14ac:dyDescent="0.2">
      <c r="A6988">
        <v>6927</v>
      </c>
      <c r="B6988" s="138">
        <f>'Expenditures 15-22'!K88</f>
        <v>1833</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50217</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15255</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18875</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18875</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18875</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18875</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1243</v>
      </c>
      <c r="D7079" s="2" t="str">
        <f t="shared" si="109"/>
        <v>Error?</v>
      </c>
    </row>
    <row r="7080" spans="1:4" x14ac:dyDescent="0.2">
      <c r="A7080">
        <v>7019</v>
      </c>
      <c r="B7080" s="138">
        <f>'Expenditures 15-22'!K226</f>
        <v>1243</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85694</v>
      </c>
      <c r="D7263" s="2" t="str">
        <f t="shared" si="112"/>
        <v>Error?</v>
      </c>
    </row>
    <row r="7264" spans="1:4" x14ac:dyDescent="0.2">
      <c r="A7264">
        <f t="shared" si="113"/>
        <v>7203</v>
      </c>
      <c r="B7264" s="138">
        <f>'Expenditures 15-22'!D17</f>
        <v>11698</v>
      </c>
      <c r="D7264" s="2" t="str">
        <f t="shared" si="112"/>
        <v>Error?</v>
      </c>
    </row>
    <row r="7265" spans="1:5" x14ac:dyDescent="0.2">
      <c r="A7265">
        <f t="shared" si="113"/>
        <v>7204</v>
      </c>
      <c r="B7265" s="138">
        <f>'Expenditures 15-22'!E17</f>
        <v>429</v>
      </c>
      <c r="D7265" s="2" t="str">
        <f t="shared" si="112"/>
        <v>Error?</v>
      </c>
    </row>
    <row r="7266" spans="1:5" x14ac:dyDescent="0.2">
      <c r="A7266">
        <f t="shared" si="113"/>
        <v>7205</v>
      </c>
      <c r="B7266" s="138">
        <f>'Expenditures 15-22'!F17</f>
        <v>632</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34130</v>
      </c>
      <c r="D7624" s="2" t="str">
        <f t="shared" si="124"/>
        <v>Error?</v>
      </c>
      <c r="E7624" s="2" t="s">
        <v>19</v>
      </c>
    </row>
    <row r="7625" spans="1:5" x14ac:dyDescent="0.2">
      <c r="A7625">
        <f t="shared" si="123"/>
        <v>7564</v>
      </c>
      <c r="B7625" s="138">
        <f>'Cap Outlay Deprec 26'!I17</f>
        <v>3413</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765019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5985</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22925</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28910</v>
      </c>
      <c r="D7719" s="2" t="str">
        <f t="shared" si="126"/>
        <v>Error?</v>
      </c>
      <c r="E7719" s="2" t="s">
        <v>881</v>
      </c>
    </row>
    <row r="7720" spans="1:6" x14ac:dyDescent="0.2">
      <c r="A7720">
        <v>7659</v>
      </c>
      <c r="B7720" s="138">
        <f>'Rest Tax Levies-Tort Im 25'!H14</f>
        <v>105928</v>
      </c>
      <c r="D7720" s="2" t="str">
        <f t="shared" si="126"/>
        <v>Error?</v>
      </c>
      <c r="E7720" s="2" t="s">
        <v>881</v>
      </c>
    </row>
    <row r="7721" spans="1:6" x14ac:dyDescent="0.2">
      <c r="A7721">
        <v>7660</v>
      </c>
      <c r="B7721" s="138">
        <f>'Rest Tax Levies-Tort Im 25'!K14</f>
        <v>28910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0</v>
      </c>
      <c r="D7797" s="2" t="str">
        <f t="shared" si="127"/>
        <v>Error?</v>
      </c>
      <c r="E7797" s="4" t="s">
        <v>2020</v>
      </c>
    </row>
    <row r="7798" spans="1:5" x14ac:dyDescent="0.2">
      <c r="A7798">
        <v>7737</v>
      </c>
      <c r="B7798" s="138">
        <f>'Contracts Paid in CY 29'!F141</f>
        <v>0</v>
      </c>
      <c r="D7798" s="2" t="str">
        <f t="shared" si="127"/>
        <v>Error?</v>
      </c>
      <c r="E7798" s="4" t="s">
        <v>2020</v>
      </c>
    </row>
    <row r="7799" spans="1:5" x14ac:dyDescent="0.2">
      <c r="A7799">
        <v>7738</v>
      </c>
      <c r="B7799" s="138">
        <f>'Contracts Paid in CY 29'!G141</f>
        <v>0</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election activeCell="G15" sqref="G15:L15"/>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20" t="s">
        <v>1253</v>
      </c>
      <c r="B2" s="2420"/>
      <c r="C2" s="2420"/>
      <c r="D2" s="2420"/>
      <c r="E2" s="2420"/>
      <c r="F2" s="2420"/>
      <c r="G2" s="2420"/>
      <c r="H2" s="2420"/>
      <c r="I2" s="2420"/>
      <c r="J2" s="2420"/>
      <c r="K2" s="2420"/>
      <c r="L2" s="2420"/>
    </row>
    <row r="3" spans="1:29" ht="13.5" customHeight="1" x14ac:dyDescent="0.2">
      <c r="A3" s="2406" t="s">
        <v>1252</v>
      </c>
      <c r="B3" s="2406"/>
      <c r="C3" s="2406"/>
      <c r="D3" s="2406"/>
      <c r="E3" s="2406"/>
      <c r="F3" s="2406"/>
      <c r="G3" s="2406"/>
      <c r="H3" s="2406"/>
      <c r="I3" s="2406"/>
      <c r="J3" s="2406"/>
      <c r="K3" s="2406"/>
      <c r="L3" s="2406"/>
    </row>
    <row r="4" spans="1:29" ht="13.5" customHeight="1" x14ac:dyDescent="0.2">
      <c r="A4" s="2420" t="s">
        <v>1799</v>
      </c>
      <c r="B4" s="2437"/>
      <c r="C4" s="2437"/>
      <c r="D4" s="2437"/>
      <c r="E4" s="2437"/>
      <c r="F4" s="2437"/>
      <c r="G4" s="2437"/>
      <c r="H4" s="2437"/>
      <c r="I4" s="2437"/>
      <c r="J4" s="2437"/>
      <c r="K4" s="2437"/>
      <c r="L4" s="2437"/>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00" t="str">
        <f>COVER!A17</f>
        <v>Richmond-Burton CHSD 157</v>
      </c>
      <c r="B7" s="2401"/>
      <c r="C7" s="2401"/>
      <c r="D7" s="2438"/>
      <c r="E7" s="2439">
        <f>COVER!A13</f>
        <v>44063157016</v>
      </c>
      <c r="F7" s="2440"/>
      <c r="G7" s="2407" t="str">
        <f>COVER!T23</f>
        <v>066-005142</v>
      </c>
      <c r="H7" s="2408"/>
      <c r="I7" s="2408"/>
      <c r="J7" s="2408"/>
      <c r="K7" s="2408"/>
      <c r="L7" s="2409"/>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10"/>
      <c r="B9" s="2411"/>
      <c r="C9" s="2411"/>
      <c r="D9" s="2411"/>
      <c r="E9" s="2411"/>
      <c r="F9" s="2412"/>
      <c r="G9" s="2413" t="str">
        <f>COVER!T13</f>
        <v>EDER, CASELLA &amp; CO.</v>
      </c>
      <c r="H9" s="2414"/>
      <c r="I9" s="2414"/>
      <c r="J9" s="2414"/>
      <c r="K9" s="2414"/>
      <c r="L9" s="2415"/>
    </row>
    <row r="10" spans="1:29" ht="13.5" customHeight="1" x14ac:dyDescent="0.2">
      <c r="A10" s="2397">
        <f>COVER!A38</f>
        <v>0</v>
      </c>
      <c r="B10" s="2398"/>
      <c r="C10" s="2398"/>
      <c r="D10" s="2398"/>
      <c r="E10" s="2398"/>
      <c r="F10" s="2399"/>
      <c r="G10" s="2413" t="str">
        <f>COVER!T17</f>
        <v>5400 WEST ELM STREET</v>
      </c>
      <c r="H10" s="2426"/>
      <c r="I10" s="2426"/>
      <c r="J10" s="2426"/>
      <c r="K10" s="2426"/>
      <c r="L10" s="2427"/>
    </row>
    <row r="11" spans="1:29" ht="13.5" customHeight="1" x14ac:dyDescent="0.2">
      <c r="A11" s="1185" t="s">
        <v>1599</v>
      </c>
      <c r="B11" s="1186"/>
      <c r="C11" s="1187"/>
      <c r="D11" s="1192"/>
      <c r="E11" s="1187"/>
      <c r="F11" s="1191"/>
      <c r="G11" s="2413" t="str">
        <f>COVER!T19</f>
        <v>MCHENRY</v>
      </c>
      <c r="H11" s="2426"/>
      <c r="I11" s="2426"/>
      <c r="J11" s="2426"/>
      <c r="K11" s="2426"/>
      <c r="L11" s="2427"/>
    </row>
    <row r="12" spans="1:29" ht="13.5" customHeight="1" x14ac:dyDescent="0.2">
      <c r="A12" s="2431" t="s">
        <v>1598</v>
      </c>
      <c r="B12" s="2432"/>
      <c r="C12" s="2432"/>
      <c r="D12" s="2432"/>
      <c r="E12" s="2432"/>
      <c r="F12" s="2433"/>
      <c r="G12" s="2428"/>
      <c r="H12" s="2429"/>
      <c r="I12" s="2429"/>
      <c r="J12" s="2429"/>
      <c r="K12" s="2429"/>
      <c r="L12" s="2430"/>
    </row>
    <row r="13" spans="1:29" ht="13.5" customHeight="1" x14ac:dyDescent="0.2">
      <c r="A13" s="2413"/>
      <c r="B13" s="2426"/>
      <c r="C13" s="2426"/>
      <c r="D13" s="2426"/>
      <c r="E13" s="2426"/>
      <c r="F13" s="2427"/>
      <c r="G13" s="2421" t="s">
        <v>1600</v>
      </c>
      <c r="H13" s="2422"/>
      <c r="I13" s="2434" t="str">
        <f>COVER!T25</f>
        <v>CPAS@EDERCASELLA.COM</v>
      </c>
      <c r="J13" s="2435"/>
      <c r="K13" s="2435"/>
      <c r="L13" s="2436"/>
    </row>
    <row r="14" spans="1:29" ht="13.5" customHeight="1" x14ac:dyDescent="0.2">
      <c r="A14" s="2413" t="str">
        <f>COVER!A19</f>
        <v>4213 ROUTE 12</v>
      </c>
      <c r="B14" s="2426"/>
      <c r="C14" s="2426"/>
      <c r="D14" s="2426"/>
      <c r="E14" s="2426"/>
      <c r="F14" s="2427"/>
      <c r="G14" s="1196" t="s">
        <v>1247</v>
      </c>
      <c r="H14" s="1194"/>
      <c r="I14" s="1194"/>
      <c r="J14" s="1194"/>
      <c r="K14" s="1194"/>
      <c r="L14" s="1195"/>
    </row>
    <row r="15" spans="1:29" ht="13.5" customHeight="1" x14ac:dyDescent="0.2">
      <c r="A15" s="2413" t="str">
        <f>COVER!A21</f>
        <v>RICHMOND</v>
      </c>
      <c r="B15" s="2426"/>
      <c r="C15" s="2426"/>
      <c r="D15" s="2426"/>
      <c r="E15" s="2426"/>
      <c r="F15" s="2427"/>
      <c r="G15" s="2423" t="str">
        <f>COVER!T15</f>
        <v>KEVIN SMITH</v>
      </c>
      <c r="H15" s="2424"/>
      <c r="I15" s="2424"/>
      <c r="J15" s="2424"/>
      <c r="K15" s="2424"/>
      <c r="L15" s="2425"/>
    </row>
    <row r="16" spans="1:29" ht="12.2" customHeight="1" x14ac:dyDescent="0.2">
      <c r="A16" s="2403">
        <f>COVER!A25</f>
        <v>60071</v>
      </c>
      <c r="B16" s="2404"/>
      <c r="C16" s="2404"/>
      <c r="D16" s="2404"/>
      <c r="E16" s="2404"/>
      <c r="F16" s="2405"/>
      <c r="G16" s="2416"/>
      <c r="H16" s="2417"/>
      <c r="I16" s="2417"/>
      <c r="J16" s="2417"/>
      <c r="K16" s="2417"/>
      <c r="L16" s="2418"/>
    </row>
    <row r="17" spans="1:13" ht="12.2" customHeight="1" x14ac:dyDescent="0.2">
      <c r="A17" s="2419"/>
      <c r="B17" s="2404"/>
      <c r="C17" s="2404"/>
      <c r="D17" s="2404"/>
      <c r="E17" s="2404"/>
      <c r="F17" s="2405"/>
      <c r="G17" s="1196" t="s">
        <v>1246</v>
      </c>
      <c r="H17" s="1194"/>
      <c r="I17" s="1194"/>
      <c r="J17" s="1194"/>
      <c r="K17" s="1198" t="s">
        <v>1245</v>
      </c>
      <c r="L17" s="1191"/>
      <c r="M17" s="1184"/>
    </row>
    <row r="18" spans="1:13" ht="12.2" customHeight="1" x14ac:dyDescent="0.2">
      <c r="A18" s="2397"/>
      <c r="B18" s="2398"/>
      <c r="C18" s="2398"/>
      <c r="D18" s="2398"/>
      <c r="E18" s="2398"/>
      <c r="F18" s="2399"/>
      <c r="G18" s="2400" t="str">
        <f>COVER!T21</f>
        <v>815-344-1300</v>
      </c>
      <c r="H18" s="2401"/>
      <c r="I18" s="2401"/>
      <c r="J18" s="2401"/>
      <c r="K18" s="2400" t="str">
        <f>COVER!X21</f>
        <v>815-344-1320</v>
      </c>
      <c r="L18" s="2402"/>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1947</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51" right="0.27" top="0.68" bottom="1" header="0.26" footer="0.5"/>
  <pageSetup scale="99"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D48" sqref="D48"/>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1" t="str">
        <f>'Single Audit Cover'!A7</f>
        <v>Richmond-Burton CHSD 157</v>
      </c>
      <c r="B1" s="2437"/>
      <c r="C1" s="2437"/>
      <c r="D1" s="2437"/>
    </row>
    <row r="2" spans="1:11" s="1215" customFormat="1" ht="12.75" x14ac:dyDescent="0.2">
      <c r="A2" s="2442">
        <f>'Single Audit Cover'!E7</f>
        <v>44063157016</v>
      </c>
      <c r="B2" s="2443"/>
      <c r="C2" s="2443"/>
      <c r="D2" s="2443"/>
    </row>
    <row r="3" spans="1:11" s="1215" customFormat="1" ht="12.75" x14ac:dyDescent="0.2">
      <c r="A3" s="2441" t="s">
        <v>1593</v>
      </c>
      <c r="B3" s="2437"/>
      <c r="C3" s="2437"/>
      <c r="D3" s="2437"/>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1948</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56000000000000005" right="0" top="0.75" bottom="0.91" header="0.3" footer="0.3"/>
  <pageSetup scale="95" firstPageNumber="36" fitToHeight="0" orientation="portrait" useFirstPageNumber="1" r:id="rId5"/>
  <headerFooter alignWithMargins="0">
    <oddHeader>&amp;L&amp;8Page 38&amp;R&amp;8Page 38</oddHeader>
  </headerFooter>
  <rowBreaks count="1" manualBreakCount="1">
    <brk id="93" max="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D10" sqref="D10"/>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5" t="str">
        <f>'Single Audit Cover'!A7</f>
        <v>Richmond-Burton CHSD 157</v>
      </c>
      <c r="B1" s="2445"/>
      <c r="C1" s="2445"/>
      <c r="D1" s="2445"/>
      <c r="E1" s="2445"/>
    </row>
    <row r="2" spans="1:5" x14ac:dyDescent="0.2">
      <c r="A2" s="2446">
        <f>'Single Audit Cover'!E7</f>
        <v>44063157016</v>
      </c>
      <c r="B2" s="2446"/>
      <c r="C2" s="2446"/>
      <c r="D2" s="2446"/>
      <c r="E2" s="2446"/>
    </row>
    <row r="3" spans="1:5" ht="4.5" customHeight="1" x14ac:dyDescent="0.2"/>
    <row r="4" spans="1:5" x14ac:dyDescent="0.2">
      <c r="A4" s="2445" t="s">
        <v>1307</v>
      </c>
      <c r="B4" s="2445"/>
      <c r="C4" s="2445"/>
      <c r="D4" s="2445"/>
      <c r="E4" s="2445"/>
    </row>
    <row r="5" spans="1:5" x14ac:dyDescent="0.2">
      <c r="A5" s="2448" t="str">
        <f>'Single Audit Cover'!A4</f>
        <v>Year Ending June 30, 2018</v>
      </c>
      <c r="B5" s="2448"/>
      <c r="C5" s="2448"/>
      <c r="D5" s="2448"/>
      <c r="E5" s="2448"/>
    </row>
    <row r="6" spans="1:5" x14ac:dyDescent="0.2">
      <c r="A6" s="2445" t="s">
        <v>1306</v>
      </c>
      <c r="B6" s="2445"/>
      <c r="C6" s="2445"/>
      <c r="D6" s="2445"/>
      <c r="E6" s="2445"/>
    </row>
    <row r="8" spans="1:5" x14ac:dyDescent="0.2">
      <c r="A8" s="1260" t="s">
        <v>1305</v>
      </c>
    </row>
    <row r="10" spans="1:5" x14ac:dyDescent="0.2">
      <c r="A10" s="1261" t="s">
        <v>1304</v>
      </c>
      <c r="B10" s="1262" t="s">
        <v>1303</v>
      </c>
      <c r="C10" s="1262"/>
      <c r="D10" s="1263">
        <f>SUM('Acct Summary 7-8'!C7:K7)</f>
        <v>158925</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0</v>
      </c>
    </row>
    <row r="15" spans="1:5" x14ac:dyDescent="0.2">
      <c r="A15" s="1261"/>
      <c r="B15" s="1262"/>
      <c r="C15" s="1262"/>
    </row>
    <row r="16" spans="1:5" x14ac:dyDescent="0.2">
      <c r="A16" s="1261" t="s">
        <v>1956</v>
      </c>
      <c r="B16" s="1262"/>
      <c r="C16" s="1262"/>
    </row>
    <row r="17" spans="1:4" x14ac:dyDescent="0.2">
      <c r="A17" s="1261" t="s">
        <v>1601</v>
      </c>
      <c r="B17" s="1262" t="s">
        <v>1298</v>
      </c>
      <c r="C17" s="1262"/>
      <c r="D17" s="1264">
        <f>-SUM('Revenues 9-14'!C271:D271,'Revenues 9-14'!F271:G271)</f>
        <v>0</v>
      </c>
    </row>
    <row r="19" spans="1:4" ht="13.5" thickBot="1" x14ac:dyDescent="0.25">
      <c r="A19" s="1265" t="s">
        <v>1297</v>
      </c>
      <c r="D19" s="1266">
        <f>SUM(D10:D17)</f>
        <v>158925</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7"/>
      <c r="B24" s="2447"/>
      <c r="D24" s="1268"/>
    </row>
    <row r="25" spans="1:4" x14ac:dyDescent="0.2">
      <c r="A25" s="2444"/>
      <c r="B25" s="2444"/>
      <c r="D25" s="1268"/>
    </row>
    <row r="26" spans="1:4" x14ac:dyDescent="0.2">
      <c r="A26" s="2444"/>
      <c r="B26" s="2444"/>
      <c r="D26" s="1268"/>
    </row>
    <row r="27" spans="1:4" x14ac:dyDescent="0.2">
      <c r="A27" s="2444"/>
      <c r="B27" s="2444"/>
      <c r="D27" s="1268"/>
    </row>
    <row r="28" spans="1:4" x14ac:dyDescent="0.2">
      <c r="A28" s="2444"/>
      <c r="B28" s="2444"/>
      <c r="D28" s="1268"/>
    </row>
    <row r="29" spans="1:4" x14ac:dyDescent="0.2">
      <c r="A29" s="2444"/>
      <c r="B29" s="2444"/>
      <c r="D29" s="1268"/>
    </row>
    <row r="30" spans="1:4" x14ac:dyDescent="0.2">
      <c r="A30" s="2444"/>
      <c r="B30" s="2444"/>
      <c r="D30" s="1268"/>
    </row>
    <row r="32" spans="1:4" x14ac:dyDescent="0.2">
      <c r="A32" s="1260" t="s">
        <v>1295</v>
      </c>
      <c r="D32" s="1263">
        <f>SUM(D19:D30)</f>
        <v>158925</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4"/>
      <c r="B40" s="2444"/>
      <c r="D40" s="1268"/>
    </row>
    <row r="41" spans="1:4" x14ac:dyDescent="0.2">
      <c r="A41" s="2444"/>
      <c r="B41" s="2444"/>
      <c r="D41" s="1271"/>
    </row>
    <row r="42" spans="1:4" x14ac:dyDescent="0.2">
      <c r="A42" s="2444"/>
      <c r="B42" s="2444"/>
      <c r="D42" s="1271"/>
    </row>
    <row r="43" spans="1:4" x14ac:dyDescent="0.2">
      <c r="A43" s="2444"/>
      <c r="B43" s="2444"/>
      <c r="D43" s="1271"/>
    </row>
    <row r="44" spans="1:4" x14ac:dyDescent="0.2">
      <c r="A44" s="2444"/>
      <c r="B44" s="2444"/>
      <c r="D44" s="1271"/>
    </row>
    <row r="45" spans="1:4" x14ac:dyDescent="0.2">
      <c r="A45" s="2444"/>
      <c r="B45" s="2444"/>
      <c r="D45" s="1271"/>
    </row>
    <row r="47" spans="1:4" x14ac:dyDescent="0.2">
      <c r="B47" s="1272" t="s">
        <v>1289</v>
      </c>
      <c r="C47" s="1272"/>
      <c r="D47" s="1273">
        <f>SUM(D35:D45)</f>
        <v>0</v>
      </c>
    </row>
    <row r="49" spans="2:4" x14ac:dyDescent="0.2">
      <c r="B49" s="1272" t="s">
        <v>1288</v>
      </c>
      <c r="C49" s="1272"/>
      <c r="D49" s="1273">
        <f>D32-D47</f>
        <v>158925</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H22" sqref="H22"/>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0" t="str">
        <f>'Single Audit Cover'!A7</f>
        <v>Richmond-Burton CHSD 157</v>
      </c>
      <c r="B1" s="2450"/>
      <c r="C1" s="2450"/>
      <c r="D1" s="2450"/>
      <c r="E1" s="2450"/>
      <c r="F1" s="2450"/>
    </row>
    <row r="2" spans="1:7" ht="13.5" customHeight="1" x14ac:dyDescent="0.2">
      <c r="A2" s="2451">
        <f>'Single Audit Cover'!E7</f>
        <v>44063157016</v>
      </c>
      <c r="B2" s="2451"/>
      <c r="C2" s="2451"/>
      <c r="D2" s="2451"/>
      <c r="E2" s="2451"/>
      <c r="F2" s="2451"/>
      <c r="G2" s="1275"/>
    </row>
    <row r="3" spans="1:7" ht="15.75" customHeight="1" x14ac:dyDescent="0.2">
      <c r="A3" s="2452" t="s">
        <v>1333</v>
      </c>
      <c r="B3" s="2452"/>
      <c r="C3" s="2452"/>
      <c r="D3" s="2452"/>
      <c r="E3" s="2452"/>
      <c r="F3" s="2452"/>
    </row>
    <row r="4" spans="1:7" ht="13.5" customHeight="1" x14ac:dyDescent="0.2">
      <c r="A4" s="2453" t="str">
        <f>'Single Audit Cover'!A4</f>
        <v>Year Ending June 30, 2018</v>
      </c>
      <c r="B4" s="2453"/>
      <c r="C4" s="2453"/>
      <c r="D4" s="2453"/>
      <c r="E4" s="2453"/>
      <c r="F4" s="2453"/>
    </row>
    <row r="5" spans="1:7" ht="8.25" customHeight="1" x14ac:dyDescent="0.2">
      <c r="C5" s="317"/>
      <c r="D5" s="317"/>
    </row>
    <row r="6" spans="1:7" ht="13.5" customHeight="1" x14ac:dyDescent="0.2">
      <c r="A6" s="1276" t="s">
        <v>1831</v>
      </c>
      <c r="C6" s="317"/>
      <c r="D6" s="317"/>
    </row>
    <row r="7" spans="1:7" ht="60.95" customHeight="1" x14ac:dyDescent="0.2">
      <c r="A7" s="2449" t="s">
        <v>1832</v>
      </c>
      <c r="B7" s="2449"/>
      <c r="C7" s="2449"/>
      <c r="D7" s="2449"/>
      <c r="E7" s="2449"/>
      <c r="F7" s="2449"/>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49" t="s">
        <v>1834</v>
      </c>
      <c r="B13" s="2449"/>
      <c r="C13" s="2449"/>
      <c r="D13" s="2449"/>
      <c r="E13" s="2449"/>
      <c r="F13" s="2449"/>
    </row>
    <row r="14" spans="1:7" ht="9.75" customHeight="1" x14ac:dyDescent="0.2">
      <c r="C14" s="1260"/>
      <c r="D14" s="1260"/>
    </row>
    <row r="15" spans="1:7" ht="13.5" customHeight="1" x14ac:dyDescent="0.2">
      <c r="C15" s="1871" t="s">
        <v>1332</v>
      </c>
      <c r="D15" s="2455" t="s">
        <v>1331</v>
      </c>
      <c r="E15" s="2455"/>
      <c r="F15" s="2455"/>
    </row>
    <row r="16" spans="1:7" ht="13.5" customHeight="1" x14ac:dyDescent="0.2">
      <c r="A16" s="1282"/>
      <c r="B16" s="1276" t="s">
        <v>1330</v>
      </c>
      <c r="C16" s="1871" t="s">
        <v>1329</v>
      </c>
      <c r="D16" s="2456" t="s">
        <v>1670</v>
      </c>
      <c r="E16" s="2456"/>
      <c r="F16" s="2456"/>
    </row>
    <row r="17" spans="1:6" ht="20.45" customHeight="1" x14ac:dyDescent="0.2">
      <c r="A17" s="1283"/>
      <c r="B17" s="1284"/>
      <c r="C17" s="1285"/>
      <c r="D17" s="2454"/>
      <c r="E17" s="2454"/>
      <c r="F17" s="2454"/>
    </row>
    <row r="18" spans="1:6" ht="20.65" customHeight="1" x14ac:dyDescent="0.2">
      <c r="A18" s="1283"/>
      <c r="B18" s="1284"/>
      <c r="C18" s="1285"/>
      <c r="D18" s="2454"/>
      <c r="E18" s="2454"/>
      <c r="F18" s="2454"/>
    </row>
    <row r="19" spans="1:6" ht="20.65" customHeight="1" x14ac:dyDescent="0.2">
      <c r="A19" s="1283"/>
      <c r="B19" s="1284"/>
      <c r="C19" s="1285"/>
      <c r="D19" s="2454"/>
      <c r="E19" s="2454"/>
      <c r="F19" s="2454"/>
    </row>
    <row r="20" spans="1:6" ht="20.65" customHeight="1" x14ac:dyDescent="0.2">
      <c r="A20" s="1283"/>
      <c r="B20" s="1284"/>
      <c r="C20" s="1285"/>
      <c r="D20" s="2454"/>
      <c r="E20" s="2454"/>
      <c r="F20" s="2454"/>
    </row>
    <row r="21" spans="1:6" ht="20.65" customHeight="1" x14ac:dyDescent="0.2">
      <c r="A21" s="1283"/>
      <c r="B21" s="1284"/>
      <c r="C21" s="1285"/>
      <c r="D21" s="2454"/>
      <c r="E21" s="2454"/>
      <c r="F21" s="2454"/>
    </row>
    <row r="22" spans="1:6" ht="20.65" customHeight="1" x14ac:dyDescent="0.2">
      <c r="A22" s="1283"/>
      <c r="B22" s="1284"/>
      <c r="C22" s="1285"/>
      <c r="D22" s="2454"/>
      <c r="E22" s="2454"/>
      <c r="F22" s="2454"/>
    </row>
    <row r="23" spans="1:6" ht="20.65" customHeight="1" x14ac:dyDescent="0.2">
      <c r="A23" s="1283"/>
      <c r="B23" s="1284"/>
      <c r="C23" s="1285"/>
      <c r="D23" s="2454"/>
      <c r="E23" s="2454"/>
      <c r="F23" s="2454"/>
    </row>
    <row r="24" spans="1:6" ht="20.65" customHeight="1" x14ac:dyDescent="0.2">
      <c r="A24" s="1283"/>
      <c r="B24" s="1284"/>
      <c r="C24" s="1285"/>
      <c r="D24" s="2454"/>
      <c r="E24" s="2454"/>
      <c r="F24" s="2454"/>
    </row>
    <row r="25" spans="1:6" ht="20.65" customHeight="1" x14ac:dyDescent="0.2">
      <c r="A25" s="1283"/>
      <c r="B25" s="1284"/>
      <c r="C25" s="1285"/>
      <c r="D25" s="2454"/>
      <c r="E25" s="2454"/>
      <c r="F25" s="2454"/>
    </row>
    <row r="26" spans="1:6" ht="20.65" customHeight="1" x14ac:dyDescent="0.2">
      <c r="A26" s="1283"/>
      <c r="B26" s="1284"/>
      <c r="C26" s="1285"/>
      <c r="D26" s="2454"/>
      <c r="E26" s="2454"/>
      <c r="F26" s="2454"/>
    </row>
    <row r="27" spans="1:6" ht="20.65" customHeight="1" x14ac:dyDescent="0.2">
      <c r="A27" s="1283"/>
      <c r="B27" s="1284"/>
      <c r="C27" s="1285"/>
      <c r="D27" s="2454"/>
      <c r="E27" s="2454"/>
      <c r="F27" s="2454"/>
    </row>
    <row r="28" spans="1:6" ht="20.65" customHeight="1" x14ac:dyDescent="0.2">
      <c r="A28" s="1283"/>
      <c r="B28" s="1284"/>
      <c r="C28" s="1285"/>
      <c r="D28" s="2454"/>
      <c r="E28" s="2454"/>
      <c r="F28" s="2454"/>
    </row>
    <row r="29" spans="1:6" ht="20.65" customHeight="1" x14ac:dyDescent="0.2">
      <c r="A29" s="1283"/>
      <c r="B29" s="1284"/>
      <c r="C29" s="1285"/>
      <c r="D29" s="2454"/>
      <c r="E29" s="2454"/>
      <c r="F29" s="2454"/>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58" t="s">
        <v>1835</v>
      </c>
      <c r="B32" s="2458"/>
      <c r="C32" s="2458"/>
      <c r="D32" s="2458"/>
      <c r="E32" s="2458"/>
      <c r="F32" s="2458"/>
    </row>
    <row r="33" spans="1:6" ht="13.5" customHeight="1" x14ac:dyDescent="0.2">
      <c r="A33" s="328" t="s">
        <v>1509</v>
      </c>
      <c r="B33" s="328"/>
      <c r="C33" s="1288">
        <v>0</v>
      </c>
      <c r="D33" s="1928"/>
      <c r="E33" s="1286"/>
    </row>
    <row r="34" spans="1:6" ht="13.5" customHeight="1" x14ac:dyDescent="0.2">
      <c r="A34" s="328" t="s">
        <v>1949</v>
      </c>
      <c r="B34" s="328"/>
      <c r="C34" s="1289">
        <v>0</v>
      </c>
      <c r="D34" s="1928" t="s">
        <v>1671</v>
      </c>
      <c r="E34" s="2459">
        <f>+C33+C34</f>
        <v>0</v>
      </c>
      <c r="F34" s="2460"/>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61" t="s">
        <v>1672</v>
      </c>
      <c r="C49" s="2461"/>
      <c r="D49" s="2461"/>
      <c r="E49" s="1399"/>
    </row>
    <row r="50" spans="1:5" s="1300" customFormat="1" ht="3.75" customHeight="1" x14ac:dyDescent="0.2">
      <c r="A50" s="1299"/>
      <c r="B50" s="1870"/>
      <c r="C50" s="1870"/>
      <c r="D50" s="1870"/>
      <c r="E50" s="1399"/>
    </row>
    <row r="51" spans="1:5" s="1300" customFormat="1" ht="20.25" customHeight="1" x14ac:dyDescent="0.2">
      <c r="A51" s="1301">
        <v>6</v>
      </c>
      <c r="B51" s="2457" t="s">
        <v>1632</v>
      </c>
      <c r="C51" s="2457"/>
      <c r="D51" s="2457"/>
    </row>
    <row r="52" spans="1:5" ht="14.25" customHeight="1" x14ac:dyDescent="0.2">
      <c r="A52" s="1301"/>
      <c r="B52" s="2457"/>
      <c r="C52" s="2457"/>
      <c r="D52" s="2457"/>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3"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06" t="str">
        <f>'Single Audit Cover'!A7</f>
        <v>Richmond-Burton CHSD 157</v>
      </c>
      <c r="C1" s="2462"/>
      <c r="D1" s="2462"/>
      <c r="E1" s="2462"/>
      <c r="F1" s="2462"/>
      <c r="G1" s="2462"/>
      <c r="H1" s="2462"/>
      <c r="I1" s="2462"/>
      <c r="J1" s="2462"/>
      <c r="K1" s="2462"/>
      <c r="L1" s="2462"/>
      <c r="M1" s="2462"/>
    </row>
    <row r="2" spans="2:14" ht="15" x14ac:dyDescent="0.2">
      <c r="B2" s="2451">
        <f>'Single Audit Cover'!E7</f>
        <v>44063157016</v>
      </c>
      <c r="C2" s="2451"/>
      <c r="D2" s="2451"/>
      <c r="E2" s="2451"/>
      <c r="F2" s="2451"/>
      <c r="G2" s="2451"/>
      <c r="H2" s="2451"/>
      <c r="I2" s="2451"/>
      <c r="J2" s="2451"/>
      <c r="K2" s="2451"/>
      <c r="L2" s="2451"/>
      <c r="M2" s="2451"/>
      <c r="N2" s="1302"/>
    </row>
    <row r="3" spans="2:14" ht="15" x14ac:dyDescent="0.2">
      <c r="B3" s="2463" t="s">
        <v>1281</v>
      </c>
      <c r="C3" s="2463"/>
      <c r="D3" s="2463"/>
      <c r="E3" s="2463"/>
      <c r="F3" s="2463"/>
      <c r="G3" s="2463"/>
      <c r="H3" s="2463"/>
      <c r="I3" s="2463"/>
      <c r="J3" s="2463"/>
      <c r="K3" s="2463"/>
      <c r="L3" s="2463"/>
      <c r="M3" s="2463"/>
      <c r="N3" s="1302"/>
    </row>
    <row r="4" spans="2:14" ht="15" x14ac:dyDescent="0.2">
      <c r="B4" s="2464" t="str">
        <f>'Single Audit Cover'!A4</f>
        <v>Year Ending June 30, 2018</v>
      </c>
      <c r="C4" s="2464"/>
      <c r="D4" s="2464"/>
      <c r="E4" s="2464"/>
      <c r="F4" s="2464"/>
      <c r="G4" s="2464"/>
      <c r="H4" s="2464"/>
      <c r="I4" s="2464"/>
      <c r="J4" s="2464"/>
      <c r="K4" s="2464"/>
      <c r="L4" s="2464"/>
      <c r="M4" s="2464"/>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1950</v>
      </c>
      <c r="K8" s="1319" t="s">
        <v>1323</v>
      </c>
      <c r="L8" s="1320" t="s">
        <v>1319</v>
      </c>
      <c r="M8" s="1321" t="s">
        <v>30</v>
      </c>
    </row>
    <row r="9" spans="2:14" ht="14.25" x14ac:dyDescent="0.2">
      <c r="B9" s="1325" t="s">
        <v>1321</v>
      </c>
      <c r="C9" s="1313" t="s">
        <v>1838</v>
      </c>
      <c r="D9" s="1314" t="s">
        <v>1839</v>
      </c>
      <c r="E9" s="1322" t="s">
        <v>1663</v>
      </c>
      <c r="F9" s="1323" t="s">
        <v>1950</v>
      </c>
      <c r="G9" s="1324" t="s">
        <v>1663</v>
      </c>
      <c r="H9" s="1317" t="s">
        <v>1664</v>
      </c>
      <c r="I9" s="1319" t="s">
        <v>1950</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1951</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41"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9" t="str">
        <f>'Single Audit Cover'!A7</f>
        <v>Richmond-Burton CHSD 157</v>
      </c>
      <c r="C1" s="2470"/>
      <c r="D1" s="2470"/>
      <c r="E1" s="2470"/>
      <c r="F1" s="2470"/>
      <c r="G1" s="2470"/>
      <c r="H1" s="2470"/>
      <c r="I1" s="2470"/>
      <c r="J1" s="1422"/>
    </row>
    <row r="2" spans="2:10" s="317" customFormat="1" ht="12.75" customHeight="1" x14ac:dyDescent="0.2">
      <c r="B2" s="2471">
        <f>'Single Audit Cover'!E7</f>
        <v>44063157016</v>
      </c>
      <c r="C2" s="2472"/>
      <c r="D2" s="2472"/>
      <c r="E2" s="2472"/>
      <c r="F2" s="2472"/>
      <c r="G2" s="2472"/>
      <c r="H2" s="2472"/>
      <c r="I2" s="2472"/>
      <c r="J2" s="1422"/>
    </row>
    <row r="3" spans="2:10" s="317" customFormat="1" ht="12.75" customHeight="1" x14ac:dyDescent="0.2">
      <c r="B3" s="2473" t="s">
        <v>1347</v>
      </c>
      <c r="C3" s="2474"/>
      <c r="D3" s="2474"/>
      <c r="E3" s="2474"/>
      <c r="F3" s="2474"/>
      <c r="G3" s="2474"/>
      <c r="H3" s="2474"/>
      <c r="I3" s="2474"/>
      <c r="J3" s="1423"/>
    </row>
    <row r="4" spans="2:10" s="317" customFormat="1" ht="12.75" customHeight="1" x14ac:dyDescent="0.2">
      <c r="B4" s="2473" t="str">
        <f>'Single Audit Cover'!A4</f>
        <v>Year Ending June 30, 2018</v>
      </c>
      <c r="C4" s="2474"/>
      <c r="D4" s="2474"/>
      <c r="E4" s="2474"/>
      <c r="F4" s="2474"/>
      <c r="G4" s="2474"/>
      <c r="H4" s="2474"/>
      <c r="I4" s="2474"/>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73" t="s">
        <v>1346</v>
      </c>
      <c r="C7" s="2474"/>
      <c r="D7" s="2474"/>
      <c r="E7" s="2474"/>
      <c r="F7" s="2474"/>
      <c r="G7" s="2474"/>
      <c r="H7" s="2474"/>
      <c r="I7" s="2474"/>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75"/>
      <c r="D11" s="2475"/>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76"/>
      <c r="E29" s="2476"/>
      <c r="F29" s="2476"/>
      <c r="G29" s="2476"/>
      <c r="H29" s="2476"/>
      <c r="I29" s="2476"/>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77" t="s">
        <v>1854</v>
      </c>
      <c r="D37" s="2478"/>
      <c r="E37" s="2478"/>
      <c r="F37" s="2479"/>
      <c r="G37" s="2477" t="s">
        <v>1674</v>
      </c>
      <c r="H37" s="2478"/>
      <c r="I37" s="2479"/>
    </row>
    <row r="38" spans="2:9" ht="16.5" customHeight="1" x14ac:dyDescent="0.2">
      <c r="B38" s="1444"/>
      <c r="C38" s="2465"/>
      <c r="D38" s="2466"/>
      <c r="E38" s="2466"/>
      <c r="F38" s="2467"/>
      <c r="G38" s="2480"/>
      <c r="H38" s="2481"/>
      <c r="I38" s="2482"/>
    </row>
    <row r="39" spans="2:9" ht="16.5" customHeight="1" x14ac:dyDescent="0.2">
      <c r="B39" s="1444"/>
      <c r="C39" s="2465"/>
      <c r="D39" s="2466"/>
      <c r="E39" s="2466"/>
      <c r="F39" s="2467"/>
      <c r="G39" s="2468"/>
      <c r="H39" s="2468"/>
      <c r="I39" s="2468"/>
    </row>
    <row r="40" spans="2:9" ht="16.5" customHeight="1" x14ac:dyDescent="0.2">
      <c r="B40" s="1444"/>
      <c r="C40" s="2465"/>
      <c r="D40" s="2466"/>
      <c r="E40" s="2466"/>
      <c r="F40" s="2467"/>
      <c r="G40" s="2468"/>
      <c r="H40" s="2468"/>
      <c r="I40" s="2468"/>
    </row>
    <row r="41" spans="2:9" ht="16.5" customHeight="1" x14ac:dyDescent="0.2">
      <c r="B41" s="1444"/>
      <c r="C41" s="2465"/>
      <c r="D41" s="2466"/>
      <c r="E41" s="2466"/>
      <c r="F41" s="2467"/>
      <c r="G41" s="2468"/>
      <c r="H41" s="2468"/>
      <c r="I41" s="2468"/>
    </row>
    <row r="42" spans="2:9" ht="16.5" customHeight="1" x14ac:dyDescent="0.2">
      <c r="B42" s="1444"/>
      <c r="C42" s="2465"/>
      <c r="D42" s="2466"/>
      <c r="E42" s="2466"/>
      <c r="F42" s="2467"/>
      <c r="G42" s="2468"/>
      <c r="H42" s="2468"/>
      <c r="I42" s="2468"/>
    </row>
    <row r="43" spans="2:9" ht="16.5" customHeight="1" x14ac:dyDescent="0.2">
      <c r="B43" s="1444"/>
      <c r="C43" s="2483" t="s">
        <v>1675</v>
      </c>
      <c r="D43" s="2484"/>
      <c r="E43" s="2484"/>
      <c r="F43" s="2485"/>
      <c r="G43" s="2486">
        <f>SUM(G38:I42)</f>
        <v>0</v>
      </c>
      <c r="H43" s="2486"/>
      <c r="I43" s="2486"/>
    </row>
    <row r="44" spans="2:9" ht="12.75" customHeight="1" x14ac:dyDescent="0.2"/>
    <row r="45" spans="2:9" ht="12.75" customHeight="1" x14ac:dyDescent="0.2">
      <c r="B45" s="1435" t="s">
        <v>1952</v>
      </c>
      <c r="D45" s="2487">
        <v>0</v>
      </c>
      <c r="E45" s="2488"/>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89"/>
      <c r="F49" s="2489"/>
      <c r="G49" s="2489"/>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4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9" t="str">
        <f>'Single Audit Cover'!A7</f>
        <v>Richmond-Burton CHSD 157</v>
      </c>
      <c r="C1" s="2469"/>
      <c r="D1" s="2469"/>
      <c r="E1" s="2469"/>
      <c r="F1" s="2469"/>
      <c r="G1" s="2469"/>
      <c r="H1" s="2469"/>
      <c r="I1" s="2469"/>
      <c r="J1" s="2469"/>
      <c r="K1" s="2469"/>
      <c r="L1" s="1374"/>
      <c r="M1" s="1374"/>
    </row>
    <row r="2" spans="1:13" ht="12" customHeight="1" x14ac:dyDescent="0.2">
      <c r="B2" s="2471">
        <f>'Single Audit Cover'!E7</f>
        <v>44063157016</v>
      </c>
      <c r="C2" s="2471"/>
      <c r="D2" s="2471"/>
      <c r="E2" s="2471"/>
      <c r="F2" s="2471"/>
      <c r="G2" s="2471"/>
      <c r="H2" s="2471"/>
      <c r="I2" s="2471"/>
      <c r="J2" s="2471"/>
      <c r="K2" s="2471"/>
      <c r="L2" s="1375"/>
      <c r="M2" s="1376"/>
    </row>
    <row r="3" spans="1:13" ht="10.35" customHeight="1" x14ac:dyDescent="0.2">
      <c r="B3" s="2492" t="s">
        <v>1347</v>
      </c>
      <c r="C3" s="2492"/>
      <c r="D3" s="2492"/>
      <c r="E3" s="2492"/>
      <c r="F3" s="2492"/>
      <c r="G3" s="2492"/>
      <c r="H3" s="2492"/>
      <c r="I3" s="2492"/>
      <c r="J3" s="2492"/>
      <c r="K3" s="2492"/>
      <c r="L3" s="1377"/>
      <c r="M3" s="1377"/>
    </row>
    <row r="4" spans="1:13" ht="14.25" customHeight="1" x14ac:dyDescent="0.2">
      <c r="B4" s="2493" t="str">
        <f>'Single Audit Cover'!A4</f>
        <v>Year Ending June 30, 2018</v>
      </c>
      <c r="C4" s="2493"/>
      <c r="D4" s="2493"/>
      <c r="E4" s="2493"/>
      <c r="F4" s="2493"/>
      <c r="G4" s="2493"/>
      <c r="H4" s="2493"/>
      <c r="I4" s="2493"/>
      <c r="J4" s="2493"/>
      <c r="K4" s="2493"/>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3" t="s">
        <v>1363</v>
      </c>
      <c r="C7" s="2493"/>
      <c r="D7" s="2494"/>
      <c r="E7" s="2494"/>
      <c r="F7" s="2494"/>
      <c r="G7" s="2494"/>
      <c r="H7" s="2494"/>
      <c r="I7" s="2494"/>
      <c r="J7" s="2494"/>
      <c r="K7" s="2494"/>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1953</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1"/>
      <c r="C14" s="2491"/>
      <c r="D14" s="2491"/>
      <c r="E14" s="2491"/>
      <c r="F14" s="2491"/>
      <c r="G14" s="2491"/>
      <c r="H14" s="2491"/>
      <c r="I14" s="2491"/>
      <c r="J14" s="2491"/>
      <c r="K14" s="2491"/>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1"/>
      <c r="C17" s="2491"/>
      <c r="D17" s="2491"/>
      <c r="E17" s="2491"/>
      <c r="F17" s="2491"/>
      <c r="G17" s="2491"/>
      <c r="H17" s="2491"/>
      <c r="I17" s="2491"/>
      <c r="J17" s="2491"/>
      <c r="K17" s="2491"/>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5"/>
      <c r="C20" s="2495"/>
      <c r="D20" s="2491"/>
      <c r="E20" s="2491"/>
      <c r="F20" s="2491"/>
      <c r="G20" s="2491"/>
      <c r="H20" s="2491"/>
      <c r="I20" s="2491"/>
      <c r="J20" s="2491"/>
      <c r="K20" s="2491"/>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1"/>
      <c r="C23" s="2491"/>
      <c r="D23" s="2491"/>
      <c r="E23" s="2491"/>
      <c r="F23" s="2491"/>
      <c r="G23" s="2491"/>
      <c r="H23" s="2491"/>
      <c r="I23" s="2491"/>
      <c r="J23" s="2491"/>
      <c r="K23" s="2491"/>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1"/>
      <c r="C26" s="2491"/>
      <c r="D26" s="2491"/>
      <c r="E26" s="2491"/>
      <c r="F26" s="2491"/>
      <c r="G26" s="2491"/>
      <c r="H26" s="2491"/>
      <c r="I26" s="2491"/>
      <c r="J26" s="2491"/>
      <c r="K26" s="2491"/>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0"/>
      <c r="C29" s="2490"/>
      <c r="D29" s="2491"/>
      <c r="E29" s="2491"/>
      <c r="F29" s="2491"/>
      <c r="G29" s="2491"/>
      <c r="H29" s="2491"/>
      <c r="I29" s="2491"/>
      <c r="J29" s="2491"/>
      <c r="K29" s="2491"/>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0"/>
      <c r="C32" s="2490"/>
      <c r="D32" s="2491"/>
      <c r="E32" s="2491"/>
      <c r="F32" s="2491"/>
      <c r="G32" s="2491"/>
      <c r="H32" s="2491"/>
      <c r="I32" s="2491"/>
      <c r="J32" s="2491"/>
      <c r="K32" s="2491"/>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1954</v>
      </c>
      <c r="C36" s="1300"/>
      <c r="L36" s="1381"/>
    </row>
    <row r="37" spans="1:13" ht="9.6" customHeight="1" x14ac:dyDescent="0.2">
      <c r="B37" s="1300" t="s">
        <v>1955</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48"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6" t="str">
        <f>'Single Audit Cover'!A7</f>
        <v>Richmond-Burton CHSD 157</v>
      </c>
      <c r="C1" s="2496"/>
      <c r="D1" s="2496"/>
      <c r="E1" s="2496"/>
      <c r="F1" s="2496"/>
      <c r="G1" s="2496"/>
      <c r="H1" s="2496"/>
      <c r="I1" s="2496"/>
      <c r="J1" s="2496"/>
      <c r="K1" s="2496"/>
      <c r="L1" s="1465"/>
    </row>
    <row r="2" spans="1:12" ht="12.75" customHeight="1" x14ac:dyDescent="0.2">
      <c r="B2" s="2497">
        <f>'Single Audit Cover'!E7</f>
        <v>44063157016</v>
      </c>
      <c r="C2" s="2497"/>
      <c r="D2" s="2497"/>
      <c r="E2" s="2497"/>
      <c r="F2" s="2497"/>
      <c r="G2" s="2497"/>
      <c r="H2" s="2497"/>
      <c r="I2" s="2497"/>
      <c r="J2" s="2497"/>
      <c r="K2" s="2497"/>
      <c r="L2" s="1466"/>
    </row>
    <row r="3" spans="1:12" ht="12.75" customHeight="1" x14ac:dyDescent="0.2">
      <c r="B3" s="2492" t="s">
        <v>1347</v>
      </c>
      <c r="C3" s="2492"/>
      <c r="D3" s="2492"/>
      <c r="E3" s="2492"/>
      <c r="F3" s="2492"/>
      <c r="G3" s="2492"/>
      <c r="H3" s="2492"/>
      <c r="I3" s="2492"/>
      <c r="J3" s="2492"/>
      <c r="K3" s="2492"/>
      <c r="L3" s="1377"/>
    </row>
    <row r="4" spans="1:12" ht="12.75" customHeight="1" x14ac:dyDescent="0.2">
      <c r="B4" s="2492" t="str">
        <f>'Single Audit Cover'!A4</f>
        <v>Year Ending June 30, 2018</v>
      </c>
      <c r="C4" s="2492"/>
      <c r="D4" s="2492"/>
      <c r="E4" s="2492"/>
      <c r="F4" s="2492"/>
      <c r="G4" s="2492"/>
      <c r="H4" s="2492"/>
      <c r="I4" s="2492"/>
      <c r="J4" s="2492"/>
      <c r="K4" s="2492"/>
      <c r="L4" s="1377"/>
    </row>
    <row r="5" spans="1:12" ht="5.25" customHeight="1" x14ac:dyDescent="0.2">
      <c r="B5" s="1260" t="s">
        <v>1231</v>
      </c>
      <c r="C5" s="1260"/>
      <c r="L5" s="322"/>
    </row>
    <row r="6" spans="1:12" ht="30.75" customHeight="1" x14ac:dyDescent="0.2">
      <c r="A6" s="322"/>
      <c r="B6" s="2498" t="s">
        <v>1375</v>
      </c>
      <c r="C6" s="2498"/>
      <c r="D6" s="2498"/>
      <c r="E6" s="2498"/>
      <c r="F6" s="2498"/>
      <c r="G6" s="2498"/>
      <c r="H6" s="2498"/>
      <c r="I6" s="2498"/>
      <c r="J6" s="2498"/>
      <c r="K6" s="2498"/>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1953</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76"/>
      <c r="G12" s="2476"/>
      <c r="H12" s="2476"/>
      <c r="I12" s="2476"/>
      <c r="J12" s="2476"/>
      <c r="K12" s="2476"/>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499"/>
      <c r="E14" s="2499"/>
      <c r="F14" s="2499"/>
      <c r="H14" s="1475" t="s">
        <v>1370</v>
      </c>
      <c r="I14" s="2500"/>
      <c r="J14" s="2500"/>
      <c r="K14" s="2500"/>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0"/>
      <c r="E16" s="2500"/>
      <c r="F16" s="2500"/>
      <c r="G16" s="2500"/>
      <c r="H16" s="2500"/>
      <c r="I16" s="2500"/>
      <c r="J16" s="2500"/>
      <c r="K16" s="2500"/>
      <c r="L16" s="322"/>
    </row>
    <row r="17" spans="2:12" ht="13.5" customHeight="1" x14ac:dyDescent="0.2">
      <c r="B17" s="1387" t="s">
        <v>1368</v>
      </c>
      <c r="C17" s="1387"/>
      <c r="D17" s="2501"/>
      <c r="E17" s="2501"/>
      <c r="F17" s="2501"/>
      <c r="G17" s="2501"/>
      <c r="H17" s="2501"/>
      <c r="I17" s="2501"/>
      <c r="J17" s="2501"/>
      <c r="K17" s="2501"/>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1"/>
      <c r="C20" s="2491"/>
      <c r="D20" s="2491"/>
      <c r="E20" s="2491"/>
      <c r="F20" s="2491"/>
      <c r="G20" s="2491"/>
      <c r="H20" s="2491"/>
      <c r="I20" s="2491"/>
      <c r="J20" s="2491"/>
      <c r="K20" s="2491"/>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1"/>
      <c r="C23" s="2491"/>
      <c r="D23" s="2491"/>
      <c r="E23" s="2491"/>
      <c r="F23" s="2491"/>
      <c r="G23" s="2491"/>
      <c r="H23" s="2491"/>
      <c r="I23" s="2491"/>
      <c r="J23" s="2491"/>
      <c r="K23" s="2491"/>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1"/>
      <c r="C26" s="2491"/>
      <c r="D26" s="2491"/>
      <c r="E26" s="2491"/>
      <c r="F26" s="2491"/>
      <c r="G26" s="2491"/>
      <c r="H26" s="2491"/>
      <c r="I26" s="2491"/>
      <c r="J26" s="2491"/>
      <c r="K26" s="2491"/>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1"/>
      <c r="C29" s="2491"/>
      <c r="D29" s="2491"/>
      <c r="E29" s="2491"/>
      <c r="F29" s="2491"/>
      <c r="G29" s="2491"/>
      <c r="H29" s="2491"/>
      <c r="I29" s="2491"/>
      <c r="J29" s="2491"/>
      <c r="K29" s="2491"/>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1"/>
      <c r="C32" s="2491"/>
      <c r="D32" s="2491"/>
      <c r="E32" s="2491"/>
      <c r="F32" s="2491"/>
      <c r="G32" s="2491"/>
      <c r="H32" s="2491"/>
      <c r="I32" s="2491"/>
      <c r="J32" s="2491"/>
      <c r="K32" s="2491"/>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1"/>
      <c r="C35" s="2491"/>
      <c r="D35" s="2491"/>
      <c r="E35" s="2491"/>
      <c r="F35" s="2491"/>
      <c r="G35" s="2491"/>
      <c r="H35" s="2491"/>
      <c r="I35" s="2491"/>
      <c r="J35" s="2491"/>
      <c r="K35" s="2491"/>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1"/>
      <c r="C38" s="2491"/>
      <c r="D38" s="2491"/>
      <c r="E38" s="2491"/>
      <c r="F38" s="2491"/>
      <c r="G38" s="2491"/>
      <c r="H38" s="2491"/>
      <c r="I38" s="2491"/>
      <c r="J38" s="2491"/>
      <c r="K38" s="2491"/>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1"/>
      <c r="C41" s="2491"/>
      <c r="D41" s="2491"/>
      <c r="E41" s="2491"/>
      <c r="F41" s="2491"/>
      <c r="G41" s="2491"/>
      <c r="H41" s="2491"/>
      <c r="I41" s="2491"/>
      <c r="J41" s="2491"/>
      <c r="K41" s="2491"/>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51"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69" t="str">
        <f>'Single Audit Cover'!A7</f>
        <v>Richmond-Burton CHSD 157</v>
      </c>
      <c r="C1" s="2469"/>
      <c r="D1" s="2469"/>
      <c r="E1" s="1491"/>
    </row>
    <row r="2" spans="2:5" s="1282" customFormat="1" ht="12.75" customHeight="1" x14ac:dyDescent="0.2">
      <c r="B2" s="2471">
        <f>'Single Audit Cover'!E7</f>
        <v>44063157016</v>
      </c>
      <c r="C2" s="2471"/>
      <c r="D2" s="2471"/>
      <c r="E2" s="1492"/>
    </row>
    <row r="3" spans="2:5" ht="12.75" customHeight="1" x14ac:dyDescent="0.2">
      <c r="B3" s="2492" t="s">
        <v>1869</v>
      </c>
      <c r="C3" s="2492"/>
      <c r="D3" s="2492"/>
      <c r="E3" s="1274"/>
    </row>
    <row r="4" spans="2:5" s="1282" customFormat="1" ht="12.75" customHeight="1" x14ac:dyDescent="0.2">
      <c r="B4" s="2502" t="str">
        <f>'Single Audit Cover'!A4</f>
        <v>Year Ending June 30, 2018</v>
      </c>
      <c r="C4" s="2502"/>
      <c r="D4" s="2502"/>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mergeCells count="4">
    <mergeCell ref="B1:D1"/>
    <mergeCell ref="B2:D2"/>
    <mergeCell ref="B3:D3"/>
    <mergeCell ref="B4:D4"/>
  </mergeCells>
  <pageMargins left="0.53"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A7F99216-9548-403A-A1AC-CF57406FE3BA}">
  <ds:schemaRefs>
    <ds:schemaRef ds:uri="http://purl.org/dc/elements/1.1/"/>
    <ds:schemaRef ds:uri="http://schemas.microsoft.com/office/2006/documentManagement/types"/>
    <ds:schemaRef ds:uri="http://purl.org/dc/terms/"/>
    <ds:schemaRef ds:uri="http://schemas.microsoft.com/office/2006/metadata/properties"/>
    <ds:schemaRef ds:uri="http://schemas.microsoft.com/office/infopath/2007/PartnerControls"/>
    <ds:schemaRef ds:uri="http://www.w3.org/XML/1998/namespace"/>
    <ds:schemaRef ds:uri="4d435f69-8686-490b-bd6d-b153bf22ab50"/>
    <ds:schemaRef ds:uri="http://schemas.openxmlformats.org/package/2006/metadata/core-properties"/>
    <ds:schemaRef ds:uri="d21dc803-237d-4c68-8692-8d731fd29118"/>
    <ds:schemaRef ds:uri="6ce3111e-7420-4802-b50a-75d4e9a0b980"/>
    <ds:schemaRef ds:uri="http://schemas.microsoft.com/sharepoint/v3"/>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2018-10-10T16:03:58Z</cp:lastPrinted>
  <dcterms:created xsi:type="dcterms:W3CDTF">2003-10-29T19:06:34Z</dcterms:created>
  <dcterms:modified xsi:type="dcterms:W3CDTF">2018-10-10T16:51:03Z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y fmtid="{D5CDD505-2E9C-101B-9397-08002B2CF9AE}" pid="4" name="tabName">
    <vt:lpwstr>Working Files</vt:lpwstr>
  </property>
  <property fmtid="{D5CDD505-2E9C-101B-9397-08002B2CF9AE}" pid="5" name="tabIndex">
    <vt:lpwstr>1</vt:lpwstr>
  </property>
  <property fmtid="{D5CDD505-2E9C-101B-9397-08002B2CF9AE}" pid="6" name="workpaperIndex">
    <vt:lpwstr/>
  </property>
</Properties>
</file>