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7" i="179" l="1"/>
  <c r="F15" i="179"/>
  <c r="D14" i="171" l="1"/>
  <c r="I24" i="184"/>
  <c r="G24" i="184"/>
  <c r="F24" i="184"/>
  <c r="E24" i="184"/>
  <c r="L22" i="184"/>
  <c r="L21" i="184"/>
  <c r="I16" i="184"/>
  <c r="G16" i="184"/>
  <c r="F16" i="184"/>
  <c r="E16" i="184"/>
  <c r="L14" i="184"/>
  <c r="B4" i="184"/>
  <c r="L24" i="184" l="1"/>
  <c r="L16" i="184"/>
  <c r="L24" i="183"/>
  <c r="L23" i="183"/>
  <c r="L19" i="183"/>
  <c r="L18" i="183"/>
  <c r="L17" i="183"/>
  <c r="L16" i="183"/>
  <c r="L15" i="183"/>
  <c r="L14" i="183"/>
  <c r="L13" i="183"/>
  <c r="B4" i="183"/>
  <c r="I24" i="179"/>
  <c r="I26" i="184" s="1"/>
  <c r="F24" i="179"/>
  <c r="F26" i="184" s="1"/>
  <c r="D35" i="171" s="1"/>
  <c r="G24" i="179"/>
  <c r="G26" i="184" s="1"/>
  <c r="E24" i="179"/>
  <c r="E26" i="184" s="1"/>
  <c r="L17" i="179"/>
  <c r="L16" i="179"/>
  <c r="L15" i="179"/>
  <c r="L14" i="179"/>
  <c r="L13" i="179"/>
  <c r="A7" i="169"/>
  <c r="B1" i="184" s="1"/>
  <c r="E7" i="169"/>
  <c r="B2" i="184" s="1"/>
  <c r="G7" i="169"/>
  <c r="A10" i="169"/>
  <c r="G9" i="169"/>
  <c r="G10" i="169"/>
  <c r="G11" i="169"/>
  <c r="I13" i="169"/>
  <c r="B2" i="183" l="1"/>
  <c r="B1" i="183"/>
  <c r="L26" i="184"/>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160" i="29" l="1"/>
  <c r="K160" i="29"/>
  <c r="F60" i="34"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4" i="179" l="1"/>
  <c r="L22" i="179"/>
  <c r="A16" i="169" l="1"/>
  <c r="A15" i="169"/>
  <c r="A14" i="169"/>
  <c r="K18" i="169"/>
  <c r="G18" i="169"/>
  <c r="G15" i="169"/>
  <c r="B2" i="17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D12" i="171" l="1"/>
  <c r="B51" i="106"/>
  <c r="B49" i="106"/>
  <c r="B48" i="106"/>
  <c r="B47" i="106"/>
  <c r="B46" i="106"/>
  <c r="B45" i="106"/>
  <c r="B44" i="106"/>
  <c r="B43" i="106"/>
  <c r="B42" i="106"/>
  <c r="B41" i="106"/>
  <c r="B50" i="106"/>
  <c r="F163" i="34" l="1"/>
  <c r="B7769" i="106"/>
  <c r="B7768" i="106"/>
  <c r="D7768" i="106" s="1"/>
  <c r="B7766" i="106"/>
  <c r="B7765" i="106"/>
  <c r="D7765" i="106" s="1"/>
  <c r="B7764" i="106"/>
  <c r="D7764" i="106" s="1"/>
  <c r="J85" i="28"/>
  <c r="B7758" i="106" s="1"/>
  <c r="D7758" i="106" s="1"/>
  <c r="J88" i="28"/>
  <c r="K12" i="12"/>
  <c r="B7719" i="106" s="1"/>
  <c r="D7719" i="106" s="1"/>
  <c r="K23" i="12"/>
  <c r="J12" i="12"/>
  <c r="B7718" i="106" s="1"/>
  <c r="D7718" i="106" s="1"/>
  <c r="J21" i="12"/>
  <c r="J23" i="12" s="1"/>
  <c r="B7729" i="106"/>
  <c r="D7729" i="106" s="1"/>
  <c r="B7734" i="106"/>
  <c r="D7734" i="106" s="1"/>
  <c r="B7726" i="10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C259" i="5"/>
  <c r="B6833" i="106" s="1"/>
  <c r="D6833" i="106" s="1"/>
  <c r="B7761" i="106"/>
  <c r="D7761" i="106" s="1"/>
  <c r="I7" i="145"/>
  <c r="I6" i="145"/>
  <c r="D78" i="36"/>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D2793" i="106"/>
  <c r="B2794" i="106"/>
  <c r="D2794" i="106" s="1"/>
  <c r="D2803" i="106"/>
  <c r="D2804" i="106"/>
  <c r="B2806" i="106"/>
  <c r="D2806" i="106" s="1"/>
  <c r="D2809" i="106"/>
  <c r="D2814" i="106"/>
  <c r="D2815" i="106"/>
  <c r="D2816" i="106"/>
  <c r="B2817" i="106"/>
  <c r="D2817" i="106" s="1"/>
  <c r="D2833" i="106"/>
  <c r="D2834" i="106"/>
  <c r="D2835" i="106"/>
  <c r="D2838" i="106"/>
  <c r="B2840" i="106"/>
  <c r="D2840"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D4193" i="106"/>
  <c r="D4194" i="106"/>
  <c r="D4195" i="106"/>
  <c r="D4196" i="106"/>
  <c r="D4197" i="106"/>
  <c r="D4198" i="106"/>
  <c r="D4204" i="106"/>
  <c r="D4205" i="106"/>
  <c r="D4206" i="106"/>
  <c r="D4207" i="106"/>
  <c r="D4208" i="106"/>
  <c r="D4209" i="106"/>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8" i="106"/>
  <c r="D4418" i="106" s="1"/>
  <c r="B4419" i="106"/>
  <c r="D4419"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D5707" i="106"/>
  <c r="D5709" i="106"/>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D5857" i="106"/>
  <c r="D5859" i="106"/>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7043" i="106"/>
  <c r="D7043" i="106" s="1"/>
  <c r="B7044" i="106"/>
  <c r="D7044" i="106" s="1"/>
  <c r="B7045" i="106"/>
  <c r="D7045" i="106" s="1"/>
  <c r="B7046" i="106"/>
  <c r="D7046" i="106" s="1"/>
  <c r="B7053" i="106"/>
  <c r="D7053" i="106" s="1"/>
  <c r="D7056" i="106"/>
  <c r="B7236" i="106"/>
  <c r="D7236" i="106" s="1"/>
  <c r="B7237" i="106"/>
  <c r="D7237" i="106" s="1"/>
  <c r="A7245" i="106"/>
  <c r="A7246" i="106" s="1"/>
  <c r="A7247" i="106" s="1"/>
  <c r="A7248" i="106" s="1"/>
  <c r="A7249" i="106" s="1"/>
  <c r="B7253" i="106"/>
  <c r="B7254" i="106"/>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6" i="127"/>
  <c r="B67"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J259" i="5"/>
  <c r="J273" i="5" s="1"/>
  <c r="K259" i="5"/>
  <c r="D5" i="4"/>
  <c r="B3406" i="106" s="1"/>
  <c r="D3406" i="106" s="1"/>
  <c r="B2633" i="106"/>
  <c r="D2633" i="106" s="1"/>
  <c r="D7" i="118"/>
  <c r="D8" i="118"/>
  <c r="D9" i="118"/>
  <c r="H14" i="118"/>
  <c r="H19" i="118"/>
  <c r="H24" i="118"/>
  <c r="L22" i="37"/>
  <c r="B6935" i="106" l="1"/>
  <c r="D6935" i="106" s="1"/>
  <c r="B6727" i="106"/>
  <c r="D6727" i="106" s="1"/>
  <c r="K7" i="29"/>
  <c r="B6848" i="106" s="1"/>
  <c r="D6848" i="106" s="1"/>
  <c r="B1009" i="106"/>
  <c r="D1009" i="106" s="1"/>
  <c r="B7246" i="106"/>
  <c r="D7246" i="106" s="1"/>
  <c r="B6926" i="106"/>
  <c r="D6926" i="106" s="1"/>
  <c r="I53" i="29"/>
  <c r="B6942" i="106" s="1"/>
  <c r="D6942" i="106" s="1"/>
  <c r="B4864" i="106"/>
  <c r="D4864" i="106" s="1"/>
  <c r="B779" i="106"/>
  <c r="D779" i="106" s="1"/>
  <c r="D42" i="29"/>
  <c r="B785" i="106" s="1"/>
  <c r="D785" i="106" s="1"/>
  <c r="B1013" i="106"/>
  <c r="D1013" i="106" s="1"/>
  <c r="B6905" i="106"/>
  <c r="D6905" i="106" s="1"/>
  <c r="J42" i="29"/>
  <c r="B728" i="106"/>
  <c r="D728" i="106" s="1"/>
  <c r="K44" i="29"/>
  <c r="C47" i="29"/>
  <c r="B822" i="106"/>
  <c r="D822" i="106" s="1"/>
  <c r="B6919" i="106"/>
  <c r="D6919" i="106" s="1"/>
  <c r="J47" i="29"/>
  <c r="B6925" i="106" s="1"/>
  <c r="D6925" i="106" s="1"/>
  <c r="L33" i="29"/>
  <c r="F169" i="34"/>
  <c r="B5710" i="106"/>
  <c r="D5710" i="106" s="1"/>
  <c r="L53" i="29"/>
  <c r="B7265" i="106"/>
  <c r="B6929" i="106"/>
  <c r="D6929" i="106" s="1"/>
  <c r="B1023" i="106"/>
  <c r="D1023" i="106" s="1"/>
  <c r="B770" i="106"/>
  <c r="D770" i="106" s="1"/>
  <c r="B6873" i="106"/>
  <c r="D6873" i="106" s="1"/>
  <c r="H53" i="29"/>
  <c r="B1024" i="106" s="1"/>
  <c r="D1024" i="106" s="1"/>
  <c r="B1022" i="106"/>
  <c r="D1022" i="106" s="1"/>
  <c r="B2723" i="106"/>
  <c r="D2723" i="106" s="1"/>
  <c r="K28" i="29"/>
  <c r="B6893" i="106" s="1"/>
  <c r="D6893" i="106" s="1"/>
  <c r="B6892" i="106"/>
  <c r="D6892" i="106" s="1"/>
  <c r="K18" i="29"/>
  <c r="B1100" i="106" s="1"/>
  <c r="D1100" i="106" s="1"/>
  <c r="B712" i="106"/>
  <c r="D712" i="106" s="1"/>
  <c r="B6856" i="106"/>
  <c r="D6856" i="106" s="1"/>
  <c r="B782" i="106"/>
  <c r="D782" i="106" s="1"/>
  <c r="B937" i="106"/>
  <c r="D937" i="106" s="1"/>
  <c r="G33" i="29"/>
  <c r="B952" i="106" s="1"/>
  <c r="D952" i="106" s="1"/>
  <c r="B5706" i="106"/>
  <c r="D5706" i="106" s="1"/>
  <c r="F167" i="34"/>
  <c r="B7256" i="106"/>
  <c r="B1016" i="106"/>
  <c r="D1016" i="106" s="1"/>
  <c r="B3371" i="106"/>
  <c r="D3371" i="106" s="1"/>
  <c r="B6846" i="106"/>
  <c r="D6846" i="106" s="1"/>
  <c r="B6863" i="106"/>
  <c r="D6863" i="106" s="1"/>
  <c r="B6907" i="106"/>
  <c r="D6907" i="106" s="1"/>
  <c r="B7262" i="106"/>
  <c r="B6852" i="106"/>
  <c r="D6852" i="106" s="1"/>
  <c r="B1020" i="106"/>
  <c r="D1020" i="106" s="1"/>
  <c r="K49" i="29"/>
  <c r="B1120" i="106" s="1"/>
  <c r="D1120" i="106" s="1"/>
  <c r="B732" i="106"/>
  <c r="D732" i="106" s="1"/>
  <c r="C53" i="29"/>
  <c r="B734" i="106" s="1"/>
  <c r="D734" i="106" s="1"/>
  <c r="B956" i="106"/>
  <c r="D956" i="106" s="1"/>
  <c r="B835" i="106"/>
  <c r="D835" i="106" s="1"/>
  <c r="B7267" i="106"/>
  <c r="B4420" i="106"/>
  <c r="D4420" i="106" s="1"/>
  <c r="F170" i="34"/>
  <c r="B7261" i="106"/>
  <c r="B7247" i="106"/>
  <c r="G53" i="29"/>
  <c r="B966" i="106" s="1"/>
  <c r="D966" i="106" s="1"/>
  <c r="B964" i="106"/>
  <c r="D964" i="106" s="1"/>
  <c r="B3368" i="106"/>
  <c r="D3368" i="106" s="1"/>
  <c r="B900" i="106"/>
  <c r="D900" i="106" s="1"/>
  <c r="B3375" i="106"/>
  <c r="D3375" i="106" s="1"/>
  <c r="B948" i="106"/>
  <c r="D948" i="106" s="1"/>
  <c r="B3057" i="106"/>
  <c r="D3057" i="106" s="1"/>
  <c r="B6850" i="106"/>
  <c r="D6850" i="106" s="1"/>
  <c r="E47" i="29"/>
  <c r="B844" i="106"/>
  <c r="D844" i="106" s="1"/>
  <c r="B6847" i="106"/>
  <c r="D6847" i="106" s="1"/>
  <c r="B841" i="106"/>
  <c r="D841" i="106" s="1"/>
  <c r="B6908" i="106"/>
  <c r="D6908" i="106" s="1"/>
  <c r="B3056" i="106"/>
  <c r="D3056" i="106" s="1"/>
  <c r="B777" i="106"/>
  <c r="D777" i="106" s="1"/>
  <c r="B6864" i="106"/>
  <c r="D6864" i="106" s="1"/>
  <c r="K16" i="29"/>
  <c r="B1094" i="106" s="1"/>
  <c r="D1094" i="106" s="1"/>
  <c r="B706" i="106"/>
  <c r="D706" i="106" s="1"/>
  <c r="B6898" i="106"/>
  <c r="D6898" i="106" s="1"/>
  <c r="K31" i="29"/>
  <c r="B6899" i="106" s="1"/>
  <c r="D6899" i="106" s="1"/>
  <c r="B6855" i="106"/>
  <c r="D6855" i="106" s="1"/>
  <c r="B834" i="106"/>
  <c r="D834" i="106" s="1"/>
  <c r="K11" i="29"/>
  <c r="B6858" i="106" s="1"/>
  <c r="D6858" i="106" s="1"/>
  <c r="B7257" i="106"/>
  <c r="B996" i="106"/>
  <c r="D996" i="106" s="1"/>
  <c r="B902" i="106"/>
  <c r="D902" i="106" s="1"/>
  <c r="F47" i="29"/>
  <c r="B955" i="106"/>
  <c r="D955" i="106" s="1"/>
  <c r="B7268" i="106"/>
  <c r="B833" i="106"/>
  <c r="D833" i="106" s="1"/>
  <c r="B6921" i="106"/>
  <c r="D6921" i="106" s="1"/>
  <c r="B6939" i="106"/>
  <c r="D6939" i="106" s="1"/>
  <c r="K32" i="29"/>
  <c r="B6900" i="106"/>
  <c r="D6900" i="106" s="1"/>
  <c r="B6932" i="106"/>
  <c r="D6932" i="106" s="1"/>
  <c r="K52" i="29"/>
  <c r="B6940" i="106" s="1"/>
  <c r="D6940" i="106" s="1"/>
  <c r="B5856" i="106"/>
  <c r="D5856" i="106" s="1"/>
  <c r="B837" i="106"/>
  <c r="D837" i="106" s="1"/>
  <c r="E42" i="29"/>
  <c r="B843" i="106" s="1"/>
  <c r="D843" i="106" s="1"/>
  <c r="B730" i="106"/>
  <c r="D730" i="106" s="1"/>
  <c r="K46" i="29"/>
  <c r="B1118" i="106" s="1"/>
  <c r="D1118" i="106" s="1"/>
  <c r="B6845" i="106"/>
  <c r="D6845" i="106" s="1"/>
  <c r="J33" i="29"/>
  <c r="B6903" i="106" s="1"/>
  <c r="D6903" i="106" s="1"/>
  <c r="B6906" i="106"/>
  <c r="D6906" i="106" s="1"/>
  <c r="H47" i="29"/>
  <c r="B1021" i="106" s="1"/>
  <c r="D1021" i="106" s="1"/>
  <c r="B1018" i="106"/>
  <c r="D1018" i="106" s="1"/>
  <c r="B891" i="106"/>
  <c r="D891" i="106" s="1"/>
  <c r="B7259" i="106"/>
  <c r="K20" i="29"/>
  <c r="B6876" i="106"/>
  <c r="D6876" i="106" s="1"/>
  <c r="G47" i="29"/>
  <c r="B963" i="106" s="1"/>
  <c r="D963" i="106" s="1"/>
  <c r="B960" i="106"/>
  <c r="D960" i="106" s="1"/>
  <c r="B3374" i="106"/>
  <c r="D3374" i="106" s="1"/>
  <c r="B722" i="106"/>
  <c r="D722" i="106" s="1"/>
  <c r="K37" i="29"/>
  <c r="B1110" i="106" s="1"/>
  <c r="D1110" i="106" s="1"/>
  <c r="B1007" i="106"/>
  <c r="D1007" i="106" s="1"/>
  <c r="B2719" i="106"/>
  <c r="D2719" i="106" s="1"/>
  <c r="B6867" i="106"/>
  <c r="D6867" i="106" s="1"/>
  <c r="B995" i="106"/>
  <c r="D995" i="106" s="1"/>
  <c r="H33" i="29"/>
  <c r="B1010" i="106" s="1"/>
  <c r="D1010" i="106" s="1"/>
  <c r="B1006" i="106"/>
  <c r="D1006" i="106" s="1"/>
  <c r="I47" i="29"/>
  <c r="B6924" i="106" s="1"/>
  <c r="D6924" i="106" s="1"/>
  <c r="B6918" i="106"/>
  <c r="D6918" i="106" s="1"/>
  <c r="D53" i="29"/>
  <c r="B792" i="106" s="1"/>
  <c r="D792" i="106" s="1"/>
  <c r="B790" i="106"/>
  <c r="D790" i="106" s="1"/>
  <c r="B3373" i="106"/>
  <c r="D3373" i="106" s="1"/>
  <c r="B5855" i="106"/>
  <c r="D5855" i="106" s="1"/>
  <c r="B839" i="106"/>
  <c r="D839" i="106" s="1"/>
  <c r="B6933" i="106"/>
  <c r="D6933" i="106" s="1"/>
  <c r="B938" i="106"/>
  <c r="D938" i="106" s="1"/>
  <c r="C42" i="29"/>
  <c r="B727" i="106" s="1"/>
  <c r="D727" i="106" s="1"/>
  <c r="K36" i="29"/>
  <c r="B721" i="106"/>
  <c r="D721" i="106" s="1"/>
  <c r="B4416" i="106"/>
  <c r="D4416" i="106" s="1"/>
  <c r="F166" i="34"/>
  <c r="B1008" i="106"/>
  <c r="D1008" i="106" s="1"/>
  <c r="B774" i="106"/>
  <c r="D774" i="106" s="1"/>
  <c r="B7249" i="106"/>
  <c r="B7260" i="106"/>
  <c r="B6860" i="106"/>
  <c r="D6860" i="106" s="1"/>
  <c r="K9" i="29"/>
  <c r="B6853" i="106" s="1"/>
  <c r="D6853" i="106" s="1"/>
  <c r="B7251" i="106"/>
  <c r="B726" i="106"/>
  <c r="D726" i="106" s="1"/>
  <c r="K41" i="29"/>
  <c r="B1114" i="106" s="1"/>
  <c r="D1114" i="106" s="1"/>
  <c r="B838" i="106"/>
  <c r="D838" i="106" s="1"/>
  <c r="B6868" i="106"/>
  <c r="D6868" i="106" s="1"/>
  <c r="L47" i="29"/>
  <c r="B7258" i="106"/>
  <c r="B6928" i="106"/>
  <c r="D6928" i="106" s="1"/>
  <c r="B780" i="106"/>
  <c r="D780" i="106" s="1"/>
  <c r="B1012" i="106"/>
  <c r="D1012" i="106" s="1"/>
  <c r="B6937" i="106"/>
  <c r="D6937" i="106" s="1"/>
  <c r="B949" i="106"/>
  <c r="D949" i="106" s="1"/>
  <c r="B7250" i="106"/>
  <c r="B898" i="106"/>
  <c r="D898" i="106" s="1"/>
  <c r="B6872" i="106"/>
  <c r="D6872" i="106" s="1"/>
  <c r="B6938" i="106"/>
  <c r="D6938" i="106" s="1"/>
  <c r="B4421" i="106"/>
  <c r="D4421" i="106" s="1"/>
  <c r="B7266" i="106"/>
  <c r="B4360" i="106"/>
  <c r="D4360" i="106" s="1"/>
  <c r="F172" i="34"/>
  <c r="B880" i="106"/>
  <c r="D880" i="106" s="1"/>
  <c r="B6859" i="106"/>
  <c r="D6859" i="106" s="1"/>
  <c r="B965" i="106"/>
  <c r="D965" i="106" s="1"/>
  <c r="B897" i="106"/>
  <c r="D897" i="106" s="1"/>
  <c r="E53" i="29"/>
  <c r="B850" i="106" s="1"/>
  <c r="D850" i="106" s="1"/>
  <c r="B848" i="106"/>
  <c r="D848" i="106" s="1"/>
  <c r="B6931" i="106"/>
  <c r="D6931" i="106" s="1"/>
  <c r="B2720" i="106"/>
  <c r="D2720" i="106" s="1"/>
  <c r="K30" i="29"/>
  <c r="B6897" i="106" s="1"/>
  <c r="D6897" i="106" s="1"/>
  <c r="B6896" i="106"/>
  <c r="D6896" i="106" s="1"/>
  <c r="B4192" i="106"/>
  <c r="D4192" i="106" s="1"/>
  <c r="B6874" i="106"/>
  <c r="D6874" i="106" s="1"/>
  <c r="B821" i="106"/>
  <c r="D821" i="106" s="1"/>
  <c r="E33" i="29"/>
  <c r="B836" i="106" s="1"/>
  <c r="D836" i="106" s="1"/>
  <c r="K24" i="29"/>
  <c r="B6885" i="106" s="1"/>
  <c r="D6885" i="106" s="1"/>
  <c r="B6884" i="106"/>
  <c r="D6884" i="106" s="1"/>
  <c r="K22" i="29"/>
  <c r="B6881" i="106" s="1"/>
  <c r="D6881" i="106" s="1"/>
  <c r="B6880" i="106"/>
  <c r="D6880" i="106" s="1"/>
  <c r="B6909" i="106"/>
  <c r="D6909" i="106" s="1"/>
  <c r="B6869" i="106"/>
  <c r="D6869" i="106" s="1"/>
  <c r="B3376" i="106"/>
  <c r="D3376" i="106" s="1"/>
  <c r="B1014" i="106"/>
  <c r="D1014" i="106" s="1"/>
  <c r="B962" i="106"/>
  <c r="D962" i="106" s="1"/>
  <c r="K19" i="29"/>
  <c r="B3381" i="106" s="1"/>
  <c r="D3381" i="106" s="1"/>
  <c r="B3367" i="106"/>
  <c r="D3367" i="106" s="1"/>
  <c r="B723" i="106"/>
  <c r="D723" i="106" s="1"/>
  <c r="K38" i="29"/>
  <c r="B1111" i="106" s="1"/>
  <c r="D1111" i="106" s="1"/>
  <c r="B6870" i="106"/>
  <c r="D6870" i="106" s="1"/>
  <c r="B6865" i="106"/>
  <c r="D6865" i="106" s="1"/>
  <c r="B961" i="106"/>
  <c r="D961" i="106" s="1"/>
  <c r="B4448" i="106"/>
  <c r="D4448" i="106" s="1"/>
  <c r="B6927" i="106"/>
  <c r="D6927" i="106" s="1"/>
  <c r="J53" i="29"/>
  <c r="B6943" i="106" s="1"/>
  <c r="D6943" i="106" s="1"/>
  <c r="B729" i="106"/>
  <c r="D729" i="106" s="1"/>
  <c r="K45" i="29"/>
  <c r="B1117" i="106" s="1"/>
  <c r="D1117" i="106" s="1"/>
  <c r="B6844" i="106"/>
  <c r="D6844" i="106" s="1"/>
  <c r="I33" i="29"/>
  <c r="B6902" i="106" s="1"/>
  <c r="D6902" i="106" s="1"/>
  <c r="K15" i="29"/>
  <c r="B719" i="106"/>
  <c r="D719" i="106" s="1"/>
  <c r="B781" i="106"/>
  <c r="D781" i="106" s="1"/>
  <c r="L42" i="29"/>
  <c r="B904" i="106"/>
  <c r="D904" i="106" s="1"/>
  <c r="B6849" i="106"/>
  <c r="D6849" i="106" s="1"/>
  <c r="B788" i="106"/>
  <c r="D788" i="106" s="1"/>
  <c r="B845" i="106"/>
  <c r="D845" i="106" s="1"/>
  <c r="B879" i="106"/>
  <c r="D879" i="106" s="1"/>
  <c r="F33" i="29"/>
  <c r="B894" i="106" s="1"/>
  <c r="D894" i="106" s="1"/>
  <c r="B6886" i="106"/>
  <c r="D6886" i="106" s="1"/>
  <c r="K25" i="29"/>
  <c r="B6887" i="106" s="1"/>
  <c r="D6887" i="106" s="1"/>
  <c r="B4417" i="106"/>
  <c r="D4417" i="106" s="1"/>
  <c r="B4191" i="106"/>
  <c r="D4191" i="106" s="1"/>
  <c r="F171" i="34"/>
  <c r="B3377" i="106"/>
  <c r="D3377" i="106" s="1"/>
  <c r="B951" i="106"/>
  <c r="D951" i="106" s="1"/>
  <c r="B6923" i="106"/>
  <c r="D6923" i="106" s="1"/>
  <c r="B6857" i="106"/>
  <c r="D6857" i="106" s="1"/>
  <c r="B6862" i="106"/>
  <c r="D6862" i="106" s="1"/>
  <c r="B775" i="106"/>
  <c r="D775" i="106" s="1"/>
  <c r="B846" i="106"/>
  <c r="D846" i="106" s="1"/>
  <c r="B717" i="106"/>
  <c r="D717" i="106" s="1"/>
  <c r="K13" i="29"/>
  <c r="B1105" i="106" s="1"/>
  <c r="D1105" i="106" s="1"/>
  <c r="B893" i="106"/>
  <c r="D893" i="106" s="1"/>
  <c r="B6910" i="106"/>
  <c r="D6910" i="106" s="1"/>
  <c r="K51" i="29"/>
  <c r="E13" i="145" s="1"/>
  <c r="G13" i="145" s="1"/>
  <c r="B2718" i="106"/>
  <c r="D2718" i="106" s="1"/>
  <c r="B899" i="106"/>
  <c r="D899" i="106" s="1"/>
  <c r="K17" i="29"/>
  <c r="B6871" i="106" s="1"/>
  <c r="D6871" i="106" s="1"/>
  <c r="B7263" i="106"/>
  <c r="B953" i="106"/>
  <c r="D953" i="106" s="1"/>
  <c r="G42" i="29"/>
  <c r="B959" i="106" s="1"/>
  <c r="D959" i="106" s="1"/>
  <c r="B849" i="106"/>
  <c r="D849" i="106" s="1"/>
  <c r="B3055" i="106"/>
  <c r="D3055" i="106" s="1"/>
  <c r="K10" i="29"/>
  <c r="B3062" i="106" s="1"/>
  <c r="D3062" i="106" s="1"/>
  <c r="B5705" i="106"/>
  <c r="D5705" i="106" s="1"/>
  <c r="F165" i="34"/>
  <c r="B6914" i="106"/>
  <c r="D6914" i="106" s="1"/>
  <c r="B6882" i="106"/>
  <c r="D6882" i="106" s="1"/>
  <c r="K23" i="29"/>
  <c r="B6883" i="106" s="1"/>
  <c r="D6883" i="106" s="1"/>
  <c r="B6920" i="106"/>
  <c r="D6920" i="106" s="1"/>
  <c r="B6890" i="106"/>
  <c r="D6890" i="106" s="1"/>
  <c r="K27" i="29"/>
  <c r="B6891" i="106" s="1"/>
  <c r="D6891" i="106" s="1"/>
  <c r="H42" i="29"/>
  <c r="B1017" i="106" s="1"/>
  <c r="D1017" i="106" s="1"/>
  <c r="B1011" i="106"/>
  <c r="D1011" i="106" s="1"/>
  <c r="B784" i="106"/>
  <c r="D784" i="106" s="1"/>
  <c r="B3060" i="106"/>
  <c r="D3060" i="106" s="1"/>
  <c r="B733" i="106"/>
  <c r="D733" i="106" s="1"/>
  <c r="K50" i="29"/>
  <c r="K8" i="29"/>
  <c r="B3380" i="106" s="1"/>
  <c r="D3380" i="106" s="1"/>
  <c r="B3366" i="106"/>
  <c r="D3366" i="106" s="1"/>
  <c r="B832" i="106"/>
  <c r="D832" i="106" s="1"/>
  <c r="B6894" i="106"/>
  <c r="D6894" i="106" s="1"/>
  <c r="K29" i="29"/>
  <c r="B6895" i="106" s="1"/>
  <c r="D6895" i="106" s="1"/>
  <c r="B5858" i="106"/>
  <c r="D5858" i="106" s="1"/>
  <c r="B6866" i="106"/>
  <c r="D6866" i="106" s="1"/>
  <c r="B957" i="106"/>
  <c r="D957" i="106" s="1"/>
  <c r="B842" i="106"/>
  <c r="D842" i="106" s="1"/>
  <c r="B4865" i="106"/>
  <c r="D4865" i="106" s="1"/>
  <c r="B6911" i="106"/>
  <c r="D6911" i="106" s="1"/>
  <c r="B5860" i="106"/>
  <c r="D5860" i="106" s="1"/>
  <c r="B787" i="106"/>
  <c r="D787" i="106" s="1"/>
  <c r="B6878" i="106"/>
  <c r="D6878" i="106" s="1"/>
  <c r="K21" i="29"/>
  <c r="B6879" i="106" s="1"/>
  <c r="D6879" i="106" s="1"/>
  <c r="B2721" i="106"/>
  <c r="D2721" i="106" s="1"/>
  <c r="B6913" i="106"/>
  <c r="D6913" i="106" s="1"/>
  <c r="B6930" i="106"/>
  <c r="D6930" i="106" s="1"/>
  <c r="K6" i="29"/>
  <c r="B7763" i="106" s="1"/>
  <c r="D7763" i="106" s="1"/>
  <c r="B7762" i="106"/>
  <c r="D7762" i="106" s="1"/>
  <c r="D17" i="171"/>
  <c r="B4447" i="106"/>
  <c r="D4447" i="106" s="1"/>
  <c r="F173" i="34"/>
  <c r="B7264" i="106"/>
  <c r="B7252" i="106"/>
  <c r="B5708" i="106"/>
  <c r="D5708" i="106" s="1"/>
  <c r="F168" i="34"/>
  <c r="B886" i="106"/>
  <c r="D886" i="106" s="1"/>
  <c r="B944" i="106"/>
  <c r="D944" i="106" s="1"/>
  <c r="B6851" i="106"/>
  <c r="D6851" i="106" s="1"/>
  <c r="B6912" i="106"/>
  <c r="D6912" i="106" s="1"/>
  <c r="B3058" i="106"/>
  <c r="D3058" i="106" s="1"/>
  <c r="B4855" i="106"/>
  <c r="D4855" i="106" s="1"/>
  <c r="F174" i="34"/>
  <c r="B3370" i="106"/>
  <c r="D3370" i="106" s="1"/>
  <c r="B791" i="106"/>
  <c r="D791" i="106" s="1"/>
  <c r="B3372" i="106"/>
  <c r="D3372" i="106" s="1"/>
  <c r="B6922" i="106"/>
  <c r="D6922" i="106" s="1"/>
  <c r="B2722" i="106"/>
  <c r="D2722" i="106" s="1"/>
  <c r="B6941" i="106"/>
  <c r="D6941" i="106" s="1"/>
  <c r="B1015" i="106"/>
  <c r="D1015" i="106" s="1"/>
  <c r="K39" i="29"/>
  <c r="B1112" i="106" s="1"/>
  <c r="D1112" i="106" s="1"/>
  <c r="B724" i="106"/>
  <c r="D724" i="106" s="1"/>
  <c r="B958" i="106"/>
  <c r="D958" i="106" s="1"/>
  <c r="B6875" i="106"/>
  <c r="D6875" i="106" s="1"/>
  <c r="B895" i="106"/>
  <c r="D895" i="106" s="1"/>
  <c r="F42" i="29"/>
  <c r="B901" i="106" s="1"/>
  <c r="D901" i="106" s="1"/>
  <c r="B4868" i="106"/>
  <c r="D4868" i="106" s="1"/>
  <c r="B763" i="106"/>
  <c r="D763" i="106" s="1"/>
  <c r="D33" i="29"/>
  <c r="B778" i="106" s="1"/>
  <c r="D778" i="106" s="1"/>
  <c r="B6854" i="106"/>
  <c r="D6854" i="106" s="1"/>
  <c r="B764" i="106"/>
  <c r="D764" i="106" s="1"/>
  <c r="B3059" i="106"/>
  <c r="D3059" i="106" s="1"/>
  <c r="B950" i="106"/>
  <c r="D950" i="106" s="1"/>
  <c r="B896" i="106"/>
  <c r="D896" i="106" s="1"/>
  <c r="B903" i="106"/>
  <c r="D903" i="106" s="1"/>
  <c r="D47" i="29"/>
  <c r="B789" i="106" s="1"/>
  <c r="D789" i="106" s="1"/>
  <c r="B786" i="106"/>
  <c r="D786" i="106" s="1"/>
  <c r="B1002" i="106"/>
  <c r="D1002" i="106" s="1"/>
  <c r="B840" i="106"/>
  <c r="D840" i="106" s="1"/>
  <c r="B776" i="106"/>
  <c r="D776" i="106" s="1"/>
  <c r="B4361" i="106"/>
  <c r="D4361" i="106" s="1"/>
  <c r="B6861" i="106"/>
  <c r="D6861" i="106" s="1"/>
  <c r="B907" i="106"/>
  <c r="D907" i="106" s="1"/>
  <c r="B6915" i="106"/>
  <c r="D6915" i="106" s="1"/>
  <c r="B783" i="106"/>
  <c r="D783" i="106" s="1"/>
  <c r="K26" i="29"/>
  <c r="B6889" i="106" s="1"/>
  <c r="D6889" i="106" s="1"/>
  <c r="B6888" i="106"/>
  <c r="D6888" i="106" s="1"/>
  <c r="B890" i="106"/>
  <c r="D890" i="106" s="1"/>
  <c r="B3369" i="106"/>
  <c r="D3369" i="106" s="1"/>
  <c r="B906" i="106"/>
  <c r="D906" i="106" s="1"/>
  <c r="F53" i="29"/>
  <c r="B908" i="106" s="1"/>
  <c r="D908" i="106" s="1"/>
  <c r="B1019" i="106"/>
  <c r="D1019" i="106" s="1"/>
  <c r="B6934" i="106"/>
  <c r="D6934" i="106" s="1"/>
  <c r="B6904" i="106"/>
  <c r="D6904" i="106" s="1"/>
  <c r="I42" i="29"/>
  <c r="K12" i="29"/>
  <c r="B1104" i="106" s="1"/>
  <c r="D1104" i="106" s="1"/>
  <c r="B716" i="106"/>
  <c r="D716" i="106" s="1"/>
  <c r="B6936" i="106"/>
  <c r="D6936" i="106" s="1"/>
  <c r="B828" i="106"/>
  <c r="D828" i="106" s="1"/>
  <c r="B954" i="106"/>
  <c r="D954" i="106" s="1"/>
  <c r="B7248" i="106"/>
  <c r="D7248" i="106" s="1"/>
  <c r="B705" i="106"/>
  <c r="D705" i="106" s="1"/>
  <c r="C33" i="29"/>
  <c r="B720" i="106" s="1"/>
  <c r="D720" i="106" s="1"/>
  <c r="K5" i="29"/>
  <c r="B1093" i="106" s="1"/>
  <c r="D1093" i="106" s="1"/>
  <c r="K40" i="29"/>
  <c r="B1113" i="106" s="1"/>
  <c r="D1113" i="106" s="1"/>
  <c r="B725" i="106"/>
  <c r="D725" i="106" s="1"/>
  <c r="B892" i="106"/>
  <c r="D892" i="106" s="1"/>
  <c r="B718" i="106"/>
  <c r="D718" i="106" s="1"/>
  <c r="K14" i="29"/>
  <c r="B1106" i="106" s="1"/>
  <c r="D1106" i="106" s="1"/>
  <c r="K273" i="5"/>
  <c r="B4442" i="106" s="1"/>
  <c r="D4442" i="106" s="1"/>
  <c r="H273" i="5"/>
  <c r="B4441" i="106" s="1"/>
  <c r="D4441" i="106" s="1"/>
  <c r="B1746" i="106"/>
  <c r="D1746" i="106" s="1"/>
  <c r="B3454" i="106"/>
  <c r="D3454" i="106" s="1"/>
  <c r="B2864" i="106"/>
  <c r="D2864" i="106" s="1"/>
  <c r="B2027" i="106"/>
  <c r="D2027" i="106" s="1"/>
  <c r="B274" i="106"/>
  <c r="D274" i="106" s="1"/>
  <c r="B2028" i="106"/>
  <c r="D2028" i="106" s="1"/>
  <c r="B275" i="106"/>
  <c r="D275" i="106" s="1"/>
  <c r="B2026" i="106"/>
  <c r="D2026" i="106" s="1"/>
  <c r="B2029" i="106"/>
  <c r="D2029" i="106" s="1"/>
  <c r="B276" i="106"/>
  <c r="D276" i="106" s="1"/>
  <c r="D6103" i="106"/>
  <c r="F41" i="34"/>
  <c r="F45" i="34"/>
  <c r="D31" i="36"/>
  <c r="L13" i="11"/>
  <c r="B2060" i="106" s="1"/>
  <c r="D2060" i="106" s="1"/>
  <c r="L5" i="11"/>
  <c r="B2056" i="106" s="1"/>
  <c r="D2056" i="106" s="1"/>
  <c r="B2733" i="106"/>
  <c r="D2733" i="106" s="1"/>
  <c r="D17" i="7"/>
  <c r="B4104" i="106" s="1"/>
  <c r="D4104" i="106" s="1"/>
  <c r="J22" i="37"/>
  <c r="E174" i="29"/>
  <c r="B1309" i="106" s="1"/>
  <c r="D1309" i="106" s="1"/>
  <c r="B6289" i="106"/>
  <c r="D6289" i="106" s="1"/>
  <c r="D11" i="37"/>
  <c r="H33" i="118"/>
  <c r="N22" i="3"/>
  <c r="B283" i="106" s="1"/>
  <c r="D283" i="106" s="1"/>
  <c r="H28" i="118"/>
  <c r="D24" i="37"/>
  <c r="B4270" i="106" s="1"/>
  <c r="D4270" i="106" s="1"/>
  <c r="I24" i="12"/>
  <c r="B1996" i="106" s="1"/>
  <c r="D1996" i="106" s="1"/>
  <c r="D68" i="36"/>
  <c r="F21" i="8"/>
  <c r="F19" i="7"/>
  <c r="B1807" i="106" s="1"/>
  <c r="D1807" i="106" s="1"/>
  <c r="D9" i="7"/>
  <c r="B1767" i="106" s="1"/>
  <c r="D1767" i="106" s="1"/>
  <c r="D5" i="7"/>
  <c r="B1761" i="106" s="1"/>
  <c r="D1761" i="106" s="1"/>
  <c r="G172" i="5"/>
  <c r="G173" i="5" s="1"/>
  <c r="B5778" i="106" s="1"/>
  <c r="D5778" i="106" s="1"/>
  <c r="D4" i="7"/>
  <c r="B1760" i="106" s="1"/>
  <c r="D1760" i="106" s="1"/>
  <c r="D11" i="7"/>
  <c r="B1768" i="106" s="1"/>
  <c r="D1768" i="106" s="1"/>
  <c r="D12" i="7"/>
  <c r="B1769" i="106" s="1"/>
  <c r="D1769" i="106" s="1"/>
  <c r="H29" i="118"/>
  <c r="F37" i="34"/>
  <c r="F106" i="34"/>
  <c r="F34" i="34"/>
  <c r="H76" i="4"/>
  <c r="B3298" i="106" s="1"/>
  <c r="D3298" i="106" s="1"/>
  <c r="B5096" i="106"/>
  <c r="D5096" i="106" s="1"/>
  <c r="F35" i="34"/>
  <c r="D13" i="7"/>
  <c r="B3726" i="106" s="1"/>
  <c r="D3726" i="106" s="1"/>
  <c r="K76" i="4"/>
  <c r="B3586" i="106" s="1"/>
  <c r="D3586" i="106" s="1"/>
  <c r="B5161" i="106"/>
  <c r="D5161" i="106" s="1"/>
  <c r="F128" i="34"/>
  <c r="B4373" i="106"/>
  <c r="D4373" i="106" s="1"/>
  <c r="K173" i="5"/>
  <c r="K6" i="4" s="1"/>
  <c r="B3570" i="106" s="1"/>
  <c r="D3570" i="106" s="1"/>
  <c r="F136" i="34"/>
  <c r="F42" i="34"/>
  <c r="F36" i="34"/>
  <c r="F44" i="34"/>
  <c r="F46" i="34"/>
  <c r="F130" i="34"/>
  <c r="F127" i="34"/>
  <c r="J274" i="5"/>
  <c r="B7054" i="106" s="1"/>
  <c r="D7054" i="106" s="1"/>
  <c r="F172" i="5"/>
  <c r="B5644" i="106" s="1"/>
  <c r="D5644" i="106" s="1"/>
  <c r="C172" i="5"/>
  <c r="B5214" i="106" s="1"/>
  <c r="D5214" i="106" s="1"/>
  <c r="H173" i="5"/>
  <c r="C109" i="5"/>
  <c r="B5121" i="106" s="1"/>
  <c r="D5121" i="106" s="1"/>
  <c r="D109" i="5"/>
  <c r="B5356" i="106" s="1"/>
  <c r="D5356" i="106" s="1"/>
  <c r="H109" i="5"/>
  <c r="B6025" i="106" s="1"/>
  <c r="D6025" i="106" s="1"/>
  <c r="G109" i="5"/>
  <c r="B6024" i="106" s="1"/>
  <c r="D6024" i="106" s="1"/>
  <c r="D15" i="7"/>
  <c r="B1772" i="106" s="1"/>
  <c r="D1772" i="106" s="1"/>
  <c r="D7" i="7"/>
  <c r="B1763" i="106" s="1"/>
  <c r="D1763" i="106" s="1"/>
  <c r="B2895" i="106"/>
  <c r="D2895" i="106" s="1"/>
  <c r="J77" i="4"/>
  <c r="B6262" i="106" s="1"/>
  <c r="D6262" i="106" s="1"/>
  <c r="I173" i="5"/>
  <c r="B4216" i="106" s="1"/>
  <c r="D4216" i="106" s="1"/>
  <c r="F111" i="34"/>
  <c r="F131" i="34"/>
  <c r="G5" i="4"/>
  <c r="B3409" i="106" s="1"/>
  <c r="D3409" i="106" s="1"/>
  <c r="B7041" i="106"/>
  <c r="D7041" i="106" s="1"/>
  <c r="E109" i="5"/>
  <c r="E4" i="4" s="1"/>
  <c r="B2630" i="106" s="1"/>
  <c r="D2630" i="106" s="1"/>
  <c r="F77" i="4"/>
  <c r="B3255" i="106" s="1"/>
  <c r="D3255" i="106" s="1"/>
  <c r="K24" i="12"/>
  <c r="L15" i="11"/>
  <c r="B3459" i="106" s="1"/>
  <c r="D3459" i="106" s="1"/>
  <c r="J90" i="28"/>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0" i="34"/>
  <c r="B6901" i="106"/>
  <c r="D6901" i="106" s="1"/>
  <c r="F51" i="34"/>
  <c r="F43" i="34"/>
  <c r="F47" i="34"/>
  <c r="B6877" i="106"/>
  <c r="D6877" i="106" s="1"/>
  <c r="F39" i="34"/>
  <c r="B3703" i="106"/>
  <c r="D3703" i="106" s="1"/>
  <c r="I76" i="4"/>
  <c r="K16" i="11"/>
  <c r="B2055" i="106" s="1"/>
  <c r="D2055" i="106" s="1"/>
  <c r="B122" i="106"/>
  <c r="D122" i="106" s="1"/>
  <c r="B7759" i="106"/>
  <c r="D7759" i="106" s="1"/>
  <c r="B169" i="106"/>
  <c r="D169"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B1121" i="106"/>
  <c r="D1121" i="106" s="1"/>
  <c r="E12" i="145"/>
  <c r="B731" i="106"/>
  <c r="D731"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B7618" i="106"/>
  <c r="L14" i="11"/>
  <c r="B7623" i="106" s="1"/>
  <c r="B7503" i="106"/>
  <c r="B7531" i="106"/>
  <c r="B6917" i="106"/>
  <c r="D6917" i="106" s="1"/>
  <c r="D273" i="5"/>
  <c r="B5501" i="106" s="1"/>
  <c r="D5501" i="106" s="1"/>
  <c r="D7247" i="106"/>
  <c r="B6916" i="106"/>
  <c r="D6916" i="106" s="1"/>
  <c r="I49" i="8"/>
  <c r="E44" i="4"/>
  <c r="B3235" i="106"/>
  <c r="D3235" i="106" s="1"/>
  <c r="D77" i="4"/>
  <c r="B3238" i="106" s="1"/>
  <c r="D3238" i="106" s="1"/>
  <c r="B3229" i="106"/>
  <c r="D3229" i="106" s="1"/>
  <c r="C77" i="4"/>
  <c r="B3232" i="106" s="1"/>
  <c r="D3232" i="106" s="1"/>
  <c r="B1977" i="106"/>
  <c r="D1977" i="106" s="1"/>
  <c r="H24" i="12"/>
  <c r="B1867" i="106"/>
  <c r="D1867" i="106" s="1"/>
  <c r="F15" i="8"/>
  <c r="B3296" i="106"/>
  <c r="D3296" i="106" s="1"/>
  <c r="G77" i="4"/>
  <c r="B3261" i="106" s="1"/>
  <c r="D3261" i="106" s="1"/>
  <c r="L12" i="11"/>
  <c r="B2059" i="106" s="1"/>
  <c r="D2059" i="106" s="1"/>
  <c r="L8" i="11"/>
  <c r="B2057" i="106" s="1"/>
  <c r="D2057" i="106" s="1"/>
  <c r="G24" i="12"/>
  <c r="B847" i="106"/>
  <c r="D847" i="106" s="1"/>
  <c r="B1109" i="106"/>
  <c r="D1109" i="106" s="1"/>
  <c r="B905" i="106"/>
  <c r="D905" i="106" s="1"/>
  <c r="B211" i="106"/>
  <c r="D211" i="106" s="1"/>
  <c r="B188" i="106"/>
  <c r="D188" i="106" s="1"/>
  <c r="B139" i="106"/>
  <c r="D139" i="106" s="1"/>
  <c r="J19" i="145"/>
  <c r="D82" i="36" s="1"/>
  <c r="C273" i="5"/>
  <c r="J24" i="12"/>
  <c r="B7730" i="106"/>
  <c r="D7730" i="106" s="1"/>
  <c r="B7270" i="106"/>
  <c r="K42" i="29" l="1"/>
  <c r="B7692" i="106"/>
  <c r="D7692" i="106" s="1"/>
  <c r="B7031" i="106"/>
  <c r="D7031" i="106" s="1"/>
  <c r="B7120" i="106"/>
  <c r="D7120" i="106" s="1"/>
  <c r="E330" i="29"/>
  <c r="K320" i="29"/>
  <c r="B7135" i="106" s="1"/>
  <c r="D7135" i="106" s="1"/>
  <c r="B7127" i="106"/>
  <c r="D7127" i="106" s="1"/>
  <c r="B7192" i="106"/>
  <c r="D7192" i="106" s="1"/>
  <c r="B4076" i="106"/>
  <c r="D4076" i="106" s="1"/>
  <c r="B1540" i="106"/>
  <c r="D1540" i="106" s="1"/>
  <c r="B7179" i="106"/>
  <c r="D7179" i="106" s="1"/>
  <c r="B7083" i="106"/>
  <c r="D7083" i="106" s="1"/>
  <c r="K249" i="29"/>
  <c r="B7084" i="106" s="1"/>
  <c r="D7084" i="106" s="1"/>
  <c r="K226" i="29"/>
  <c r="B7080" i="106" s="1"/>
  <c r="D7080" i="106" s="1"/>
  <c r="B7079" i="106"/>
  <c r="D7079" i="106" s="1"/>
  <c r="B2957" i="106"/>
  <c r="D2957" i="106" s="1"/>
  <c r="B7109" i="106"/>
  <c r="D7109" i="106" s="1"/>
  <c r="B3389" i="106"/>
  <c r="D3389" i="106" s="1"/>
  <c r="K228" i="29"/>
  <c r="B3392" i="106" s="1"/>
  <c r="D3392" i="106" s="1"/>
  <c r="B3653" i="106"/>
  <c r="D3653" i="106" s="1"/>
  <c r="F72" i="29"/>
  <c r="B927" i="106" s="1"/>
  <c r="D927" i="106" s="1"/>
  <c r="B920" i="106"/>
  <c r="D920" i="106" s="1"/>
  <c r="L127" i="29"/>
  <c r="L129" i="29" s="1"/>
  <c r="B7035" i="106"/>
  <c r="D7035" i="106" s="1"/>
  <c r="B1262" i="106"/>
  <c r="D1262" i="106" s="1"/>
  <c r="B1350" i="106"/>
  <c r="D1350" i="106" s="1"/>
  <c r="B7119" i="106"/>
  <c r="D7119" i="106" s="1"/>
  <c r="D330" i="29"/>
  <c r="B799" i="106"/>
  <c r="D799" i="106" s="1"/>
  <c r="B1434" i="106"/>
  <c r="D1434" i="106" s="1"/>
  <c r="K269" i="29"/>
  <c r="B1498" i="106" s="1"/>
  <c r="D1498" i="106" s="1"/>
  <c r="K225" i="29"/>
  <c r="B1460" i="106" s="1"/>
  <c r="D1460" i="106" s="1"/>
  <c r="B1396" i="106"/>
  <c r="D1396" i="106" s="1"/>
  <c r="L149" i="29"/>
  <c r="L147" i="29"/>
  <c r="B1051" i="106"/>
  <c r="D1051" i="106" s="1"/>
  <c r="K109" i="29"/>
  <c r="B1149" i="106" s="1"/>
  <c r="D1149" i="106" s="1"/>
  <c r="K182" i="29"/>
  <c r="B1377" i="106" s="1"/>
  <c r="D1377" i="106" s="1"/>
  <c r="B1335" i="106"/>
  <c r="D1335" i="106" s="1"/>
  <c r="E84" i="29"/>
  <c r="K78" i="29"/>
  <c r="B2973" i="106" s="1"/>
  <c r="D2973" i="106" s="1"/>
  <c r="B2949" i="106"/>
  <c r="D2949" i="106" s="1"/>
  <c r="B7690" i="106"/>
  <c r="D7690" i="106" s="1"/>
  <c r="B1354" i="106"/>
  <c r="D1354" i="106" s="1"/>
  <c r="H84" i="29"/>
  <c r="B2955" i="106"/>
  <c r="D2955" i="106" s="1"/>
  <c r="B2981" i="106"/>
  <c r="D2981" i="106" s="1"/>
  <c r="B4084" i="106"/>
  <c r="D4084" i="106" s="1"/>
  <c r="F184" i="29"/>
  <c r="B6985" i="106"/>
  <c r="D6985" i="106" s="1"/>
  <c r="K87" i="29"/>
  <c r="B6986" i="106" s="1"/>
  <c r="D6986" i="106" s="1"/>
  <c r="L350" i="29"/>
  <c r="L352" i="29" s="1"/>
  <c r="K234" i="29"/>
  <c r="B1477" i="106" s="1"/>
  <c r="D1477" i="106" s="1"/>
  <c r="B1413" i="106"/>
  <c r="D1413" i="106" s="1"/>
  <c r="K89" i="29"/>
  <c r="B6990" i="106" s="1"/>
  <c r="D6990" i="106" s="1"/>
  <c r="B6989" i="106"/>
  <c r="D6989" i="106" s="1"/>
  <c r="B7197" i="106"/>
  <c r="D7197" i="106" s="1"/>
  <c r="E100" i="29"/>
  <c r="B7011" i="106" s="1"/>
  <c r="D7011" i="106" s="1"/>
  <c r="K99" i="29"/>
  <c r="B7010" i="106" s="1"/>
  <c r="D7010" i="106" s="1"/>
  <c r="B7008" i="106"/>
  <c r="D7008" i="106" s="1"/>
  <c r="B2812" i="106"/>
  <c r="D2812" i="106" s="1"/>
  <c r="K165" i="29"/>
  <c r="B2818" i="106" s="1"/>
  <c r="D2818" i="106" s="1"/>
  <c r="B1046" i="106"/>
  <c r="D1046" i="106" s="1"/>
  <c r="F65" i="29"/>
  <c r="B919" i="106" s="1"/>
  <c r="D919" i="106" s="1"/>
  <c r="B912" i="106"/>
  <c r="D912" i="106" s="1"/>
  <c r="K135" i="29"/>
  <c r="B2987" i="106" s="1"/>
  <c r="D2987" i="106" s="1"/>
  <c r="B4200" i="106"/>
  <c r="D4200" i="106" s="1"/>
  <c r="L194" i="29"/>
  <c r="L196" i="29" s="1"/>
  <c r="B6956" i="106"/>
  <c r="D6956" i="106" s="1"/>
  <c r="B7233" i="106"/>
  <c r="D7233" i="106" s="1"/>
  <c r="E65" i="29"/>
  <c r="B861" i="106" s="1"/>
  <c r="D861" i="106" s="1"/>
  <c r="B854" i="106"/>
  <c r="D854" i="106" s="1"/>
  <c r="K217" i="29"/>
  <c r="B3391" i="106" s="1"/>
  <c r="D3391" i="106" s="1"/>
  <c r="B3388" i="106"/>
  <c r="D3388" i="106" s="1"/>
  <c r="B7059" i="106"/>
  <c r="D7059" i="106" s="1"/>
  <c r="B1419" i="106"/>
  <c r="D1419" i="106" s="1"/>
  <c r="K241" i="29"/>
  <c r="B1483" i="106" s="1"/>
  <c r="D1483" i="106" s="1"/>
  <c r="B7134" i="106"/>
  <c r="D7134" i="106" s="1"/>
  <c r="K68" i="29"/>
  <c r="B747" i="106"/>
  <c r="D747" i="106" s="1"/>
  <c r="B2950" i="106"/>
  <c r="D2950" i="106" s="1"/>
  <c r="K79" i="29"/>
  <c r="B2974" i="106" s="1"/>
  <c r="D2974" i="106" s="1"/>
  <c r="B1251" i="106"/>
  <c r="D1251" i="106" s="1"/>
  <c r="G127" i="29"/>
  <c r="B1256" i="106" s="1"/>
  <c r="D1256" i="106" s="1"/>
  <c r="K218" i="29"/>
  <c r="B7075" i="106"/>
  <c r="D7075" i="106" s="1"/>
  <c r="B7169" i="106"/>
  <c r="D7169" i="106" s="1"/>
  <c r="B2822" i="106"/>
  <c r="D2822" i="106" s="1"/>
  <c r="B798" i="106"/>
  <c r="D798" i="106" s="1"/>
  <c r="B7014" i="106"/>
  <c r="D7014" i="106" s="1"/>
  <c r="B3485" i="106"/>
  <c r="D3485" i="106" s="1"/>
  <c r="B2997" i="106"/>
  <c r="D2997" i="106" s="1"/>
  <c r="B2802" i="106"/>
  <c r="D2802" i="106" s="1"/>
  <c r="B1447" i="106"/>
  <c r="D1447" i="106" s="1"/>
  <c r="K280" i="29"/>
  <c r="B1237" i="106"/>
  <c r="D1237" i="106" s="1"/>
  <c r="B7023" i="106"/>
  <c r="D7023" i="106" s="1"/>
  <c r="B2800" i="106"/>
  <c r="D2800" i="106" s="1"/>
  <c r="B2958" i="106"/>
  <c r="D2958" i="106" s="1"/>
  <c r="K256" i="29"/>
  <c r="B7098" i="106" s="1"/>
  <c r="D7098" i="106" s="1"/>
  <c r="B7097" i="106"/>
  <c r="D7097" i="106" s="1"/>
  <c r="B7182" i="106"/>
  <c r="D7182" i="106" s="1"/>
  <c r="K88" i="29"/>
  <c r="B6988" i="106" s="1"/>
  <c r="D6988" i="106" s="1"/>
  <c r="B6987" i="106"/>
  <c r="D6987" i="106" s="1"/>
  <c r="B7697" i="106"/>
  <c r="D7697" i="106" s="1"/>
  <c r="K329" i="29"/>
  <c r="B7705" i="106" s="1"/>
  <c r="D7705" i="106" s="1"/>
  <c r="B1033" i="106"/>
  <c r="D1033" i="106" s="1"/>
  <c r="K255" i="29"/>
  <c r="B7096" i="106" s="1"/>
  <c r="D7096" i="106" s="1"/>
  <c r="B7095" i="106"/>
  <c r="D7095" i="106" s="1"/>
  <c r="B7186" i="106"/>
  <c r="D7186" i="106" s="1"/>
  <c r="B814" i="106"/>
  <c r="D814" i="106" s="1"/>
  <c r="B3657" i="106"/>
  <c r="D3657" i="106" s="1"/>
  <c r="H362" i="29"/>
  <c r="K360" i="29"/>
  <c r="B968" i="106"/>
  <c r="D968" i="106" s="1"/>
  <c r="B7140" i="106"/>
  <c r="D7140" i="106" s="1"/>
  <c r="B7039" i="106"/>
  <c r="D7039" i="106" s="1"/>
  <c r="B7163" i="106"/>
  <c r="D7163" i="106" s="1"/>
  <c r="K324" i="29"/>
  <c r="B7171" i="106" s="1"/>
  <c r="D7171" i="106" s="1"/>
  <c r="B7152" i="106"/>
  <c r="D7152" i="106" s="1"/>
  <c r="L100" i="29"/>
  <c r="B7087" i="106"/>
  <c r="D7087" i="106" s="1"/>
  <c r="K251" i="29"/>
  <c r="B7088" i="106" s="1"/>
  <c r="D7088" i="106" s="1"/>
  <c r="B1407" i="106"/>
  <c r="D1407" i="106" s="1"/>
  <c r="K222" i="29"/>
  <c r="B1471" i="106" s="1"/>
  <c r="D1471" i="106" s="1"/>
  <c r="L257" i="29"/>
  <c r="B2799" i="106"/>
  <c r="D2799" i="106" s="1"/>
  <c r="B1357" i="106"/>
  <c r="D1357" i="106" s="1"/>
  <c r="L362" i="29"/>
  <c r="L365" i="29" s="1"/>
  <c r="B1227" i="106"/>
  <c r="D1227" i="106" s="1"/>
  <c r="D127" i="29"/>
  <c r="B1231" i="106" s="1"/>
  <c r="D1231" i="106" s="1"/>
  <c r="E57" i="29"/>
  <c r="B851" i="106"/>
  <c r="D851" i="106" s="1"/>
  <c r="B7176" i="106"/>
  <c r="D7176" i="106" s="1"/>
  <c r="B1268" i="106"/>
  <c r="D1268" i="106" s="1"/>
  <c r="H147" i="29"/>
  <c r="H149" i="29" s="1"/>
  <c r="B1272" i="106" s="1"/>
  <c r="D1272" i="106" s="1"/>
  <c r="K142" i="29"/>
  <c r="B864" i="106"/>
  <c r="D864" i="106" s="1"/>
  <c r="G72" i="29"/>
  <c r="B985" i="106" s="1"/>
  <c r="D985" i="106" s="1"/>
  <c r="B978" i="106"/>
  <c r="D978" i="106" s="1"/>
  <c r="B858" i="106"/>
  <c r="D858" i="106" s="1"/>
  <c r="B2951" i="106"/>
  <c r="D2951" i="106" s="1"/>
  <c r="K80" i="29"/>
  <c r="B2975" i="106" s="1"/>
  <c r="D2975" i="106" s="1"/>
  <c r="B7694" i="106"/>
  <c r="D7694" i="106" s="1"/>
  <c r="B1445" i="106"/>
  <c r="D1445" i="106" s="1"/>
  <c r="K278" i="29"/>
  <c r="B1509" i="106" s="1"/>
  <c r="D1509" i="106" s="1"/>
  <c r="B7124" i="106"/>
  <c r="D7124" i="106" s="1"/>
  <c r="I330" i="29"/>
  <c r="B979" i="106"/>
  <c r="D979" i="106" s="1"/>
  <c r="K323" i="29"/>
  <c r="B7162" i="106" s="1"/>
  <c r="D7162" i="106" s="1"/>
  <c r="B7154" i="106"/>
  <c r="D7154" i="106" s="1"/>
  <c r="K216" i="29"/>
  <c r="B7073" i="106"/>
  <c r="D7073" i="106" s="1"/>
  <c r="B7228" i="106"/>
  <c r="D7228" i="106" s="1"/>
  <c r="B1531" i="106"/>
  <c r="D1531" i="106" s="1"/>
  <c r="E303" i="29"/>
  <c r="B1543" i="106"/>
  <c r="D1543" i="106" s="1"/>
  <c r="G303" i="29"/>
  <c r="B7016" i="106"/>
  <c r="D7016" i="106" s="1"/>
  <c r="K111" i="29"/>
  <c r="B7017" i="106" s="1"/>
  <c r="D7017" i="106" s="1"/>
  <c r="B1549" i="106"/>
  <c r="D1549" i="106" s="1"/>
  <c r="H303" i="29"/>
  <c r="K82" i="29"/>
  <c r="B2977" i="106" s="1"/>
  <c r="D2977" i="106" s="1"/>
  <c r="B2953" i="106"/>
  <c r="D2953" i="106" s="1"/>
  <c r="B746" i="106"/>
  <c r="D746" i="106" s="1"/>
  <c r="K67" i="29"/>
  <c r="C72" i="29"/>
  <c r="B753" i="106" s="1"/>
  <c r="D753" i="106" s="1"/>
  <c r="B1236" i="106"/>
  <c r="D1236" i="106" s="1"/>
  <c r="B3620" i="106"/>
  <c r="D3620" i="106" s="1"/>
  <c r="K351" i="29"/>
  <c r="B3671" i="106" s="1"/>
  <c r="D3671" i="106" s="1"/>
  <c r="B2813" i="106"/>
  <c r="D2813" i="106" s="1"/>
  <c r="K166" i="29"/>
  <c r="B2819" i="106" s="1"/>
  <c r="D2819" i="106" s="1"/>
  <c r="H184" i="29"/>
  <c r="B1370" i="106" s="1"/>
  <c r="D1370" i="106" s="1"/>
  <c r="B4086" i="106"/>
  <c r="D4086" i="106" s="1"/>
  <c r="B7130" i="106"/>
  <c r="D7130" i="106" s="1"/>
  <c r="B1041" i="106"/>
  <c r="D1041" i="106" s="1"/>
  <c r="B7057" i="106"/>
  <c r="D7057" i="106" s="1"/>
  <c r="I184" i="29"/>
  <c r="K93" i="29"/>
  <c r="B6996" i="106"/>
  <c r="D6996" i="106" s="1"/>
  <c r="H100" i="29"/>
  <c r="B7012" i="106" s="1"/>
  <c r="D7012" i="106" s="1"/>
  <c r="B1369" i="106"/>
  <c r="D1369" i="106" s="1"/>
  <c r="B7100" i="106"/>
  <c r="D7100" i="106" s="1"/>
  <c r="J303" i="29"/>
  <c r="B7183" i="106"/>
  <c r="D7183" i="106" s="1"/>
  <c r="B797" i="106"/>
  <c r="D797" i="106" s="1"/>
  <c r="K309" i="29"/>
  <c r="B3717" i="106" s="1"/>
  <c r="D3717" i="106" s="1"/>
  <c r="B7112" i="106"/>
  <c r="D7112" i="106" s="1"/>
  <c r="K240" i="29"/>
  <c r="B1418" i="106"/>
  <c r="D1418" i="106" s="1"/>
  <c r="D243" i="29"/>
  <c r="B1421" i="106" s="1"/>
  <c r="D1421" i="106" s="1"/>
  <c r="L92" i="29"/>
  <c r="B7138" i="106"/>
  <c r="D7138" i="106" s="1"/>
  <c r="B6963" i="106"/>
  <c r="D6963" i="106" s="1"/>
  <c r="I72" i="29"/>
  <c r="B6973" i="106" s="1"/>
  <c r="D6973" i="106" s="1"/>
  <c r="B7159" i="106"/>
  <c r="D7159" i="106" s="1"/>
  <c r="B1269" i="106"/>
  <c r="D1269" i="106" s="1"/>
  <c r="K143" i="29"/>
  <c r="B1284" i="106" s="1"/>
  <c r="D1284" i="106" s="1"/>
  <c r="B6960" i="106"/>
  <c r="D6960" i="106" s="1"/>
  <c r="B7232" i="106"/>
  <c r="D7232" i="106" s="1"/>
  <c r="B7061" i="106"/>
  <c r="D7061" i="106" s="1"/>
  <c r="L293" i="29"/>
  <c r="B2824" i="106"/>
  <c r="D2824" i="106" s="1"/>
  <c r="K195" i="29"/>
  <c r="B2839" i="106" s="1"/>
  <c r="D2839" i="106" s="1"/>
  <c r="B7173" i="106"/>
  <c r="D7173" i="106" s="1"/>
  <c r="B7040" i="106"/>
  <c r="D7040" i="106" s="1"/>
  <c r="K59" i="29"/>
  <c r="F26" i="108" s="1"/>
  <c r="C65" i="29"/>
  <c r="B745" i="106" s="1"/>
  <c r="D745" i="106" s="1"/>
  <c r="B738" i="106"/>
  <c r="D738" i="106" s="1"/>
  <c r="B6951" i="106"/>
  <c r="D6951" i="106" s="1"/>
  <c r="J65" i="29"/>
  <c r="B6962" i="106" s="1"/>
  <c r="D6962" i="106" s="1"/>
  <c r="B1316" i="106"/>
  <c r="D1316" i="106" s="1"/>
  <c r="K171" i="29"/>
  <c r="B1330" i="106" s="1"/>
  <c r="D1330" i="106" s="1"/>
  <c r="B3641" i="106"/>
  <c r="D3641" i="106" s="1"/>
  <c r="B735" i="106"/>
  <c r="D735" i="106" s="1"/>
  <c r="C57" i="29"/>
  <c r="K55" i="29"/>
  <c r="B6991" i="106"/>
  <c r="D6991" i="106" s="1"/>
  <c r="K90" i="29"/>
  <c r="B6992" i="106" s="1"/>
  <c r="D6992" i="106" s="1"/>
  <c r="B4081" i="106"/>
  <c r="D4081" i="106" s="1"/>
  <c r="K180" i="29"/>
  <c r="C184" i="29"/>
  <c r="B6944" i="106"/>
  <c r="D6944" i="106" s="1"/>
  <c r="I57" i="29"/>
  <c r="B7187" i="106"/>
  <c r="D7187" i="106" s="1"/>
  <c r="B3064" i="106"/>
  <c r="D3064" i="106" s="1"/>
  <c r="K219" i="29"/>
  <c r="B3065" i="106" s="1"/>
  <c r="D3065" i="106" s="1"/>
  <c r="B7143" i="106"/>
  <c r="D7143" i="106" s="1"/>
  <c r="B748" i="106"/>
  <c r="D748" i="106" s="1"/>
  <c r="K69" i="29"/>
  <c r="B7030" i="106"/>
  <c r="D7030" i="106" s="1"/>
  <c r="B739" i="106"/>
  <c r="D739" i="106" s="1"/>
  <c r="K60" i="29"/>
  <c r="B1127" i="106" s="1"/>
  <c r="D1127" i="106" s="1"/>
  <c r="B983" i="106"/>
  <c r="D983" i="106" s="1"/>
  <c r="B7106" i="106"/>
  <c r="D7106" i="106" s="1"/>
  <c r="H310" i="29"/>
  <c r="B7115" i="106" s="1"/>
  <c r="D7115" i="106" s="1"/>
  <c r="B1412" i="106"/>
  <c r="D1412" i="106" s="1"/>
  <c r="K233" i="29"/>
  <c r="B1476" i="106" s="1"/>
  <c r="D1476" i="106" s="1"/>
  <c r="B740" i="106"/>
  <c r="D740" i="106" s="1"/>
  <c r="K61" i="29"/>
  <c r="B2998" i="106"/>
  <c r="D2998" i="106" s="1"/>
  <c r="B1347" i="106"/>
  <c r="D1347" i="106" s="1"/>
  <c r="B7131" i="106"/>
  <c r="D7131" i="106" s="1"/>
  <c r="L229" i="29"/>
  <c r="B1546" i="106"/>
  <c r="D1546" i="106" s="1"/>
  <c r="B7009" i="106"/>
  <c r="D7009" i="106" s="1"/>
  <c r="B7166" i="106"/>
  <c r="D7166" i="106" s="1"/>
  <c r="B930" i="106"/>
  <c r="D930" i="106" s="1"/>
  <c r="B2092" i="106"/>
  <c r="D2092" i="106" s="1"/>
  <c r="K138" i="29"/>
  <c r="B2094" i="106" s="1"/>
  <c r="D2094" i="106" s="1"/>
  <c r="B6954" i="106"/>
  <c r="D6954" i="106" s="1"/>
  <c r="B7701" i="106"/>
  <c r="D7701" i="106" s="1"/>
  <c r="B7193" i="106"/>
  <c r="D7193" i="106" s="1"/>
  <c r="B1031" i="106"/>
  <c r="D1031" i="106" s="1"/>
  <c r="L72" i="29"/>
  <c r="B3000" i="106"/>
  <c r="D3000" i="106" s="1"/>
  <c r="L238" i="29"/>
  <c r="B6953" i="106"/>
  <c r="D6953" i="106" s="1"/>
  <c r="B6970" i="106"/>
  <c r="D6970" i="106" s="1"/>
  <c r="K170" i="29"/>
  <c r="B1315" i="106"/>
  <c r="D1315" i="106" s="1"/>
  <c r="D69" i="36"/>
  <c r="B7149" i="106"/>
  <c r="D7149" i="106" s="1"/>
  <c r="B974" i="106"/>
  <c r="D974" i="106" s="1"/>
  <c r="K223" i="29"/>
  <c r="B1472" i="106" s="1"/>
  <c r="D1472" i="106" s="1"/>
  <c r="B1408" i="106"/>
  <c r="D1408" i="106" s="1"/>
  <c r="B3624" i="106"/>
  <c r="D3624" i="106" s="1"/>
  <c r="D350" i="29"/>
  <c r="B1037" i="106"/>
  <c r="D1037" i="106" s="1"/>
  <c r="B4210" i="106"/>
  <c r="D4210" i="106" s="1"/>
  <c r="K206" i="29"/>
  <c r="B4211" i="106" s="1"/>
  <c r="D4211" i="106" s="1"/>
  <c r="K169" i="29"/>
  <c r="B1326" i="106" s="1"/>
  <c r="D1326" i="106" s="1"/>
  <c r="B1312" i="106"/>
  <c r="D1312" i="106" s="1"/>
  <c r="B3645" i="106"/>
  <c r="D3645" i="106" s="1"/>
  <c r="G350" i="29"/>
  <c r="B1221" i="106"/>
  <c r="D1221" i="106" s="1"/>
  <c r="K124" i="29"/>
  <c r="B1276" i="106" s="1"/>
  <c r="D1276" i="106" s="1"/>
  <c r="B7156" i="106"/>
  <c r="D7156" i="106" s="1"/>
  <c r="B1344" i="106"/>
  <c r="D1344" i="106" s="1"/>
  <c r="B1525" i="106"/>
  <c r="D1525" i="106" s="1"/>
  <c r="D303" i="29"/>
  <c r="K348" i="29"/>
  <c r="B3617" i="106"/>
  <c r="D3617" i="106" s="1"/>
  <c r="C350" i="29"/>
  <c r="B7170" i="106"/>
  <c r="D7170" i="106" s="1"/>
  <c r="K62" i="29"/>
  <c r="B741" i="106"/>
  <c r="D741" i="106" s="1"/>
  <c r="K193" i="29"/>
  <c r="B3012" i="106" s="1"/>
  <c r="D3012" i="106" s="1"/>
  <c r="B2994" i="106"/>
  <c r="D2994" i="106" s="1"/>
  <c r="B1240" i="106"/>
  <c r="D1240" i="106" s="1"/>
  <c r="B4077" i="106"/>
  <c r="D4077" i="106" s="1"/>
  <c r="K164" i="29"/>
  <c r="B1325" i="106" s="1"/>
  <c r="D1325" i="106" s="1"/>
  <c r="B1311" i="106"/>
  <c r="D1311" i="106" s="1"/>
  <c r="B6971" i="106"/>
  <c r="D6971" i="106" s="1"/>
  <c r="B981" i="106"/>
  <c r="D981" i="106" s="1"/>
  <c r="K266" i="29"/>
  <c r="B1495" i="106" s="1"/>
  <c r="D1495" i="106" s="1"/>
  <c r="B1431" i="106"/>
  <c r="D1431" i="106" s="1"/>
  <c r="B7151" i="106"/>
  <c r="D7151" i="106" s="1"/>
  <c r="B6957" i="106"/>
  <c r="D6957" i="106" s="1"/>
  <c r="B6952" i="106"/>
  <c r="D6952" i="106" s="1"/>
  <c r="B7137" i="106"/>
  <c r="D7137" i="106" s="1"/>
  <c r="K146" i="29"/>
  <c r="B1285" i="106" s="1"/>
  <c r="D1285" i="106" s="1"/>
  <c r="B1270" i="106"/>
  <c r="D1270" i="106" s="1"/>
  <c r="B7028" i="106"/>
  <c r="D7028" i="106" s="1"/>
  <c r="B7695" i="106"/>
  <c r="D7695" i="106" s="1"/>
  <c r="K274" i="29"/>
  <c r="B1503" i="106" s="1"/>
  <c r="D1503" i="106" s="1"/>
  <c r="B1439" i="106"/>
  <c r="D1439" i="106" s="1"/>
  <c r="B928" i="106"/>
  <c r="D928" i="106" s="1"/>
  <c r="B2843" i="106"/>
  <c r="D2843" i="106" s="1"/>
  <c r="K290" i="29"/>
  <c r="B2845" i="106" s="1"/>
  <c r="D2845" i="106" s="1"/>
  <c r="D261" i="29"/>
  <c r="B1427" i="106" s="1"/>
  <c r="D1427" i="106" s="1"/>
  <c r="K259" i="29"/>
  <c r="B1425" i="106"/>
  <c r="D1425" i="106" s="1"/>
  <c r="B7032" i="106"/>
  <c r="D7032" i="106" s="1"/>
  <c r="L110" i="29"/>
  <c r="L112" i="29" s="1"/>
  <c r="B1414" i="106"/>
  <c r="D1414" i="106" s="1"/>
  <c r="K235" i="29"/>
  <c r="B1478" i="106" s="1"/>
  <c r="D1478" i="106" s="1"/>
  <c r="K252" i="29"/>
  <c r="B7090" i="106" s="1"/>
  <c r="D7090" i="106" s="1"/>
  <c r="B7089" i="106"/>
  <c r="D7089" i="106" s="1"/>
  <c r="B4082" i="106"/>
  <c r="D4082" i="106" s="1"/>
  <c r="D184" i="29"/>
  <c r="B1345" i="106" s="1"/>
  <c r="D1345" i="106" s="1"/>
  <c r="J184" i="29"/>
  <c r="B7064" i="106" s="1"/>
  <c r="D7064" i="106" s="1"/>
  <c r="B7058" i="106"/>
  <c r="D7058" i="106" s="1"/>
  <c r="B7132" i="106"/>
  <c r="D7132" i="106" s="1"/>
  <c r="B7148" i="106"/>
  <c r="D7148" i="106" s="1"/>
  <c r="B3639" i="106"/>
  <c r="D3639" i="106" s="1"/>
  <c r="B7190" i="106"/>
  <c r="D7190" i="106" s="1"/>
  <c r="K327" i="29"/>
  <c r="B7198" i="106" s="1"/>
  <c r="D7198" i="106" s="1"/>
  <c r="L330" i="29"/>
  <c r="B1360" i="106"/>
  <c r="D1360" i="106" s="1"/>
  <c r="B801" i="106"/>
  <c r="D801" i="106" s="1"/>
  <c r="L310" i="29"/>
  <c r="B1438" i="106"/>
  <c r="D1438" i="106" s="1"/>
  <c r="K273" i="29"/>
  <c r="B1502" i="106" s="1"/>
  <c r="D1502" i="106" s="1"/>
  <c r="L340" i="29"/>
  <c r="L342" i="29" s="1"/>
  <c r="B7691" i="106"/>
  <c r="D7691" i="106" s="1"/>
  <c r="L84" i="29"/>
  <c r="B7157" i="106"/>
  <c r="D7157" i="106" s="1"/>
  <c r="B7184" i="106"/>
  <c r="D7184" i="106" s="1"/>
  <c r="J57" i="29"/>
  <c r="B6945" i="106"/>
  <c r="D6945" i="106" s="1"/>
  <c r="B856" i="106"/>
  <c r="D856" i="106" s="1"/>
  <c r="B1449" i="106"/>
  <c r="D1449" i="106" s="1"/>
  <c r="K288" i="29"/>
  <c r="H293" i="29"/>
  <c r="B4075" i="106"/>
  <c r="D4075" i="106" s="1"/>
  <c r="B794" i="106"/>
  <c r="D794" i="106" s="1"/>
  <c r="B736" i="106"/>
  <c r="D736" i="106" s="1"/>
  <c r="K56" i="29"/>
  <c r="B3646" i="106"/>
  <c r="D3646" i="106" s="1"/>
  <c r="B7167" i="106"/>
  <c r="D7167" i="106" s="1"/>
  <c r="B910" i="106"/>
  <c r="D910" i="106" s="1"/>
  <c r="B7210" i="106"/>
  <c r="D7210" i="106" s="1"/>
  <c r="K338" i="29"/>
  <c r="B7211" i="106" s="1"/>
  <c r="D7211" i="106" s="1"/>
  <c r="B973" i="106"/>
  <c r="D973" i="106" s="1"/>
  <c r="B7125" i="106"/>
  <c r="D7125" i="106" s="1"/>
  <c r="J330" i="29"/>
  <c r="L204" i="29"/>
  <c r="L208" i="29" s="1"/>
  <c r="B7105" i="106"/>
  <c r="D7105" i="106" s="1"/>
  <c r="E310" i="29"/>
  <c r="B7114" i="106" s="1"/>
  <c r="D7114" i="106" s="1"/>
  <c r="K306" i="29"/>
  <c r="K96" i="29"/>
  <c r="B7003" i="106" s="1"/>
  <c r="D7003" i="106" s="1"/>
  <c r="B7002" i="106"/>
  <c r="D7002" i="106" s="1"/>
  <c r="B743" i="106"/>
  <c r="D743" i="106" s="1"/>
  <c r="K64" i="29"/>
  <c r="B7123" i="106"/>
  <c r="D7123" i="106" s="1"/>
  <c r="H330" i="29"/>
  <c r="B925" i="106"/>
  <c r="D925" i="106" s="1"/>
  <c r="B7693" i="106"/>
  <c r="D7693" i="106" s="1"/>
  <c r="C330" i="29"/>
  <c r="B7118" i="106"/>
  <c r="D7118" i="106" s="1"/>
  <c r="K319" i="29"/>
  <c r="F57" i="29"/>
  <c r="B909" i="106"/>
  <c r="D909" i="106" s="1"/>
  <c r="K254" i="29"/>
  <c r="B7094" i="106" s="1"/>
  <c r="D7094" i="106" s="1"/>
  <c r="B7093" i="106"/>
  <c r="D7093" i="106" s="1"/>
  <c r="B914" i="106"/>
  <c r="D914" i="106" s="1"/>
  <c r="B1415" i="106"/>
  <c r="D1415" i="106" s="1"/>
  <c r="K236" i="29"/>
  <c r="B1479" i="106" s="1"/>
  <c r="D1479" i="106" s="1"/>
  <c r="B6965" i="106"/>
  <c r="D6965" i="106" s="1"/>
  <c r="B809" i="106"/>
  <c r="D809" i="106" s="1"/>
  <c r="B1228" i="106"/>
  <c r="D1228" i="106" s="1"/>
  <c r="L285" i="29"/>
  <c r="B7196" i="106"/>
  <c r="D7196" i="106" s="1"/>
  <c r="B7150" i="106"/>
  <c r="D7150" i="106" s="1"/>
  <c r="K260" i="29"/>
  <c r="B1490" i="106" s="1"/>
  <c r="D1490" i="106" s="1"/>
  <c r="B1426" i="106"/>
  <c r="D1426" i="106" s="1"/>
  <c r="B2825" i="106"/>
  <c r="D2825" i="106" s="1"/>
  <c r="B1025" i="106"/>
  <c r="D1025" i="106" s="1"/>
  <c r="H57" i="29"/>
  <c r="B1027" i="106" s="1"/>
  <c r="D1027" i="106" s="1"/>
  <c r="B7688" i="106"/>
  <c r="D7688" i="106" s="1"/>
  <c r="K328" i="29"/>
  <c r="B7696" i="106" s="1"/>
  <c r="D7696" i="106" s="1"/>
  <c r="B3487" i="106"/>
  <c r="D3487" i="106" s="1"/>
  <c r="B6979" i="106"/>
  <c r="D6979" i="106" s="1"/>
  <c r="B7178" i="106"/>
  <c r="D7178" i="106" s="1"/>
  <c r="B7227" i="106"/>
  <c r="D7227" i="106" s="1"/>
  <c r="J350" i="29"/>
  <c r="B4079" i="106"/>
  <c r="D4079" i="106" s="1"/>
  <c r="B7066" i="106"/>
  <c r="D7066" i="106" s="1"/>
  <c r="K190" i="29"/>
  <c r="B3009" i="106" s="1"/>
  <c r="D3009" i="106" s="1"/>
  <c r="B2991" i="106"/>
  <c r="D2991" i="106" s="1"/>
  <c r="K94" i="29"/>
  <c r="B6999" i="106" s="1"/>
  <c r="D6999" i="106" s="1"/>
  <c r="B6998" i="106"/>
  <c r="D6998" i="106" s="1"/>
  <c r="K86" i="29"/>
  <c r="B6984" i="106" s="1"/>
  <c r="D6984" i="106" s="1"/>
  <c r="B6983" i="106"/>
  <c r="D6983" i="106" s="1"/>
  <c r="B7165" i="106"/>
  <c r="D7165" i="106" s="1"/>
  <c r="K267" i="29"/>
  <c r="B1496" i="106" s="1"/>
  <c r="D1496" i="106" s="1"/>
  <c r="B1432" i="106"/>
  <c r="D1432" i="106" s="1"/>
  <c r="B859" i="106"/>
  <c r="D859" i="106" s="1"/>
  <c r="K199" i="29"/>
  <c r="B1371" i="106"/>
  <c r="D1371" i="106" s="1"/>
  <c r="H204" i="29"/>
  <c r="B7155" i="106"/>
  <c r="D7155" i="106" s="1"/>
  <c r="B1232" i="106"/>
  <c r="D1232" i="106" s="1"/>
  <c r="G330" i="29"/>
  <c r="B7122" i="106"/>
  <c r="D7122" i="106" s="1"/>
  <c r="B7102" i="106"/>
  <c r="D7102" i="106" s="1"/>
  <c r="B1406" i="106"/>
  <c r="D1406" i="106" s="1"/>
  <c r="K221" i="29"/>
  <c r="K126" i="29"/>
  <c r="B1277" i="106" s="1"/>
  <c r="D1277" i="106" s="1"/>
  <c r="B1254" i="106"/>
  <c r="D1254" i="106" s="1"/>
  <c r="B865" i="106"/>
  <c r="D865" i="106" s="1"/>
  <c r="B806" i="106"/>
  <c r="D806" i="106" s="1"/>
  <c r="B7060" i="106"/>
  <c r="D7060" i="106" s="1"/>
  <c r="B6976" i="106"/>
  <c r="D6976" i="106" s="1"/>
  <c r="B6980" i="106"/>
  <c r="D6980" i="106" s="1"/>
  <c r="D57" i="29"/>
  <c r="B795" i="106" s="1"/>
  <c r="D795" i="106" s="1"/>
  <c r="B793" i="106"/>
  <c r="D793" i="106" s="1"/>
  <c r="K107" i="29"/>
  <c r="B2795" i="106" s="1"/>
  <c r="D2795" i="106" s="1"/>
  <c r="B2791" i="106"/>
  <c r="D2791" i="106" s="1"/>
  <c r="B2798" i="106"/>
  <c r="D2798" i="106" s="1"/>
  <c r="B1429" i="106"/>
  <c r="D1429" i="106" s="1"/>
  <c r="K264" i="29"/>
  <c r="B1493" i="106" s="1"/>
  <c r="D1493" i="106" s="1"/>
  <c r="B7194" i="106"/>
  <c r="D7194" i="106" s="1"/>
  <c r="B2826" i="106"/>
  <c r="D2826" i="106" s="1"/>
  <c r="B7065" i="106"/>
  <c r="D7065" i="106" s="1"/>
  <c r="B6972" i="106"/>
  <c r="D6972" i="106" s="1"/>
  <c r="B7128" i="106"/>
  <c r="D7128" i="106" s="1"/>
  <c r="B3634" i="106"/>
  <c r="D3634" i="106" s="1"/>
  <c r="L168" i="29"/>
  <c r="L172" i="29" s="1"/>
  <c r="L174" i="29" s="1"/>
  <c r="H92" i="29"/>
  <c r="B6981" i="106"/>
  <c r="D6981" i="106" s="1"/>
  <c r="K85" i="29"/>
  <c r="B6982" i="106" s="1"/>
  <c r="D6982" i="106" s="1"/>
  <c r="B3632" i="106"/>
  <c r="D3632" i="106" s="1"/>
  <c r="B7160" i="106"/>
  <c r="D7160" i="106" s="1"/>
  <c r="K289" i="29"/>
  <c r="B1513" i="106" s="1"/>
  <c r="D1513" i="106" s="1"/>
  <c r="B1450" i="106"/>
  <c r="D1450" i="106" s="1"/>
  <c r="B1341" i="106"/>
  <c r="D1341" i="106" s="1"/>
  <c r="B3484" i="106"/>
  <c r="D3484" i="106" s="1"/>
  <c r="B1026" i="106"/>
  <c r="D1026" i="106" s="1"/>
  <c r="K205" i="29"/>
  <c r="B7068" i="106" s="1"/>
  <c r="D7068" i="106" s="1"/>
  <c r="B7067" i="106"/>
  <c r="D7067" i="106" s="1"/>
  <c r="B7161" i="106"/>
  <c r="D7161" i="106" s="1"/>
  <c r="B807" i="106"/>
  <c r="D807" i="106" s="1"/>
  <c r="B1313" i="106"/>
  <c r="D1313" i="106" s="1"/>
  <c r="K167" i="29"/>
  <c r="B1327" i="106" s="1"/>
  <c r="D1327" i="106" s="1"/>
  <c r="K356" i="29"/>
  <c r="K357" i="29" s="1"/>
  <c r="K15" i="4" s="1"/>
  <c r="H357" i="29"/>
  <c r="B7212" i="106"/>
  <c r="D7212" i="106" s="1"/>
  <c r="K339" i="29"/>
  <c r="B7213" i="106" s="1"/>
  <c r="D7213" i="106" s="1"/>
  <c r="B7158" i="106"/>
  <c r="D7158" i="106" s="1"/>
  <c r="H350" i="29"/>
  <c r="B3652" i="106"/>
  <c r="D3652" i="106" s="1"/>
  <c r="B7108" i="106"/>
  <c r="D7108" i="106" s="1"/>
  <c r="K307" i="29"/>
  <c r="B4099" i="106" s="1"/>
  <c r="D4099" i="106" s="1"/>
  <c r="K275" i="29"/>
  <c r="B1504" i="106" s="1"/>
  <c r="D1504" i="106" s="1"/>
  <c r="B1440" i="106"/>
  <c r="D1440" i="106" s="1"/>
  <c r="K163" i="29"/>
  <c r="B1310" i="106"/>
  <c r="D1310" i="106" s="1"/>
  <c r="H168" i="29"/>
  <c r="B7062" i="106"/>
  <c r="D7062" i="106" s="1"/>
  <c r="B1253" i="106"/>
  <c r="D1253" i="106" s="1"/>
  <c r="B1220" i="106"/>
  <c r="D1220" i="106" s="1"/>
  <c r="K123" i="29"/>
  <c r="B1275" i="106" s="1"/>
  <c r="D1275" i="106" s="1"/>
  <c r="B2821" i="106"/>
  <c r="D2821" i="106" s="1"/>
  <c r="B7141" i="106"/>
  <c r="D7141" i="106" s="1"/>
  <c r="B7136" i="106"/>
  <c r="D7136" i="106" s="1"/>
  <c r="K321" i="29"/>
  <c r="B7144" i="106" s="1"/>
  <c r="D7144" i="106" s="1"/>
  <c r="B3638" i="106"/>
  <c r="D3638" i="106" s="1"/>
  <c r="F350" i="29"/>
  <c r="B7133" i="106"/>
  <c r="D7133" i="106" s="1"/>
  <c r="B6955" i="106"/>
  <c r="D6955" i="106" s="1"/>
  <c r="B855" i="106"/>
  <c r="D855" i="106" s="1"/>
  <c r="E127" i="29"/>
  <c r="B1239" i="106" s="1"/>
  <c r="D1239" i="106" s="1"/>
  <c r="B1235" i="106"/>
  <c r="D1235" i="106" s="1"/>
  <c r="K136" i="29"/>
  <c r="B2988" i="106" s="1"/>
  <c r="D2988" i="106" s="1"/>
  <c r="B4201" i="106"/>
  <c r="D4201" i="106" s="1"/>
  <c r="B863" i="106"/>
  <c r="D863" i="106" s="1"/>
  <c r="B1224" i="106"/>
  <c r="D1224" i="106" s="1"/>
  <c r="K128" i="29"/>
  <c r="B1280" i="106" s="1"/>
  <c r="D1280" i="106" s="1"/>
  <c r="B1366" i="106"/>
  <c r="D1366" i="106" s="1"/>
  <c r="B1245" i="106"/>
  <c r="D1245" i="106" s="1"/>
  <c r="B6966" i="106"/>
  <c r="D6966" i="106" s="1"/>
  <c r="B857" i="106"/>
  <c r="D857" i="106" s="1"/>
  <c r="L270" i="29"/>
  <c r="B1038" i="106"/>
  <c r="D1038" i="106" s="1"/>
  <c r="B2827" i="106"/>
  <c r="D2827" i="106" s="1"/>
  <c r="B742" i="106"/>
  <c r="D742" i="106" s="1"/>
  <c r="K63" i="29"/>
  <c r="B1243" i="106"/>
  <c r="D1243" i="106" s="1"/>
  <c r="F127" i="29"/>
  <c r="B1247" i="106" s="1"/>
  <c r="D1247" i="106" s="1"/>
  <c r="B1048" i="106"/>
  <c r="D1048" i="106" s="1"/>
  <c r="K105" i="29"/>
  <c r="B1146" i="106" s="1"/>
  <c r="D1146" i="106" s="1"/>
  <c r="H110" i="29"/>
  <c r="B1257" i="106"/>
  <c r="D1257" i="106" s="1"/>
  <c r="B2959" i="106"/>
  <c r="D2959" i="106" s="1"/>
  <c r="B1039" i="106"/>
  <c r="D1039" i="106" s="1"/>
  <c r="B2980" i="106"/>
  <c r="D2980" i="106" s="1"/>
  <c r="B812" i="106"/>
  <c r="D812" i="106" s="1"/>
  <c r="B870" i="106"/>
  <c r="D870" i="106" s="1"/>
  <c r="B1451" i="106"/>
  <c r="D1451" i="106" s="1"/>
  <c r="K292" i="29"/>
  <c r="B1514" i="106" s="1"/>
  <c r="D1514" i="106" s="1"/>
  <c r="B1363" i="106"/>
  <c r="D1363" i="106" s="1"/>
  <c r="K276" i="29"/>
  <c r="B1506" i="106" s="1"/>
  <c r="D1506" i="106" s="1"/>
  <c r="B1442" i="106"/>
  <c r="D1442" i="106" s="1"/>
  <c r="K95" i="29"/>
  <c r="B7001" i="106" s="1"/>
  <c r="D7001" i="106" s="1"/>
  <c r="B7000" i="106"/>
  <c r="D7000" i="106" s="1"/>
  <c r="B1416" i="106"/>
  <c r="D1416" i="106" s="1"/>
  <c r="K237" i="29"/>
  <c r="B1480" i="106" s="1"/>
  <c r="D1480" i="106" s="1"/>
  <c r="B7145" i="106"/>
  <c r="D7145" i="106" s="1"/>
  <c r="K322" i="29"/>
  <c r="B7153" i="106" s="1"/>
  <c r="D7153" i="106" s="1"/>
  <c r="K108" i="29"/>
  <c r="B2796" i="106" s="1"/>
  <c r="D2796" i="106" s="1"/>
  <c r="B2792" i="106"/>
  <c r="D2792" i="106" s="1"/>
  <c r="B7024" i="106"/>
  <c r="D7024" i="106" s="1"/>
  <c r="I127" i="29"/>
  <c r="B7033" i="106" s="1"/>
  <c r="D7033" i="106" s="1"/>
  <c r="B6946" i="106"/>
  <c r="D6946" i="106" s="1"/>
  <c r="B3625" i="106"/>
  <c r="D3625" i="106" s="1"/>
  <c r="B916" i="106"/>
  <c r="D916" i="106" s="1"/>
  <c r="L277" i="29"/>
  <c r="B2808" i="106"/>
  <c r="D2808" i="106" s="1"/>
  <c r="K145" i="29"/>
  <c r="B2811" i="106" s="1"/>
  <c r="D2811" i="106" s="1"/>
  <c r="H340" i="29"/>
  <c r="B7214" i="106" s="1"/>
  <c r="D7214" i="106" s="1"/>
  <c r="B7208" i="106"/>
  <c r="D7208" i="106" s="1"/>
  <c r="K337" i="29"/>
  <c r="B7195" i="106"/>
  <c r="D7195" i="106" s="1"/>
  <c r="B1402" i="106"/>
  <c r="D1402" i="106" s="1"/>
  <c r="K227" i="29"/>
  <c r="B1466" i="106" s="1"/>
  <c r="D1466" i="106" s="1"/>
  <c r="B1030" i="106"/>
  <c r="D1030" i="106" s="1"/>
  <c r="B922" i="106"/>
  <c r="D922" i="106" s="1"/>
  <c r="K224" i="29"/>
  <c r="B1409" i="106"/>
  <c r="D1409" i="106" s="1"/>
  <c r="B6958" i="106"/>
  <c r="D6958" i="106" s="1"/>
  <c r="B7022" i="106"/>
  <c r="D7022" i="106" s="1"/>
  <c r="B4078" i="106"/>
  <c r="D4078" i="106" s="1"/>
  <c r="B872" i="106"/>
  <c r="D872" i="106" s="1"/>
  <c r="B1261" i="106"/>
  <c r="D1261" i="106" s="1"/>
  <c r="B7142" i="106"/>
  <c r="D7142" i="106" s="1"/>
  <c r="B7101" i="106"/>
  <c r="D7101" i="106" s="1"/>
  <c r="K361" i="29"/>
  <c r="B7239" i="106" s="1"/>
  <c r="D7239" i="106" s="1"/>
  <c r="B7238" i="106"/>
  <c r="D7238" i="106" s="1"/>
  <c r="B7703" i="106"/>
  <c r="D7703" i="106" s="1"/>
  <c r="B915" i="106"/>
  <c r="D915" i="106" s="1"/>
  <c r="K83" i="29"/>
  <c r="B2978" i="106" s="1"/>
  <c r="D2978" i="106" s="1"/>
  <c r="B2954" i="106"/>
  <c r="D2954" i="106" s="1"/>
  <c r="B7689" i="106"/>
  <c r="D7689" i="106" s="1"/>
  <c r="B1028" i="106"/>
  <c r="D1028" i="106" s="1"/>
  <c r="H65" i="29"/>
  <c r="B1035" i="106" s="1"/>
  <c r="D1035" i="106" s="1"/>
  <c r="K220" i="29"/>
  <c r="B7077" i="106"/>
  <c r="D7077" i="106" s="1"/>
  <c r="K308" i="29"/>
  <c r="B4100" i="106" s="1"/>
  <c r="D4100" i="106" s="1"/>
  <c r="B7110" i="106"/>
  <c r="D7110" i="106" s="1"/>
  <c r="B7168" i="106"/>
  <c r="D7168" i="106" s="1"/>
  <c r="B754" i="106"/>
  <c r="D754" i="106" s="1"/>
  <c r="K73" i="29"/>
  <c r="B1142" i="106" s="1"/>
  <c r="D1142" i="106" s="1"/>
  <c r="L65" i="29"/>
  <c r="K250" i="29"/>
  <c r="B7086" i="106" s="1"/>
  <c r="D7086" i="106" s="1"/>
  <c r="B7085" i="106"/>
  <c r="D7085" i="106" s="1"/>
  <c r="B7069" i="106"/>
  <c r="D7069" i="106" s="1"/>
  <c r="K207" i="29"/>
  <c r="B7070" i="106" s="1"/>
  <c r="D7070" i="106" s="1"/>
  <c r="B2801" i="106"/>
  <c r="D2801" i="106" s="1"/>
  <c r="B7188" i="106"/>
  <c r="D7188" i="106" s="1"/>
  <c r="B1528" i="106"/>
  <c r="D1528" i="106" s="1"/>
  <c r="E72" i="29"/>
  <c r="B869" i="106" s="1"/>
  <c r="D869" i="106" s="1"/>
  <c r="B862" i="106"/>
  <c r="D862" i="106" s="1"/>
  <c r="B1032" i="106"/>
  <c r="D1032" i="106" s="1"/>
  <c r="B1430" i="106"/>
  <c r="D1430" i="106" s="1"/>
  <c r="K265" i="29"/>
  <c r="B1494" i="106" s="1"/>
  <c r="D1494" i="106" s="1"/>
  <c r="B7036" i="106"/>
  <c r="D7036" i="106" s="1"/>
  <c r="G184" i="29"/>
  <c r="B4085" i="106"/>
  <c r="D4085" i="106" s="1"/>
  <c r="K349" i="29"/>
  <c r="B3669" i="106" s="1"/>
  <c r="D3669" i="106" s="1"/>
  <c r="B3618" i="106"/>
  <c r="D3618" i="106" s="1"/>
  <c r="B6959" i="106"/>
  <c r="D6959" i="106" s="1"/>
  <c r="B1036" i="106"/>
  <c r="D1036" i="106" s="1"/>
  <c r="H72" i="29"/>
  <c r="B1043" i="106" s="1"/>
  <c r="D1043" i="106" s="1"/>
  <c r="B923" i="106"/>
  <c r="D923" i="106" s="1"/>
  <c r="D65" i="29"/>
  <c r="B803" i="106" s="1"/>
  <c r="D803" i="106" s="1"/>
  <c r="B796" i="106"/>
  <c r="D796" i="106" s="1"/>
  <c r="B917" i="106"/>
  <c r="D917" i="106" s="1"/>
  <c r="K268" i="29"/>
  <c r="B1497" i="106" s="1"/>
  <c r="D1497" i="106" s="1"/>
  <c r="B1433" i="106"/>
  <c r="D1433" i="106" s="1"/>
  <c r="B7175" i="106"/>
  <c r="D7175" i="106" s="1"/>
  <c r="B1338" i="106"/>
  <c r="D1338" i="106" s="1"/>
  <c r="K183" i="29"/>
  <c r="B1380" i="106" s="1"/>
  <c r="D1380" i="106" s="1"/>
  <c r="B7164" i="106"/>
  <c r="D7164" i="106" s="1"/>
  <c r="L261" i="29"/>
  <c r="L57" i="29"/>
  <c r="K246" i="29"/>
  <c r="B1487" i="106" s="1"/>
  <c r="D1487" i="106" s="1"/>
  <c r="B1423" i="106"/>
  <c r="D1423" i="106" s="1"/>
  <c r="B6993" i="106"/>
  <c r="D6993" i="106" s="1"/>
  <c r="K91" i="29"/>
  <c r="B6994" i="106" s="1"/>
  <c r="D6994" i="106" s="1"/>
  <c r="B7707" i="106"/>
  <c r="D7707" i="106" s="1"/>
  <c r="K81" i="29"/>
  <c r="B2976" i="106" s="1"/>
  <c r="D2976" i="106" s="1"/>
  <c r="B2952" i="106"/>
  <c r="D2952" i="106" s="1"/>
  <c r="G57" i="29"/>
  <c r="B969" i="106" s="1"/>
  <c r="D969" i="106" s="1"/>
  <c r="B967" i="106"/>
  <c r="D967" i="106" s="1"/>
  <c r="K253" i="29"/>
  <c r="B7092" i="106" s="1"/>
  <c r="D7092" i="106" s="1"/>
  <c r="B7091" i="106"/>
  <c r="D7091" i="106" s="1"/>
  <c r="B7004" i="106"/>
  <c r="D7004" i="106" s="1"/>
  <c r="K97" i="29"/>
  <c r="B7005" i="106" s="1"/>
  <c r="D7005" i="106" s="1"/>
  <c r="B867" i="106"/>
  <c r="D867" i="106" s="1"/>
  <c r="K203" i="29"/>
  <c r="B1385" i="106" s="1"/>
  <c r="D1385" i="106" s="1"/>
  <c r="B1373" i="106"/>
  <c r="D1373" i="106" s="1"/>
  <c r="B7026" i="106"/>
  <c r="D7026" i="106" s="1"/>
  <c r="I303" i="29"/>
  <c r="B7099" i="106"/>
  <c r="D7099" i="106" s="1"/>
  <c r="B7699" i="106"/>
  <c r="D7699" i="106" s="1"/>
  <c r="L137" i="29"/>
  <c r="L139" i="29" s="1"/>
  <c r="K248" i="29"/>
  <c r="B7082" i="106" s="1"/>
  <c r="D7082" i="106" s="1"/>
  <c r="B7081" i="106"/>
  <c r="D7081" i="106" s="1"/>
  <c r="B1422" i="106"/>
  <c r="D1422" i="106" s="1"/>
  <c r="D257" i="29"/>
  <c r="B1424" i="106" s="1"/>
  <c r="D1424" i="106" s="1"/>
  <c r="K245" i="29"/>
  <c r="B1486" i="106" s="1"/>
  <c r="D1486" i="106" s="1"/>
  <c r="B1428" i="106"/>
  <c r="D1428" i="106" s="1"/>
  <c r="D270" i="29"/>
  <c r="B1436" i="106" s="1"/>
  <c r="D1436" i="106" s="1"/>
  <c r="K263" i="29"/>
  <c r="K201" i="29"/>
  <c r="B2841" i="106" s="1"/>
  <c r="D2841" i="106" s="1"/>
  <c r="B2831" i="106"/>
  <c r="D2831" i="106" s="1"/>
  <c r="B7226" i="106"/>
  <c r="D7226" i="106" s="1"/>
  <c r="I350" i="29"/>
  <c r="K325" i="29"/>
  <c r="B7180" i="106" s="1"/>
  <c r="D7180" i="106" s="1"/>
  <c r="B7172" i="106"/>
  <c r="D7172" i="106" s="1"/>
  <c r="B988" i="106"/>
  <c r="D988" i="106" s="1"/>
  <c r="K189" i="29"/>
  <c r="B3008" i="106" s="1"/>
  <c r="D3008" i="106" s="1"/>
  <c r="B2990" i="106"/>
  <c r="D2990" i="106" s="1"/>
  <c r="B6968" i="106"/>
  <c r="D6968" i="106" s="1"/>
  <c r="B7177" i="106"/>
  <c r="D7177" i="106" s="1"/>
  <c r="L184" i="29"/>
  <c r="B7027" i="106"/>
  <c r="D7027" i="106" s="1"/>
  <c r="D72" i="29"/>
  <c r="B811" i="106" s="1"/>
  <c r="D811" i="106" s="1"/>
  <c r="B804" i="106"/>
  <c r="D804" i="106" s="1"/>
  <c r="B749" i="106"/>
  <c r="D749" i="106" s="1"/>
  <c r="K70" i="29"/>
  <c r="B913" i="106"/>
  <c r="D913" i="106" s="1"/>
  <c r="B1537" i="106"/>
  <c r="D1537" i="106" s="1"/>
  <c r="F303" i="29"/>
  <c r="K202" i="29"/>
  <c r="B2842" i="106" s="1"/>
  <c r="D2842" i="106" s="1"/>
  <c r="B2832" i="106"/>
  <c r="D2832" i="106" s="1"/>
  <c r="L357" i="29"/>
  <c r="B986" i="106"/>
  <c r="D986" i="106" s="1"/>
  <c r="G65" i="29"/>
  <c r="B977" i="106" s="1"/>
  <c r="D977" i="106" s="1"/>
  <c r="B970" i="106"/>
  <c r="D970" i="106" s="1"/>
  <c r="B6947" i="106"/>
  <c r="D6947" i="106" s="1"/>
  <c r="B1229" i="106"/>
  <c r="D1229" i="106" s="1"/>
  <c r="B7139" i="106"/>
  <c r="D7139" i="106" s="1"/>
  <c r="K188" i="29"/>
  <c r="B2989" i="106"/>
  <c r="D2989" i="106" s="1"/>
  <c r="E194" i="29"/>
  <c r="B6967" i="106"/>
  <c r="D6967" i="106" s="1"/>
  <c r="J72" i="29"/>
  <c r="B6974" i="106" s="1"/>
  <c r="D6974" i="106" s="1"/>
  <c r="B6964" i="106"/>
  <c r="D6964" i="106" s="1"/>
  <c r="B7702" i="106"/>
  <c r="D7702" i="106" s="1"/>
  <c r="B2996" i="106"/>
  <c r="D2996" i="106" s="1"/>
  <c r="H127" i="29"/>
  <c r="B1264" i="106" s="1"/>
  <c r="D1264" i="106" s="1"/>
  <c r="B1260" i="106"/>
  <c r="D1260" i="106" s="1"/>
  <c r="B1044" i="106"/>
  <c r="D1044" i="106" s="1"/>
  <c r="B921" i="106"/>
  <c r="D921" i="106" s="1"/>
  <c r="D238" i="29"/>
  <c r="G21" i="108" s="1"/>
  <c r="B1411" i="106"/>
  <c r="D1411" i="106" s="1"/>
  <c r="K232" i="29"/>
  <c r="B1475" i="106" s="1"/>
  <c r="D1475" i="106" s="1"/>
  <c r="E184" i="29"/>
  <c r="B4083" i="106"/>
  <c r="D4083" i="106" s="1"/>
  <c r="J127" i="29"/>
  <c r="B7034" i="106" s="1"/>
  <c r="D7034" i="106" s="1"/>
  <c r="B7025" i="106"/>
  <c r="D7025" i="106" s="1"/>
  <c r="B975" i="106"/>
  <c r="D975" i="106" s="1"/>
  <c r="L303" i="29"/>
  <c r="L312" i="29" s="1"/>
  <c r="B1029" i="106"/>
  <c r="D1029" i="106" s="1"/>
  <c r="B7229" i="106"/>
  <c r="D7229" i="106" s="1"/>
  <c r="B7704" i="106"/>
  <c r="D7704" i="106" s="1"/>
  <c r="K191" i="29"/>
  <c r="B3010" i="106" s="1"/>
  <c r="D3010" i="106" s="1"/>
  <c r="B2992" i="106"/>
  <c r="D2992" i="106" s="1"/>
  <c r="B1265" i="106"/>
  <c r="D1265" i="106" s="1"/>
  <c r="H137" i="29"/>
  <c r="B2979" i="106"/>
  <c r="D2979" i="106" s="1"/>
  <c r="B1420" i="106"/>
  <c r="D1420" i="106" s="1"/>
  <c r="K242" i="29"/>
  <c r="B1484" i="106" s="1"/>
  <c r="D1484" i="106" s="1"/>
  <c r="B3486" i="106"/>
  <c r="D3486" i="106" s="1"/>
  <c r="B805" i="106"/>
  <c r="D805" i="106" s="1"/>
  <c r="B1244" i="106"/>
  <c r="D1244" i="106" s="1"/>
  <c r="K215" i="29"/>
  <c r="B3387" i="106"/>
  <c r="D3387" i="106" s="1"/>
  <c r="D229" i="29"/>
  <c r="B1410" i="106" s="1"/>
  <c r="D1410" i="106" s="1"/>
  <c r="B2829" i="106"/>
  <c r="D2829" i="106" s="1"/>
  <c r="B7121" i="106"/>
  <c r="D7121" i="106" s="1"/>
  <c r="F330" i="29"/>
  <c r="B7185" i="106"/>
  <c r="D7185" i="106" s="1"/>
  <c r="K364" i="29"/>
  <c r="B7746" i="106" s="1"/>
  <c r="D7746" i="106" s="1"/>
  <c r="B7745" i="106"/>
  <c r="D7745" i="106" s="1"/>
  <c r="H194" i="29"/>
  <c r="B2995" i="106"/>
  <c r="D2995" i="106" s="1"/>
  <c r="B2820" i="106"/>
  <c r="D2820" i="106" s="1"/>
  <c r="K185" i="29"/>
  <c r="F62" i="34" s="1"/>
  <c r="B971" i="106"/>
  <c r="D971" i="106" s="1"/>
  <c r="L243" i="29"/>
  <c r="C303" i="29"/>
  <c r="K301" i="29"/>
  <c r="B1519" i="106"/>
  <c r="D1519" i="106" s="1"/>
  <c r="B3648" i="106"/>
  <c r="D3648" i="106" s="1"/>
  <c r="B6969" i="106"/>
  <c r="D6969" i="106" s="1"/>
  <c r="B980" i="106"/>
  <c r="D980" i="106" s="1"/>
  <c r="B7111" i="106"/>
  <c r="D7111" i="106" s="1"/>
  <c r="K120" i="29"/>
  <c r="B4080" i="106" s="1"/>
  <c r="D4080" i="106" s="1"/>
  <c r="B4074" i="106"/>
  <c r="D4074" i="106" s="1"/>
  <c r="B2844" i="106"/>
  <c r="D2844" i="106" s="1"/>
  <c r="K291" i="29"/>
  <c r="B2846" i="106" s="1"/>
  <c r="D2846" i="106" s="1"/>
  <c r="B6975" i="106"/>
  <c r="D6975" i="106" s="1"/>
  <c r="B7113" i="106"/>
  <c r="D7113" i="106" s="1"/>
  <c r="B1522" i="106"/>
  <c r="D1522" i="106" s="1"/>
  <c r="K302" i="29"/>
  <c r="B1558" i="106" s="1"/>
  <c r="D1558" i="106" s="1"/>
  <c r="B800" i="106"/>
  <c r="D800" i="106" s="1"/>
  <c r="B7174" i="106"/>
  <c r="D7174" i="106" s="1"/>
  <c r="K363" i="29"/>
  <c r="B7241" i="106" s="1"/>
  <c r="D7241" i="106" s="1"/>
  <c r="B7240" i="106"/>
  <c r="D7240" i="106" s="1"/>
  <c r="K101" i="29"/>
  <c r="B7015" i="106" s="1"/>
  <c r="D7015" i="106" s="1"/>
  <c r="B2947" i="106"/>
  <c r="D2947" i="106" s="1"/>
  <c r="B2999" i="106"/>
  <c r="D2999" i="106" s="1"/>
  <c r="B7146" i="106"/>
  <c r="D7146" i="106" s="1"/>
  <c r="I65" i="29"/>
  <c r="B6961" i="106" s="1"/>
  <c r="D6961" i="106" s="1"/>
  <c r="B6950" i="106"/>
  <c r="D6950" i="106" s="1"/>
  <c r="K71" i="29"/>
  <c r="B751" i="106"/>
  <c r="D751" i="106" s="1"/>
  <c r="B3482" i="106"/>
  <c r="D3482" i="106" s="1"/>
  <c r="K125" i="29"/>
  <c r="B3488" i="106" s="1"/>
  <c r="D3488" i="106" s="1"/>
  <c r="B1534" i="106"/>
  <c r="D1534" i="106" s="1"/>
  <c r="B7700" i="106"/>
  <c r="D7700" i="106" s="1"/>
  <c r="K144" i="29"/>
  <c r="B2810" i="106" s="1"/>
  <c r="D2810" i="106" s="1"/>
  <c r="B2807" i="106"/>
  <c r="D2807" i="106" s="1"/>
  <c r="B3721" i="106"/>
  <c r="D3721" i="106" s="1"/>
  <c r="D285" i="29"/>
  <c r="B3722" i="106" s="1"/>
  <c r="D3722" i="106" s="1"/>
  <c r="K283" i="29"/>
  <c r="B3723" i="106" s="1"/>
  <c r="D3723" i="106" s="1"/>
  <c r="B7029" i="106"/>
  <c r="D7029" i="106" s="1"/>
  <c r="B7181" i="106"/>
  <c r="D7181" i="106" s="1"/>
  <c r="K326" i="29"/>
  <c r="B7189" i="106" s="1"/>
  <c r="D7189" i="106" s="1"/>
  <c r="B2956" i="106"/>
  <c r="D2956" i="106" s="1"/>
  <c r="B7698" i="106"/>
  <c r="D7698" i="106" s="1"/>
  <c r="B4199" i="106"/>
  <c r="D4199" i="106" s="1"/>
  <c r="E137" i="29"/>
  <c r="K134" i="29"/>
  <c r="K272" i="29"/>
  <c r="D277" i="29"/>
  <c r="B1444" i="106" s="1"/>
  <c r="D1444" i="106" s="1"/>
  <c r="B1437" i="106"/>
  <c r="D1437" i="106" s="1"/>
  <c r="B3631" i="106"/>
  <c r="D3631" i="106" s="1"/>
  <c r="E350" i="29"/>
  <c r="K284" i="29"/>
  <c r="B4166" i="106" s="1"/>
  <c r="D4166" i="106" s="1"/>
  <c r="B4165" i="106"/>
  <c r="D4165" i="106" s="1"/>
  <c r="B972" i="106"/>
  <c r="D972" i="106" s="1"/>
  <c r="K98" i="29"/>
  <c r="B7007" i="106" s="1"/>
  <c r="D7007" i="106" s="1"/>
  <c r="B7006" i="106"/>
  <c r="D7006" i="106" s="1"/>
  <c r="B1219" i="106"/>
  <c r="D1219" i="106" s="1"/>
  <c r="C127" i="29"/>
  <c r="K122" i="29"/>
  <c r="B7147" i="106"/>
  <c r="D7147" i="106" s="1"/>
  <c r="K247" i="29"/>
  <c r="B2726" i="106" s="1"/>
  <c r="D2726" i="106" s="1"/>
  <c r="B2725" i="106"/>
  <c r="D2725" i="106" s="1"/>
  <c r="B3483" i="106"/>
  <c r="D3483" i="106" s="1"/>
  <c r="B3655" i="106"/>
  <c r="D3655" i="106" s="1"/>
  <c r="B1252" i="106"/>
  <c r="D1252" i="106" s="1"/>
  <c r="B1552" i="106"/>
  <c r="D1552" i="106" s="1"/>
  <c r="B756" i="106"/>
  <c r="D756" i="106" s="1"/>
  <c r="K75" i="29"/>
  <c r="G39" i="108" s="1"/>
  <c r="B1372" i="106"/>
  <c r="D1372" i="106" s="1"/>
  <c r="K200" i="29"/>
  <c r="B1384" i="106" s="1"/>
  <c r="D1384" i="106" s="1"/>
  <c r="B7129" i="106"/>
  <c r="D7129" i="106" s="1"/>
  <c r="B1049" i="106"/>
  <c r="D1049" i="106" s="1"/>
  <c r="K106" i="29"/>
  <c r="B1147" i="106" s="1"/>
  <c r="D1147" i="106" s="1"/>
  <c r="B3627" i="106"/>
  <c r="D3627" i="106" s="1"/>
  <c r="K130" i="29"/>
  <c r="D14" i="4" s="1"/>
  <c r="B2570" i="106" s="1"/>
  <c r="D2570" i="106" s="1"/>
  <c r="B2797" i="106"/>
  <c r="D2797" i="106" s="1"/>
  <c r="B852" i="106"/>
  <c r="D852" i="106" s="1"/>
  <c r="B1248" i="106"/>
  <c r="D1248" i="106" s="1"/>
  <c r="B2993" i="106"/>
  <c r="D2993" i="106" s="1"/>
  <c r="K192" i="29"/>
  <c r="B3011" i="106" s="1"/>
  <c r="D3011" i="106" s="1"/>
  <c r="B7191" i="106"/>
  <c r="D7191" i="106" s="1"/>
  <c r="B2960" i="106"/>
  <c r="D2960" i="106" s="1"/>
  <c r="K148" i="29"/>
  <c r="B7050" i="106" s="1"/>
  <c r="D7050" i="106" s="1"/>
  <c r="B7049" i="106"/>
  <c r="D7049" i="106" s="1"/>
  <c r="F50" i="34"/>
  <c r="F49" i="34"/>
  <c r="K274" i="5"/>
  <c r="B6022" i="106" s="1"/>
  <c r="D6022" i="106" s="1"/>
  <c r="F31" i="108"/>
  <c r="F48" i="34"/>
  <c r="F14" i="4"/>
  <c r="B2597" i="106" s="1"/>
  <c r="D2597" i="106" s="1"/>
  <c r="B1107" i="106"/>
  <c r="D1107" i="106" s="1"/>
  <c r="F38" i="34"/>
  <c r="B2091" i="106"/>
  <c r="D2091" i="106" s="1"/>
  <c r="H139" i="29"/>
  <c r="B1267" i="106" s="1"/>
  <c r="D1267" i="106" s="1"/>
  <c r="B1511" i="106"/>
  <c r="D1511" i="106" s="1"/>
  <c r="F72" i="34"/>
  <c r="G14" i="4"/>
  <c r="B2609" i="106" s="1"/>
  <c r="D2609" i="106" s="1"/>
  <c r="G74" i="29"/>
  <c r="B987" i="106" s="1"/>
  <c r="D987" i="106" s="1"/>
  <c r="D210" i="29"/>
  <c r="B1346" i="106" s="1"/>
  <c r="D1346" i="106" s="1"/>
  <c r="K84" i="29"/>
  <c r="B2088" i="106" s="1"/>
  <c r="D2088" i="106" s="1"/>
  <c r="G26" i="108"/>
  <c r="E26" i="108"/>
  <c r="F56" i="34"/>
  <c r="B2805" i="106"/>
  <c r="D2805" i="106" s="1"/>
  <c r="K92" i="29"/>
  <c r="B2089" i="106" s="1"/>
  <c r="D2089" i="106" s="1"/>
  <c r="B6995" i="106"/>
  <c r="D6995" i="106" s="1"/>
  <c r="D27" i="108"/>
  <c r="F27" i="108"/>
  <c r="B1136" i="106"/>
  <c r="D1136" i="106" s="1"/>
  <c r="E35" i="108"/>
  <c r="G35" i="108"/>
  <c r="F68" i="34"/>
  <c r="B7076" i="106"/>
  <c r="D7076" i="106" s="1"/>
  <c r="E33" i="108"/>
  <c r="G33" i="108"/>
  <c r="E139" i="29"/>
  <c r="B4203" i="106" s="1"/>
  <c r="D4203" i="106" s="1"/>
  <c r="B4202" i="106"/>
  <c r="D4202" i="106" s="1"/>
  <c r="K33" i="29"/>
  <c r="G19" i="108" s="1"/>
  <c r="K53" i="29"/>
  <c r="H274" i="5"/>
  <c r="H7" i="4" s="1"/>
  <c r="B2657" i="106" s="1"/>
  <c r="D2657" i="106" s="1"/>
  <c r="K110" i="29"/>
  <c r="K112" i="29" s="1"/>
  <c r="B2724" i="106"/>
  <c r="D2724" i="106" s="1"/>
  <c r="E29" i="108"/>
  <c r="E15" i="145"/>
  <c r="B1126" i="106"/>
  <c r="D1126" i="106" s="1"/>
  <c r="D26" i="108"/>
  <c r="M23" i="3"/>
  <c r="B273" i="106"/>
  <c r="D273" i="106" s="1"/>
  <c r="D7252" i="106"/>
  <c r="D7253" i="106"/>
  <c r="G6" i="4"/>
  <c r="B2604" i="106" s="1"/>
  <c r="D2604" i="106" s="1"/>
  <c r="B5770" i="106"/>
  <c r="D5770" i="106" s="1"/>
  <c r="H77" i="4"/>
  <c r="B3299" i="106" s="1"/>
  <c r="D3299" i="106" s="1"/>
  <c r="C4" i="4"/>
  <c r="B2551" i="106" s="1"/>
  <c r="D2551" i="106" s="1"/>
  <c r="I26" i="12"/>
  <c r="B7741" i="106" s="1"/>
  <c r="D7741" i="106" s="1"/>
  <c r="D7254" i="106"/>
  <c r="D7255" i="106"/>
  <c r="D7256" i="106"/>
  <c r="D7251" i="106"/>
  <c r="D7250" i="106"/>
  <c r="K28" i="118"/>
  <c r="O27" i="118" s="1"/>
  <c r="O29" i="118" s="1"/>
  <c r="L16" i="11"/>
  <c r="B2061" i="106" s="1"/>
  <c r="D2061" i="106" s="1"/>
  <c r="B1879" i="106"/>
  <c r="D1879" i="106" s="1"/>
  <c r="H22" i="37"/>
  <c r="K7" i="4"/>
  <c r="B3718" i="106" s="1"/>
  <c r="D3718" i="106" s="1"/>
  <c r="F173" i="5"/>
  <c r="B5653" i="106" s="1"/>
  <c r="D5653" i="106" s="1"/>
  <c r="D19" i="7"/>
  <c r="B1775" i="106" s="1"/>
  <c r="D1775" i="106" s="1"/>
  <c r="K77" i="4"/>
  <c r="B3587" i="106" s="1"/>
  <c r="D3587" i="106" s="1"/>
  <c r="I6" i="4"/>
  <c r="B5011" i="106" s="1"/>
  <c r="D5011" i="106" s="1"/>
  <c r="B6014" i="106"/>
  <c r="D6014" i="106" s="1"/>
  <c r="B5914" i="106"/>
  <c r="D5914" i="106" s="1"/>
  <c r="J7" i="4"/>
  <c r="B6222" i="106" s="1"/>
  <c r="D6222" i="106" s="1"/>
  <c r="F274" i="5"/>
  <c r="F7" i="4" s="1"/>
  <c r="B2594" i="106" s="1"/>
  <c r="D2594" i="106" s="1"/>
  <c r="D274" i="5"/>
  <c r="B5507" i="106" s="1"/>
  <c r="D5507" i="106" s="1"/>
  <c r="C173" i="5"/>
  <c r="B5223" i="106" s="1"/>
  <c r="D5223" i="106" s="1"/>
  <c r="B5906" i="106"/>
  <c r="D5906" i="106" s="1"/>
  <c r="H6" i="4"/>
  <c r="B2656" i="106" s="1"/>
  <c r="D2656" i="106" s="1"/>
  <c r="B5527" i="106"/>
  <c r="D5527" i="106" s="1"/>
  <c r="D4" i="4"/>
  <c r="B2564" i="106" s="1"/>
  <c r="D2564" i="106" s="1"/>
  <c r="H275" i="5"/>
  <c r="B5915" i="106" s="1"/>
  <c r="D5915" i="106" s="1"/>
  <c r="H4" i="4"/>
  <c r="G4" i="4"/>
  <c r="B2603" i="106" s="1"/>
  <c r="D2603" i="106" s="1"/>
  <c r="L34" i="3"/>
  <c r="B2914" i="106"/>
  <c r="D2914" i="106" s="1"/>
  <c r="B7733" i="106"/>
  <c r="D7733" i="106" s="1"/>
  <c r="K26" i="12"/>
  <c r="B7743" i="106" s="1"/>
  <c r="D7743" i="106" s="1"/>
  <c r="B7760" i="106"/>
  <c r="D7760" i="106" s="1"/>
  <c r="D24" i="36"/>
  <c r="F178" i="34"/>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6397" i="106"/>
  <c r="D6397" i="106" s="1"/>
  <c r="J6" i="4"/>
  <c r="B6221" i="106" s="1"/>
  <c r="D6221" i="106" s="1"/>
  <c r="J4" i="4"/>
  <c r="B6220" i="106" s="1"/>
  <c r="D6220" i="106" s="1"/>
  <c r="B6352" i="106"/>
  <c r="D6352" i="106" s="1"/>
  <c r="J275" i="5"/>
  <c r="K275" i="5"/>
  <c r="B6023" i="106" s="1"/>
  <c r="D6023" i="106" s="1"/>
  <c r="B5320" i="106"/>
  <c r="D5320" i="106" s="1"/>
  <c r="C274" i="5"/>
  <c r="B1115" i="106"/>
  <c r="D1115" i="106" s="1"/>
  <c r="B1875" i="106"/>
  <c r="D1875" i="106" s="1"/>
  <c r="F22" i="37"/>
  <c r="B1983" i="106"/>
  <c r="D1983" i="106" s="1"/>
  <c r="H26" i="12"/>
  <c r="B7740" i="106" s="1"/>
  <c r="D7740" i="106" s="1"/>
  <c r="B3274" i="106"/>
  <c r="D3274" i="106" s="1"/>
  <c r="E77" i="4"/>
  <c r="B3277" i="106" s="1"/>
  <c r="D3277" i="106" s="1"/>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1958" i="106"/>
  <c r="D1958" i="106" s="1"/>
  <c r="G26" i="12"/>
  <c r="B7739" i="106" s="1"/>
  <c r="D7739" i="106" s="1"/>
  <c r="B4171" i="106"/>
  <c r="D4171" i="106" s="1"/>
  <c r="N36" i="3"/>
  <c r="B5544" i="106"/>
  <c r="D5544" i="106" s="1"/>
  <c r="E6" i="4"/>
  <c r="B1119" i="106"/>
  <c r="D1119" i="106" s="1"/>
  <c r="E22" i="108"/>
  <c r="G12" i="145"/>
  <c r="B7298" i="106"/>
  <c r="B7299" i="106"/>
  <c r="G22" i="108" l="1"/>
  <c r="E21" i="108"/>
  <c r="L210" i="29"/>
  <c r="F64" i="34"/>
  <c r="B7047" i="106"/>
  <c r="D7047" i="106" s="1"/>
  <c r="I129" i="29"/>
  <c r="B7037" i="106" s="1"/>
  <c r="D7037" i="106" s="1"/>
  <c r="F28" i="108"/>
  <c r="G129" i="29"/>
  <c r="L102" i="29"/>
  <c r="B1151" i="106"/>
  <c r="D1151" i="106" s="1"/>
  <c r="H74" i="29"/>
  <c r="B1045" i="106" s="1"/>
  <c r="D1045" i="106" s="1"/>
  <c r="D74" i="29"/>
  <c r="E196" i="29"/>
  <c r="B1352" i="106" s="1"/>
  <c r="D1352" i="106" s="1"/>
  <c r="B2823" i="106"/>
  <c r="D2823" i="106" s="1"/>
  <c r="F352" i="29"/>
  <c r="B3640" i="106"/>
  <c r="D3640" i="106" s="1"/>
  <c r="H208" i="29"/>
  <c r="B1375" i="106" s="1"/>
  <c r="D1375" i="106" s="1"/>
  <c r="B4156" i="106"/>
  <c r="D4156" i="106" s="1"/>
  <c r="B7231" i="106"/>
  <c r="D7231" i="106" s="1"/>
  <c r="J352" i="29"/>
  <c r="B911" i="106"/>
  <c r="D911" i="106" s="1"/>
  <c r="F74" i="29"/>
  <c r="B1131" i="106"/>
  <c r="D1131" i="106" s="1"/>
  <c r="E16" i="145"/>
  <c r="G16" i="145" s="1"/>
  <c r="B7107" i="106"/>
  <c r="D7107" i="106" s="1"/>
  <c r="K310" i="29"/>
  <c r="B7206" i="106"/>
  <c r="D7206" i="106" s="1"/>
  <c r="J342" i="29"/>
  <c r="B7223" i="106" s="1"/>
  <c r="D7223" i="106" s="1"/>
  <c r="E14" i="145"/>
  <c r="B1124" i="106"/>
  <c r="D1124" i="106" s="1"/>
  <c r="G352" i="29"/>
  <c r="B3647" i="106"/>
  <c r="D3647" i="106" s="1"/>
  <c r="K65" i="29"/>
  <c r="B1133" i="106" s="1"/>
  <c r="D1133" i="106" s="1"/>
  <c r="B6997" i="106"/>
  <c r="D6997" i="106" s="1"/>
  <c r="K100" i="29"/>
  <c r="B7013" i="106" s="1"/>
  <c r="D7013" i="106" s="1"/>
  <c r="L367" i="29"/>
  <c r="B2789" i="106"/>
  <c r="D2789" i="106" s="1"/>
  <c r="E102" i="29"/>
  <c r="B2790" i="106" s="1"/>
  <c r="D2790" i="106" s="1"/>
  <c r="B7200" i="106"/>
  <c r="D7200" i="106" s="1"/>
  <c r="D342" i="29"/>
  <c r="B7217" i="106" s="1"/>
  <c r="D7217" i="106" s="1"/>
  <c r="B7201" i="106"/>
  <c r="D7201" i="106" s="1"/>
  <c r="E342" i="29"/>
  <c r="B7218" i="106" s="1"/>
  <c r="D7218" i="106" s="1"/>
  <c r="B1555" i="106"/>
  <c r="D1555" i="106" s="1"/>
  <c r="K303" i="29"/>
  <c r="B7230" i="106"/>
  <c r="D7230" i="106" s="1"/>
  <c r="I352" i="29"/>
  <c r="B1324" i="106"/>
  <c r="D1324" i="106" s="1"/>
  <c r="K168" i="29"/>
  <c r="K285" i="29"/>
  <c r="K238" i="29"/>
  <c r="B2836" i="106"/>
  <c r="D2836" i="106" s="1"/>
  <c r="F15" i="145"/>
  <c r="F19" i="145" s="1"/>
  <c r="B1274" i="106"/>
  <c r="D1274" i="106" s="1"/>
  <c r="B3633" i="106"/>
  <c r="D3633" i="106" s="1"/>
  <c r="E352" i="29"/>
  <c r="B1501" i="106"/>
  <c r="D1501" i="106" s="1"/>
  <c r="K277" i="29"/>
  <c r="B1508" i="106" s="1"/>
  <c r="D1508" i="106" s="1"/>
  <c r="B1523" i="106"/>
  <c r="D1523" i="106" s="1"/>
  <c r="C312" i="29"/>
  <c r="B1524" i="106" s="1"/>
  <c r="D1524" i="106" s="1"/>
  <c r="L74" i="29"/>
  <c r="L114" i="29" s="1"/>
  <c r="B1130" i="106"/>
  <c r="D1130" i="106" s="1"/>
  <c r="G30" i="108"/>
  <c r="E30" i="108"/>
  <c r="B1470" i="106"/>
  <c r="D1470" i="106" s="1"/>
  <c r="F70" i="34"/>
  <c r="B7203" i="106"/>
  <c r="D7203" i="106" s="1"/>
  <c r="G342" i="29"/>
  <c r="B7220" i="106" s="1"/>
  <c r="D7220" i="106" s="1"/>
  <c r="B7126" i="106"/>
  <c r="D7126" i="106" s="1"/>
  <c r="K330" i="29"/>
  <c r="B1452" i="106"/>
  <c r="D1452" i="106" s="1"/>
  <c r="H295" i="29"/>
  <c r="B1454" i="106" s="1"/>
  <c r="D1454" i="106" s="1"/>
  <c r="B1129" i="106"/>
  <c r="D1129" i="106" s="1"/>
  <c r="G29" i="108"/>
  <c r="B3668" i="106"/>
  <c r="D3668" i="106" s="1"/>
  <c r="K350" i="29"/>
  <c r="B1339" i="106"/>
  <c r="D1339" i="106" s="1"/>
  <c r="C210" i="29"/>
  <c r="B1340" i="106" s="1"/>
  <c r="D1340" i="106" s="1"/>
  <c r="B7063" i="106"/>
  <c r="D7063" i="106" s="1"/>
  <c r="I210" i="29"/>
  <c r="B1134" i="106"/>
  <c r="D1134" i="106" s="1"/>
  <c r="K72" i="29"/>
  <c r="B1141" i="106" s="1"/>
  <c r="D1141" i="106" s="1"/>
  <c r="E17" i="145"/>
  <c r="G17" i="145" s="1"/>
  <c r="B1553" i="106"/>
  <c r="D1553" i="106" s="1"/>
  <c r="H312" i="29"/>
  <c r="B1554" i="106" s="1"/>
  <c r="D1554" i="106" s="1"/>
  <c r="B1547" i="106"/>
  <c r="D1547" i="106" s="1"/>
  <c r="G312" i="29"/>
  <c r="B1548" i="106" s="1"/>
  <c r="D1548" i="106" s="1"/>
  <c r="B3675" i="106"/>
  <c r="D3675" i="106" s="1"/>
  <c r="K362" i="29"/>
  <c r="E34" i="108"/>
  <c r="G34" i="108"/>
  <c r="B1135" i="106"/>
  <c r="D1135" i="106" s="1"/>
  <c r="L151" i="29"/>
  <c r="B3390" i="106"/>
  <c r="D3390" i="106" s="1"/>
  <c r="K229" i="29"/>
  <c r="B1541" i="106"/>
  <c r="D1541" i="106" s="1"/>
  <c r="F312" i="29"/>
  <c r="B1542" i="106" s="1"/>
  <c r="D1542" i="106" s="1"/>
  <c r="B7078" i="106"/>
  <c r="D7078" i="106" s="1"/>
  <c r="F69" i="34"/>
  <c r="B1473" i="106"/>
  <c r="D1473" i="106" s="1"/>
  <c r="F71" i="34"/>
  <c r="B1053" i="106"/>
  <c r="D1053" i="106" s="1"/>
  <c r="H112" i="29"/>
  <c r="B7018" i="106" s="1"/>
  <c r="D7018" i="106" s="1"/>
  <c r="K257" i="29"/>
  <c r="B1488" i="106" s="1"/>
  <c r="D1488" i="106" s="1"/>
  <c r="E38" i="108"/>
  <c r="C129" i="29"/>
  <c r="B1223" i="106"/>
  <c r="D1223" i="106" s="1"/>
  <c r="B2986" i="106"/>
  <c r="D2986" i="106" s="1"/>
  <c r="K137" i="29"/>
  <c r="B1417" i="106"/>
  <c r="D1417" i="106" s="1"/>
  <c r="D279" i="29"/>
  <c r="B3007" i="106"/>
  <c r="D3007" i="106" s="1"/>
  <c r="K194" i="29"/>
  <c r="B7209" i="106"/>
  <c r="D7209" i="106" s="1"/>
  <c r="K340" i="29"/>
  <c r="B1314" i="106"/>
  <c r="D1314" i="106" s="1"/>
  <c r="H172" i="29"/>
  <c r="B3654" i="106"/>
  <c r="D3654" i="106" s="1"/>
  <c r="H352" i="29"/>
  <c r="B1383" i="106"/>
  <c r="D1383" i="106" s="1"/>
  <c r="K204" i="29"/>
  <c r="H129" i="29"/>
  <c r="B1266" i="106" s="1"/>
  <c r="D1266" i="106" s="1"/>
  <c r="B7204" i="106"/>
  <c r="D7204" i="106" s="1"/>
  <c r="H342" i="29"/>
  <c r="B7221" i="106" s="1"/>
  <c r="D7221" i="106" s="1"/>
  <c r="B1512" i="106"/>
  <c r="D1512" i="106" s="1"/>
  <c r="K293" i="29"/>
  <c r="B6949" i="106"/>
  <c r="D6949" i="106" s="1"/>
  <c r="J74" i="29"/>
  <c r="B1489" i="106"/>
  <c r="D1489" i="106" s="1"/>
  <c r="K261" i="29"/>
  <c r="B1491" i="106" s="1"/>
  <c r="D1491" i="106" s="1"/>
  <c r="B1529" i="106"/>
  <c r="D1529" i="106" s="1"/>
  <c r="D312" i="29"/>
  <c r="B1530" i="106" s="1"/>
  <c r="D1530" i="106" s="1"/>
  <c r="L279" i="29"/>
  <c r="L295" i="29" s="1"/>
  <c r="B4087" i="106"/>
  <c r="D4087" i="106" s="1"/>
  <c r="K184" i="29"/>
  <c r="K57" i="29"/>
  <c r="B1123" i="106"/>
  <c r="D1123" i="106" s="1"/>
  <c r="B1482" i="106"/>
  <c r="D1482" i="106" s="1"/>
  <c r="K243" i="29"/>
  <c r="B1485" i="106" s="1"/>
  <c r="D1485" i="106" s="1"/>
  <c r="B1283" i="106"/>
  <c r="D1283" i="106" s="1"/>
  <c r="K147" i="29"/>
  <c r="B3658" i="106"/>
  <c r="D3658" i="106" s="1"/>
  <c r="H365" i="29"/>
  <c r="B7242" i="106" s="1"/>
  <c r="D7242" i="106" s="1"/>
  <c r="J129" i="29"/>
  <c r="F52" i="34"/>
  <c r="E39" i="108"/>
  <c r="B1144" i="106"/>
  <c r="D1144" i="106" s="1"/>
  <c r="C14" i="4"/>
  <c r="B2558" i="106" s="1"/>
  <c r="D2558" i="106" s="1"/>
  <c r="B1139" i="106"/>
  <c r="D1139" i="106" s="1"/>
  <c r="F37" i="108"/>
  <c r="D37" i="108"/>
  <c r="K270" i="29"/>
  <c r="B1500" i="106" s="1"/>
  <c r="D1500" i="106" s="1"/>
  <c r="B1492" i="106"/>
  <c r="D1492" i="106" s="1"/>
  <c r="G23" i="108"/>
  <c r="I151" i="29"/>
  <c r="G15" i="145"/>
  <c r="G38" i="108"/>
  <c r="K127" i="29"/>
  <c r="J210" i="29"/>
  <c r="B7072" i="106" s="1"/>
  <c r="D7072" i="106" s="1"/>
  <c r="D31" i="108"/>
  <c r="H196" i="29"/>
  <c r="B2828" i="106"/>
  <c r="D2828" i="106" s="1"/>
  <c r="F342" i="29"/>
  <c r="B7219" i="106" s="1"/>
  <c r="D7219" i="106" s="1"/>
  <c r="B7202" i="106"/>
  <c r="D7202" i="106" s="1"/>
  <c r="B1351" i="106"/>
  <c r="D1351" i="106" s="1"/>
  <c r="E210" i="29"/>
  <c r="B1353" i="106" s="1"/>
  <c r="D1353" i="106" s="1"/>
  <c r="B1137" i="106"/>
  <c r="D1137" i="106" s="1"/>
  <c r="D36" i="108"/>
  <c r="F36" i="108"/>
  <c r="F41" i="108" s="1"/>
  <c r="G43" i="108" s="1"/>
  <c r="B7103" i="106"/>
  <c r="D7103" i="106" s="1"/>
  <c r="I312" i="29"/>
  <c r="B7116" i="106" s="1"/>
  <c r="D7116" i="106" s="1"/>
  <c r="B1364" i="106"/>
  <c r="D1364" i="106" s="1"/>
  <c r="G210" i="29"/>
  <c r="B7199" i="106"/>
  <c r="D7199" i="106" s="1"/>
  <c r="C342" i="29"/>
  <c r="B7216" i="106" s="1"/>
  <c r="D7216" i="106" s="1"/>
  <c r="D129" i="29"/>
  <c r="F129" i="29"/>
  <c r="B3619" i="106"/>
  <c r="D3619" i="106" s="1"/>
  <c r="C352" i="29"/>
  <c r="B3626" i="106"/>
  <c r="D3626" i="106" s="1"/>
  <c r="D352" i="29"/>
  <c r="B1329" i="106"/>
  <c r="D1329" i="106" s="1"/>
  <c r="F61" i="34"/>
  <c r="B1128" i="106"/>
  <c r="D1128" i="106" s="1"/>
  <c r="E28" i="108"/>
  <c r="B6948" i="106"/>
  <c r="D6948" i="106" s="1"/>
  <c r="I74" i="29"/>
  <c r="B737" i="106"/>
  <c r="D737" i="106" s="1"/>
  <c r="C74" i="29"/>
  <c r="B7104" i="106"/>
  <c r="D7104" i="106" s="1"/>
  <c r="J312" i="29"/>
  <c r="B7117" i="106" s="1"/>
  <c r="D7117" i="106" s="1"/>
  <c r="B1535" i="106"/>
  <c r="D1535" i="106" s="1"/>
  <c r="E312" i="29"/>
  <c r="B1536" i="106" s="1"/>
  <c r="D1536" i="106" s="1"/>
  <c r="F67" i="34"/>
  <c r="B7074" i="106"/>
  <c r="D7074" i="106" s="1"/>
  <c r="B7205" i="106"/>
  <c r="D7205" i="106" s="1"/>
  <c r="I342" i="29"/>
  <c r="B7222" i="106" s="1"/>
  <c r="D7222" i="106" s="1"/>
  <c r="B853" i="106"/>
  <c r="D853" i="106" s="1"/>
  <c r="E74" i="29"/>
  <c r="B1358" i="106"/>
  <c r="D1358" i="106" s="1"/>
  <c r="F210" i="29"/>
  <c r="B1359" i="106" s="1"/>
  <c r="D1359" i="106" s="1"/>
  <c r="B2081" i="106"/>
  <c r="D2081" i="106" s="1"/>
  <c r="H102" i="29"/>
  <c r="E129" i="29"/>
  <c r="G114" i="29"/>
  <c r="B989" i="106" s="1"/>
  <c r="D989" i="106" s="1"/>
  <c r="C12" i="4"/>
  <c r="E19" i="108"/>
  <c r="B1108" i="106"/>
  <c r="D1108" i="106" s="1"/>
  <c r="K102" i="29"/>
  <c r="F53" i="34" s="1"/>
  <c r="B279" i="106"/>
  <c r="D279" i="106" s="1"/>
  <c r="F24" i="37"/>
  <c r="F6" i="4"/>
  <c r="B2593" i="106" s="1"/>
  <c r="D2593" i="106" s="1"/>
  <c r="D7" i="4"/>
  <c r="B2567" i="106" s="1"/>
  <c r="D2567" i="106" s="1"/>
  <c r="F275" i="5"/>
  <c r="B5720" i="106" s="1"/>
  <c r="D5720" i="106" s="1"/>
  <c r="B5719" i="106"/>
  <c r="D5719" i="106" s="1"/>
  <c r="C6" i="4"/>
  <c r="B2553" i="106" s="1"/>
  <c r="D2553" i="106" s="1"/>
  <c r="J8" i="4"/>
  <c r="B2655" i="106"/>
  <c r="D2655" i="106" s="1"/>
  <c r="H8" i="4"/>
  <c r="B2916" i="106"/>
  <c r="D2916" i="106" s="1"/>
  <c r="L41" i="3"/>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C275" i="5"/>
  <c r="B5326" i="106"/>
  <c r="D5326" i="106" s="1"/>
  <c r="C7" i="4"/>
  <c r="H37" i="37"/>
  <c r="B285" i="106"/>
  <c r="D285" i="106" s="1"/>
  <c r="N37" i="3"/>
  <c r="B5869" i="106"/>
  <c r="D5869" i="106" s="1"/>
  <c r="G275" i="5"/>
  <c r="G7" i="4"/>
  <c r="B3225" i="106"/>
  <c r="D3225" i="106" s="1"/>
  <c r="I8" i="4"/>
  <c r="B5508" i="106"/>
  <c r="D5508" i="106" s="1"/>
  <c r="B1258" i="106" l="1"/>
  <c r="D1258" i="106" s="1"/>
  <c r="G151" i="29"/>
  <c r="H151" i="29"/>
  <c r="B1273" i="106" s="1"/>
  <c r="D1273" i="106" s="1"/>
  <c r="B1145" i="106"/>
  <c r="D1145" i="106" s="1"/>
  <c r="C15" i="4"/>
  <c r="B2559" i="106" s="1"/>
  <c r="D2559" i="106" s="1"/>
  <c r="D114" i="29"/>
  <c r="B815" i="106" s="1"/>
  <c r="D815" i="106" s="1"/>
  <c r="B813" i="106"/>
  <c r="D813" i="106" s="1"/>
  <c r="B1047" i="106"/>
  <c r="D1047" i="106" s="1"/>
  <c r="H114" i="29"/>
  <c r="B1054" i="106" s="1"/>
  <c r="D1054" i="106" s="1"/>
  <c r="I114" i="29"/>
  <c r="B6977" i="106"/>
  <c r="D6977" i="106" s="1"/>
  <c r="C367" i="29"/>
  <c r="B3622" i="106" s="1"/>
  <c r="D3622" i="106" s="1"/>
  <c r="B3621" i="106"/>
  <c r="D3621" i="106" s="1"/>
  <c r="B1279" i="106"/>
  <c r="D1279" i="106" s="1"/>
  <c r="K129" i="29"/>
  <c r="F13" i="4"/>
  <c r="B2596" i="106" s="1"/>
  <c r="D2596" i="106" s="1"/>
  <c r="B1381" i="106"/>
  <c r="D1381" i="106" s="1"/>
  <c r="B3656" i="106"/>
  <c r="D3656" i="106" s="1"/>
  <c r="H367" i="29"/>
  <c r="B3660" i="106" s="1"/>
  <c r="D3660" i="106" s="1"/>
  <c r="J16" i="4"/>
  <c r="B6226" i="106" s="1"/>
  <c r="D6226" i="106" s="1"/>
  <c r="B7215" i="106"/>
  <c r="D7215" i="106" s="1"/>
  <c r="D295" i="29"/>
  <c r="B1448" i="106" s="1"/>
  <c r="D1448" i="106" s="1"/>
  <c r="B1446" i="106"/>
  <c r="D1446" i="106" s="1"/>
  <c r="G12" i="4"/>
  <c r="B2607" i="106" s="1"/>
  <c r="D2607" i="106" s="1"/>
  <c r="B1474" i="106"/>
  <c r="D1474" i="106" s="1"/>
  <c r="B1481" i="106"/>
  <c r="D1481" i="106" s="1"/>
  <c r="K279" i="29"/>
  <c r="B3649" i="106"/>
  <c r="D3649" i="106" s="1"/>
  <c r="G367" i="29"/>
  <c r="B3650" i="106" s="1"/>
  <c r="D3650" i="106" s="1"/>
  <c r="F367" i="29"/>
  <c r="B3643" i="106" s="1"/>
  <c r="D3643" i="106" s="1"/>
  <c r="B3642" i="106"/>
  <c r="D3642" i="106" s="1"/>
  <c r="B755" i="106"/>
  <c r="D755" i="106" s="1"/>
  <c r="C114" i="29"/>
  <c r="B757" i="106" s="1"/>
  <c r="D757" i="106" s="1"/>
  <c r="D367" i="29"/>
  <c r="B3629" i="106" s="1"/>
  <c r="D3629" i="106" s="1"/>
  <c r="B3628" i="106"/>
  <c r="D3628" i="106" s="1"/>
  <c r="B1249" i="106"/>
  <c r="D1249" i="106" s="1"/>
  <c r="F151" i="29"/>
  <c r="B1250" i="106" s="1"/>
  <c r="D1250" i="106" s="1"/>
  <c r="F65" i="34"/>
  <c r="B1365" i="106"/>
  <c r="D1365" i="106" s="1"/>
  <c r="B2830" i="106"/>
  <c r="D2830" i="106" s="1"/>
  <c r="H210" i="29"/>
  <c r="B1376" i="106" s="1"/>
  <c r="D1376" i="106" s="1"/>
  <c r="B1515" i="106"/>
  <c r="D1515" i="106" s="1"/>
  <c r="G16" i="4"/>
  <c r="B2611" i="106" s="1"/>
  <c r="D2611" i="106" s="1"/>
  <c r="B1225" i="106"/>
  <c r="D1225" i="106" s="1"/>
  <c r="C151" i="29"/>
  <c r="B1226" i="106" s="1"/>
  <c r="D1226" i="106" s="1"/>
  <c r="B7207" i="106"/>
  <c r="D7207" i="106" s="1"/>
  <c r="J13" i="4"/>
  <c r="K342" i="29"/>
  <c r="B3724" i="106"/>
  <c r="D3724" i="106" s="1"/>
  <c r="F73" i="34"/>
  <c r="G15" i="4"/>
  <c r="B6032" i="106" s="1"/>
  <c r="D6032" i="106" s="1"/>
  <c r="I367" i="29"/>
  <c r="B7244" i="106" s="1"/>
  <c r="D7244" i="106" s="1"/>
  <c r="B7234" i="106"/>
  <c r="D7234" i="106" s="1"/>
  <c r="B2102" i="106"/>
  <c r="D2102" i="106" s="1"/>
  <c r="H15" i="4"/>
  <c r="B2660" i="106" s="1"/>
  <c r="D2660" i="106" s="1"/>
  <c r="F114" i="29"/>
  <c r="B931" i="106" s="1"/>
  <c r="D931" i="106" s="1"/>
  <c r="B929" i="106"/>
  <c r="D929" i="106" s="1"/>
  <c r="F54" i="34"/>
  <c r="B1241" i="106"/>
  <c r="D1241" i="106" s="1"/>
  <c r="E151" i="29"/>
  <c r="B1242" i="106" s="1"/>
  <c r="D1242" i="106" s="1"/>
  <c r="D151" i="29"/>
  <c r="B1234" i="106" s="1"/>
  <c r="D1234" i="106" s="1"/>
  <c r="B1233" i="106"/>
  <c r="D1233" i="106" s="1"/>
  <c r="D41" i="108"/>
  <c r="E43" i="108" s="1"/>
  <c r="K149" i="29"/>
  <c r="B7048" i="106"/>
  <c r="D7048" i="106" s="1"/>
  <c r="B4157" i="106"/>
  <c r="D4157" i="106" s="1"/>
  <c r="K208" i="29"/>
  <c r="H174" i="29"/>
  <c r="B1318" i="106" s="1"/>
  <c r="D1318" i="106" s="1"/>
  <c r="B1317" i="106"/>
  <c r="D1317" i="106" s="1"/>
  <c r="B2837" i="106"/>
  <c r="D2837" i="106" s="1"/>
  <c r="K196" i="29"/>
  <c r="K139" i="29"/>
  <c r="B2093" i="106"/>
  <c r="D2093" i="106" s="1"/>
  <c r="B3676" i="106"/>
  <c r="D3676" i="106" s="1"/>
  <c r="K365" i="29"/>
  <c r="E23" i="108"/>
  <c r="E41" i="108" s="1"/>
  <c r="E44" i="108" s="1"/>
  <c r="E45" i="108" s="1"/>
  <c r="G14" i="145"/>
  <c r="G19" i="145" s="1"/>
  <c r="J20" i="145" s="1"/>
  <c r="E19" i="145"/>
  <c r="E114" i="29"/>
  <c r="B873" i="106" s="1"/>
  <c r="D873" i="106" s="1"/>
  <c r="B871" i="106"/>
  <c r="D871" i="106" s="1"/>
  <c r="F59" i="34"/>
  <c r="B7051" i="106"/>
  <c r="D7051" i="106" s="1"/>
  <c r="B7038" i="106"/>
  <c r="D7038" i="106" s="1"/>
  <c r="J151" i="29"/>
  <c r="B7052" i="106" s="1"/>
  <c r="D7052" i="106" s="1"/>
  <c r="G24" i="108"/>
  <c r="G41" i="108" s="1"/>
  <c r="G44" i="108" s="1"/>
  <c r="G45" i="108" s="1"/>
  <c r="B1125" i="106"/>
  <c r="D1125" i="106" s="1"/>
  <c r="E24" i="108"/>
  <c r="K74" i="29"/>
  <c r="B6978" i="106"/>
  <c r="D6978" i="106" s="1"/>
  <c r="J114" i="29"/>
  <c r="B7021" i="106" s="1"/>
  <c r="D7021" i="106" s="1"/>
  <c r="B7071" i="106"/>
  <c r="D7071" i="106" s="1"/>
  <c r="F66" i="34"/>
  <c r="B3670" i="106"/>
  <c r="D3670" i="106" s="1"/>
  <c r="K352" i="29"/>
  <c r="E367" i="29"/>
  <c r="B3636" i="106" s="1"/>
  <c r="D3636" i="106" s="1"/>
  <c r="B3635" i="106"/>
  <c r="D3635" i="106" s="1"/>
  <c r="K172" i="29"/>
  <c r="B1328" i="106"/>
  <c r="D1328" i="106" s="1"/>
  <c r="K312" i="29"/>
  <c r="B1559" i="106"/>
  <c r="D1559" i="106" s="1"/>
  <c r="H13" i="4"/>
  <c r="J367" i="29"/>
  <c r="B7245" i="106" s="1"/>
  <c r="D7245" i="106" s="1"/>
  <c r="B7235" i="106"/>
  <c r="D7235" i="106" s="1"/>
  <c r="B280" i="106"/>
  <c r="D280" i="106" s="1"/>
  <c r="M41" i="3"/>
  <c r="F8" i="4"/>
  <c r="D8" i="146" s="1"/>
  <c r="D8" i="4"/>
  <c r="B2568" i="106" s="1"/>
  <c r="D2568" i="106" s="1"/>
  <c r="B6223" i="106"/>
  <c r="D6223" i="106" s="1"/>
  <c r="J10" i="4"/>
  <c r="B6225" i="106" s="1"/>
  <c r="D6225" i="106" s="1"/>
  <c r="B2658" i="106"/>
  <c r="D2658" i="106" s="1"/>
  <c r="H10" i="4"/>
  <c r="B4127" i="106" s="1"/>
  <c r="D4127" i="106" s="1"/>
  <c r="B2917" i="106"/>
  <c r="D2917" i="106" s="1"/>
  <c r="D53" i="36"/>
  <c r="D10" i="171"/>
  <c r="D19" i="171" s="1"/>
  <c r="D32" i="171" s="1"/>
  <c r="D49" i="171" s="1"/>
  <c r="K10" i="4"/>
  <c r="B4130" i="106" s="1"/>
  <c r="D4130" i="106" s="1"/>
  <c r="B3571" i="106"/>
  <c r="D3571" i="106" s="1"/>
  <c r="B5870" i="106"/>
  <c r="D5870" i="106" s="1"/>
  <c r="N41" i="3"/>
  <c r="B287" i="106"/>
  <c r="D287" i="106" s="1"/>
  <c r="B4997" i="106"/>
  <c r="D4997" i="106" s="1"/>
  <c r="H32" i="118"/>
  <c r="K32" i="118" s="1"/>
  <c r="O31" i="118" s="1"/>
  <c r="O33" i="118" s="1"/>
  <c r="B3226" i="106"/>
  <c r="D3226" i="106" s="1"/>
  <c r="E8" i="146"/>
  <c r="E10" i="146" s="1"/>
  <c r="I20" i="4"/>
  <c r="I10" i="4"/>
  <c r="B4128" i="106" s="1"/>
  <c r="D4128" i="106" s="1"/>
  <c r="G8" i="4"/>
  <c r="B2605" i="106"/>
  <c r="D2605" i="106" s="1"/>
  <c r="B2554" i="106"/>
  <c r="D2554" i="106" s="1"/>
  <c r="C8" i="4"/>
  <c r="B5327" i="106"/>
  <c r="D5327" i="106" s="1"/>
  <c r="B5552" i="106"/>
  <c r="D5552" i="106" s="1"/>
  <c r="A7260" i="106"/>
  <c r="D7259" i="106"/>
  <c r="E8" i="4"/>
  <c r="F58" i="34" l="1"/>
  <c r="B1259" i="106"/>
  <c r="D1259" i="106" s="1"/>
  <c r="B1560" i="106"/>
  <c r="D1560" i="106" s="1"/>
  <c r="K313" i="29"/>
  <c r="B1561" i="106" s="1"/>
  <c r="D1561" i="106" s="1"/>
  <c r="B1287" i="106"/>
  <c r="D1287" i="106" s="1"/>
  <c r="D16" i="4"/>
  <c r="B2572" i="106" s="1"/>
  <c r="D2572" i="106" s="1"/>
  <c r="B3672" i="106"/>
  <c r="D3672" i="106" s="1"/>
  <c r="K13" i="4"/>
  <c r="K367" i="29"/>
  <c r="K16" i="4"/>
  <c r="B3574" i="106" s="1"/>
  <c r="D3574" i="106" s="1"/>
  <c r="B7243" i="106"/>
  <c r="D7243" i="106" s="1"/>
  <c r="K210" i="29"/>
  <c r="B1382" i="106"/>
  <c r="D1382" i="106" s="1"/>
  <c r="F63" i="34"/>
  <c r="F15" i="4"/>
  <c r="B1387" i="106"/>
  <c r="D1387" i="106" s="1"/>
  <c r="F16" i="4"/>
  <c r="B2599" i="106" s="1"/>
  <c r="D2599" i="106" s="1"/>
  <c r="B7042" i="106"/>
  <c r="D7042" i="106" s="1"/>
  <c r="J17" i="4"/>
  <c r="G13" i="4"/>
  <c r="K295" i="29"/>
  <c r="B1510" i="106"/>
  <c r="D1510" i="106" s="1"/>
  <c r="K151" i="29"/>
  <c r="B1281" i="106"/>
  <c r="D1281" i="106" s="1"/>
  <c r="D13" i="4"/>
  <c r="H17" i="4"/>
  <c r="B2659" i="106"/>
  <c r="D2659" i="106" s="1"/>
  <c r="K174" i="29"/>
  <c r="E16" i="4"/>
  <c r="B1331" i="106"/>
  <c r="D1331" i="106" s="1"/>
  <c r="F17" i="11"/>
  <c r="B7020" i="106"/>
  <c r="D7020" i="106" s="1"/>
  <c r="F55" i="34"/>
  <c r="K114" i="29"/>
  <c r="B1143" i="106"/>
  <c r="D1143" i="106" s="1"/>
  <c r="C13" i="4"/>
  <c r="F57" i="34"/>
  <c r="B1282" i="106"/>
  <c r="D1282" i="106" s="1"/>
  <c r="D15" i="4"/>
  <c r="B2571" i="106" s="1"/>
  <c r="D2571" i="106" s="1"/>
  <c r="F13" i="34"/>
  <c r="K343" i="29"/>
  <c r="B7225" i="106" s="1"/>
  <c r="D7225" i="106" s="1"/>
  <c r="B7224" i="106"/>
  <c r="D7224" i="106" s="1"/>
  <c r="B281" i="106"/>
  <c r="D281" i="106" s="1"/>
  <c r="D54" i="36"/>
  <c r="D10" i="4"/>
  <c r="B4123" i="106" s="1"/>
  <c r="D4123" i="106" s="1"/>
  <c r="C8" i="146"/>
  <c r="H13" i="118"/>
  <c r="F10" i="4"/>
  <c r="B4125" i="106" s="1"/>
  <c r="D4125" i="106" s="1"/>
  <c r="B2595" i="106"/>
  <c r="D2595" i="106" s="1"/>
  <c r="H18" i="118"/>
  <c r="C10" i="4"/>
  <c r="B4122" i="106" s="1"/>
  <c r="D4122" i="106" s="1"/>
  <c r="B8" i="146"/>
  <c r="B2555" i="106"/>
  <c r="D2555" i="106" s="1"/>
  <c r="G10" i="4"/>
  <c r="B4126" i="106" s="1"/>
  <c r="D4126" i="106" s="1"/>
  <c r="B2606" i="106"/>
  <c r="D2606" i="106" s="1"/>
  <c r="D16" i="37"/>
  <c r="B2632" i="106"/>
  <c r="D2632" i="106" s="1"/>
  <c r="E10" i="4"/>
  <c r="B4124" i="106" s="1"/>
  <c r="D4124" i="106" s="1"/>
  <c r="A7261" i="106"/>
  <c r="D7260" i="106"/>
  <c r="B288" i="106"/>
  <c r="D288" i="106" s="1"/>
  <c r="B3227" i="106"/>
  <c r="D3227" i="106" s="1"/>
  <c r="I78" i="4"/>
  <c r="F76" i="34" l="1"/>
  <c r="B7624" i="106"/>
  <c r="I17" i="11"/>
  <c r="K152" i="29"/>
  <c r="B1289" i="106" s="1"/>
  <c r="D1289" i="106" s="1"/>
  <c r="F9" i="34"/>
  <c r="B1288" i="106"/>
  <c r="D1288" i="106" s="1"/>
  <c r="B1152" i="106"/>
  <c r="D1152" i="106" s="1"/>
  <c r="F8" i="34"/>
  <c r="K115" i="29"/>
  <c r="B1153" i="106" s="1"/>
  <c r="D1153" i="106" s="1"/>
  <c r="H19" i="4"/>
  <c r="B4141" i="106" s="1"/>
  <c r="D4141" i="106" s="1"/>
  <c r="B2661" i="106"/>
  <c r="D2661" i="106" s="1"/>
  <c r="H20" i="4"/>
  <c r="E17" i="4"/>
  <c r="B2634" i="106"/>
  <c r="D2634" i="106" s="1"/>
  <c r="B2569" i="106"/>
  <c r="D2569" i="106" s="1"/>
  <c r="D17" i="4"/>
  <c r="F12" i="34"/>
  <c r="B1517" i="106"/>
  <c r="D1517" i="106" s="1"/>
  <c r="K296" i="29"/>
  <c r="B1518" i="106" s="1"/>
  <c r="D1518" i="106" s="1"/>
  <c r="K368" i="29"/>
  <c r="B3681" i="106" s="1"/>
  <c r="D3681" i="106" s="1"/>
  <c r="B3678" i="106"/>
  <c r="D3678" i="106" s="1"/>
  <c r="B2557" i="106"/>
  <c r="D2557" i="106" s="1"/>
  <c r="C17" i="4"/>
  <c r="F10" i="34"/>
  <c r="B1332" i="106"/>
  <c r="D1332" i="106" s="1"/>
  <c r="K175" i="29"/>
  <c r="B1333" i="106" s="1"/>
  <c r="D1333" i="106" s="1"/>
  <c r="B2608" i="106"/>
  <c r="D2608" i="106" s="1"/>
  <c r="G17" i="4"/>
  <c r="F11" i="34"/>
  <c r="B1388" i="106"/>
  <c r="D1388" i="106" s="1"/>
  <c r="K211" i="29"/>
  <c r="B1389" i="106" s="1"/>
  <c r="D1389" i="106" s="1"/>
  <c r="B3572" i="106"/>
  <c r="D3572" i="106" s="1"/>
  <c r="K17" i="4"/>
  <c r="B6227" i="106"/>
  <c r="D6227" i="106" s="1"/>
  <c r="J20" i="4"/>
  <c r="J19" i="4"/>
  <c r="B6229" i="106" s="1"/>
  <c r="D6229" i="106" s="1"/>
  <c r="B2598" i="106"/>
  <c r="D2598" i="106" s="1"/>
  <c r="F17" i="4"/>
  <c r="F8" i="146"/>
  <c r="J41" i="3"/>
  <c r="B6215" i="106"/>
  <c r="D6215" i="106" s="1"/>
  <c r="B3320" i="106"/>
  <c r="D3320" i="106" s="1"/>
  <c r="I81" i="4"/>
  <c r="A7262" i="106"/>
  <c r="D7261" i="106"/>
  <c r="B3575" i="106" l="1"/>
  <c r="D3575" i="106" s="1"/>
  <c r="K20" i="4"/>
  <c r="K19" i="4"/>
  <c r="B4144" i="106" s="1"/>
  <c r="D4144" i="106" s="1"/>
  <c r="E19" i="4"/>
  <c r="B4138" i="106" s="1"/>
  <c r="D4138" i="106" s="1"/>
  <c r="B2635" i="106"/>
  <c r="D2635" i="106" s="1"/>
  <c r="E20" i="4"/>
  <c r="G19" i="4"/>
  <c r="B4140" i="106" s="1"/>
  <c r="D4140" i="106" s="1"/>
  <c r="G20" i="4"/>
  <c r="B2612" i="106"/>
  <c r="D2612" i="106" s="1"/>
  <c r="D20" i="4"/>
  <c r="D19" i="4"/>
  <c r="B4137" i="106" s="1"/>
  <c r="D4137" i="106" s="1"/>
  <c r="C9" i="146"/>
  <c r="C10" i="146" s="1"/>
  <c r="B2573" i="106"/>
  <c r="D2573" i="106" s="1"/>
  <c r="H78" i="4"/>
  <c r="B2662" i="106"/>
  <c r="D2662" i="106" s="1"/>
  <c r="F14" i="34"/>
  <c r="F77" i="34" s="1"/>
  <c r="B6230" i="106"/>
  <c r="D6230" i="106" s="1"/>
  <c r="J78" i="4"/>
  <c r="C20" i="4"/>
  <c r="B9" i="146"/>
  <c r="B2561" i="106"/>
  <c r="D2561" i="106" s="1"/>
  <c r="H17" i="118"/>
  <c r="C19" i="4"/>
  <c r="B4136" i="106" s="1"/>
  <c r="D4136" i="106" s="1"/>
  <c r="F16" i="37"/>
  <c r="H16" i="37" s="1"/>
  <c r="I18" i="11"/>
  <c r="B7625" i="106"/>
  <c r="F19" i="4"/>
  <c r="B4139" i="106" s="1"/>
  <c r="D4139" i="106" s="1"/>
  <c r="B2600" i="106"/>
  <c r="D2600" i="106" s="1"/>
  <c r="D9" i="146"/>
  <c r="D10" i="146" s="1"/>
  <c r="F20" i="4"/>
  <c r="D51" i="36"/>
  <c r="B6216" i="106"/>
  <c r="D6216" i="106" s="1"/>
  <c r="B123" i="106"/>
  <c r="D123" i="106" s="1"/>
  <c r="D41" i="3"/>
  <c r="B3567" i="106"/>
  <c r="D3567" i="106" s="1"/>
  <c r="K41" i="3"/>
  <c r="B212" i="106"/>
  <c r="D212" i="106" s="1"/>
  <c r="H41" i="3"/>
  <c r="B2912" i="106"/>
  <c r="D2912" i="106" s="1"/>
  <c r="I41" i="3"/>
  <c r="A7263" i="106"/>
  <c r="D7262" i="106"/>
  <c r="B3323" i="106"/>
  <c r="D3323" i="106" s="1"/>
  <c r="I82" i="4"/>
  <c r="D63" i="36"/>
  <c r="E11" i="146"/>
  <c r="B10" i="146" l="1"/>
  <c r="F9" i="146"/>
  <c r="F10" i="146" s="1"/>
  <c r="F179" i="34"/>
  <c r="F79" i="34"/>
  <c r="G78" i="4"/>
  <c r="B2613" i="106"/>
  <c r="D2613" i="106" s="1"/>
  <c r="B2562" i="106"/>
  <c r="D2562" i="106" s="1"/>
  <c r="C78" i="4"/>
  <c r="F78" i="4"/>
  <c r="B2601" i="106"/>
  <c r="D2601" i="106" s="1"/>
  <c r="H25" i="118"/>
  <c r="K24" i="118" s="1"/>
  <c r="O23" i="118" s="1"/>
  <c r="O25" i="118" s="1"/>
  <c r="K17" i="118"/>
  <c r="J81" i="4"/>
  <c r="B6263" i="106"/>
  <c r="D6263" i="106" s="1"/>
  <c r="H81" i="4"/>
  <c r="B3300" i="106"/>
  <c r="D3300" i="106" s="1"/>
  <c r="B2574" i="106"/>
  <c r="D2574" i="106" s="1"/>
  <c r="D78" i="4"/>
  <c r="E78" i="4"/>
  <c r="B2636" i="106"/>
  <c r="D2636" i="106" s="1"/>
  <c r="B3576" i="106"/>
  <c r="D3576" i="106" s="1"/>
  <c r="K78" i="4"/>
  <c r="F180" i="34"/>
  <c r="B7631" i="106"/>
  <c r="B189" i="106"/>
  <c r="D189" i="106" s="1"/>
  <c r="G41" i="3"/>
  <c r="N21" i="3"/>
  <c r="B140" i="106"/>
  <c r="D140" i="106" s="1"/>
  <c r="E41" i="3"/>
  <c r="B170" i="106"/>
  <c r="D170" i="106" s="1"/>
  <c r="F41" i="3"/>
  <c r="B3568" i="106"/>
  <c r="D3568" i="106" s="1"/>
  <c r="D52" i="36"/>
  <c r="B213" i="106"/>
  <c r="D213" i="106" s="1"/>
  <c r="D49" i="36"/>
  <c r="B124" i="106"/>
  <c r="D124" i="106" s="1"/>
  <c r="D45" i="36"/>
  <c r="D76" i="36"/>
  <c r="B92" i="106"/>
  <c r="D92" i="106" s="1"/>
  <c r="C41" i="3"/>
  <c r="D50" i="36"/>
  <c r="B2913" i="106"/>
  <c r="D2913" i="106" s="1"/>
  <c r="I83" i="4"/>
  <c r="B6282" i="106" s="1"/>
  <c r="D6282" i="106" s="1"/>
  <c r="B6273" i="106"/>
  <c r="D6273" i="106" s="1"/>
  <c r="A7264" i="106"/>
  <c r="D7263" i="106"/>
  <c r="J20" i="118" l="1"/>
  <c r="O16" i="118"/>
  <c r="K20" i="118"/>
  <c r="B3233" i="106"/>
  <c r="D3233" i="106" s="1"/>
  <c r="C81" i="4"/>
  <c r="E81" i="4"/>
  <c r="B3278" i="106"/>
  <c r="D3278" i="106" s="1"/>
  <c r="B1700" i="106"/>
  <c r="D1700" i="106" s="1"/>
  <c r="D62" i="36"/>
  <c r="H82" i="4"/>
  <c r="F181" i="34"/>
  <c r="F183" i="34" s="1"/>
  <c r="K81" i="4"/>
  <c r="B3588" i="106"/>
  <c r="D3588" i="106" s="1"/>
  <c r="D81" i="4"/>
  <c r="B3239" i="106"/>
  <c r="D3239" i="106" s="1"/>
  <c r="J82" i="4"/>
  <c r="D64" i="36"/>
  <c r="B6266" i="106"/>
  <c r="D6266" i="106" s="1"/>
  <c r="B3256" i="106"/>
  <c r="D3256" i="106" s="1"/>
  <c r="F81" i="4"/>
  <c r="G81" i="4"/>
  <c r="B3262" i="106"/>
  <c r="D3262" i="106" s="1"/>
  <c r="B171" i="106"/>
  <c r="D171" i="106" s="1"/>
  <c r="D47" i="36"/>
  <c r="B282" i="106"/>
  <c r="D282" i="106" s="1"/>
  <c r="N23" i="3"/>
  <c r="B190" i="106"/>
  <c r="D190" i="106" s="1"/>
  <c r="D48" i="36"/>
  <c r="B141" i="106"/>
  <c r="D141" i="106" s="1"/>
  <c r="D46" i="36"/>
  <c r="B93" i="106"/>
  <c r="D93" i="106" s="1"/>
  <c r="D44" i="36"/>
  <c r="A7265" i="106"/>
  <c r="D7264" i="106"/>
  <c r="O17" i="118" l="1"/>
  <c r="O20" i="118" s="1"/>
  <c r="B6272" i="106"/>
  <c r="D6272" i="106" s="1"/>
  <c r="H83" i="4"/>
  <c r="B6281" i="106" s="1"/>
  <c r="D6281" i="106" s="1"/>
  <c r="B1672" i="106"/>
  <c r="D1672" i="106" s="1"/>
  <c r="F82" i="4"/>
  <c r="D11" i="146"/>
  <c r="D60" i="36"/>
  <c r="B6274" i="106"/>
  <c r="D6274" i="106" s="1"/>
  <c r="J83" i="4"/>
  <c r="B6283" i="106" s="1"/>
  <c r="D6283" i="106" s="1"/>
  <c r="D65" i="36"/>
  <c r="K82" i="4"/>
  <c r="B3591" i="106"/>
  <c r="D3591" i="106" s="1"/>
  <c r="D82" i="4"/>
  <c r="B1644" i="106"/>
  <c r="D1644" i="106" s="1"/>
  <c r="C11" i="146"/>
  <c r="D58" i="36"/>
  <c r="E82" i="4"/>
  <c r="B1658" i="106"/>
  <c r="D1658" i="106" s="1"/>
  <c r="D59" i="36"/>
  <c r="G82" i="4"/>
  <c r="D61" i="36"/>
  <c r="B1686" i="106"/>
  <c r="D1686" i="106" s="1"/>
  <c r="J16" i="37"/>
  <c r="B4269" i="106" s="1"/>
  <c r="D4269" i="106" s="1"/>
  <c r="B11" i="146"/>
  <c r="F11" i="146" s="1"/>
  <c r="C12" i="146" s="1"/>
  <c r="C82" i="4"/>
  <c r="H12" i="118"/>
  <c r="K12" i="118" s="1"/>
  <c r="O11" i="118" s="1"/>
  <c r="O13" i="118" s="1"/>
  <c r="D57" i="36"/>
  <c r="B1630" i="106"/>
  <c r="D1630" i="106" s="1"/>
  <c r="B284" i="106"/>
  <c r="D284" i="106" s="1"/>
  <c r="D55" i="36"/>
  <c r="A7266" i="106"/>
  <c r="D7265" i="106"/>
  <c r="O35" i="118" l="1"/>
  <c r="O37" i="118" s="1"/>
  <c r="D29" i="36"/>
  <c r="J24" i="24" s="1"/>
  <c r="C83" i="4"/>
  <c r="B6276" i="106" s="1"/>
  <c r="D6276" i="106" s="1"/>
  <c r="B6267" i="106"/>
  <c r="D6267" i="106" s="1"/>
  <c r="B6269" i="106"/>
  <c r="D6269" i="106" s="1"/>
  <c r="E83" i="4"/>
  <c r="B6278" i="106" s="1"/>
  <c r="D6278" i="106" s="1"/>
  <c r="B6268" i="106"/>
  <c r="D6268" i="106" s="1"/>
  <c r="D83" i="4"/>
  <c r="B6277" i="106" s="1"/>
  <c r="D6277" i="106" s="1"/>
  <c r="B6270" i="106"/>
  <c r="D6270" i="106" s="1"/>
  <c r="F83" i="4"/>
  <c r="B6279" i="106" s="1"/>
  <c r="D6279" i="106" s="1"/>
  <c r="B6271" i="106"/>
  <c r="D6271" i="106" s="1"/>
  <c r="G83" i="4"/>
  <c r="B6280" i="106" s="1"/>
  <c r="D6280" i="106" s="1"/>
  <c r="B6275" i="106"/>
  <c r="D6275" i="106" s="1"/>
  <c r="K83" i="4"/>
  <c r="B6284" i="106" s="1"/>
  <c r="D6284" i="106" s="1"/>
  <c r="A7267" i="106"/>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<sst xmlns="http://schemas.openxmlformats.org/spreadsheetml/2006/main" count="5291" uniqueCount="2204">
  <si>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</si>
  <si>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</si>
  <si>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</si>
  <si>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</si>
  <si>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</si>
  <si>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</si>
  <si>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</si>
  <si>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</si>
  <si>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</si>
  <si>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</si>
  <si>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</si>
  <si>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</si>
  <si>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</si>
  <si>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</si>
  <si>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</si>
  <si>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</si>
  <si>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</si>
  <si>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</si>
  <si>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</si>
  <si>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</si>
  <si>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</si>
  <si>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</si>
  <si>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</si>
  <si>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</si>
  <si>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</si>
  <si>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</si>
  <si>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</si>
  <si>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</si>
  <si>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</si>
  <si>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</si>
  <si>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</si>
  <si>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</si>
  <si>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</si>
  <si>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</si>
  <si>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</si>
  <si>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</si>
  <si>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</si>
  <si>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</si>
  <si>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</si>
  <si>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</si>
  <si>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</si>
  <si>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</si>
  <si>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</si>
  <si>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</si>
  <si>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</si>
  <si>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</si>
  <si>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</si>
  <si>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</si>
  <si>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</si>
  <si>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</si>
  <si>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</si>
  <si>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</si>
  <si>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</si>
  <si>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</si>
  <si>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</si>
  <si>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</si>
  <si>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</si>
  <si>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</si>
  <si>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</si>
  <si>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</si>
  <si>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</si>
  <si>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</si>
  <si>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</si>
  <si>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</si>
  <si>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</si>
  <si>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</si>
  <si>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</si>
  <si>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</si>
  <si>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</si>
  <si>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</si>
  <si>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</si>
  <si>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</si>
  <si>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</si>
  <si>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</si>
  <si>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</si>
  <si>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</si>
  <si>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</si>
  <si>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</si>
  <si>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</si>
  <si>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</si>
  <si>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</si>
  <si>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</si>
  <si>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</si>
  <si>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</si>
  <si>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</si>
  <si>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</si>
  <si>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</si>
  <si>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</si>
  <si>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</si>
  <si>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</si>
  <si>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</si>
  <si>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</si>
  <si>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</si>
  <si>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</si>
  <si>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</si>
  <si>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</si>
  <si>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</si>
  <si>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</si>
  <si>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</si>
  <si>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</si>
  <si>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</si>
  <si>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</si>
  <si>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</si>
  <si>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</si>
  <si>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</si>
  <si>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</si>
  <si>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</si>
  <si>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</si>
  <si>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</si>
  <si>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</si>
  <si>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</si>
  <si>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</si>
  <si>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</si>
  <si>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</si>
  <si>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</si>
  <si>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</si>
  <si>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</si>
  <si>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</si>
  <si>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</si>
  <si>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</si>
  <si>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</si>
  <si>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</si>
  <si>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</si>
  <si>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</si>
  <si>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</si>
  <si>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</si>
  <si>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</si>
  <si>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</si>
  <si>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</si>
  <si>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</si>
  <si>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</si>
  <si>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</si>
  <si>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</si>
  <si>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</si>
  <si>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</si>
  <si>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</si>
  <si>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</si>
  <si>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</si>
  <si>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</si>
  <si>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</si>
  <si>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</si>
  <si>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</si>
  <si>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</si>
  <si>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</si>
  <si>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</si>
  <si>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</si>
  <si>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</si>
  <si>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</si>
  <si>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</si>
  <si>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</si>
  <si>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</si>
  <si>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</si>
  <si>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</si>
  <si>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</si>
  <si>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</si>
  <si>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</si>
  <si>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</si>
  <si>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</si>
  <si>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</si>
  <si>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</si>
  <si>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</si>
  <si>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</si>
  <si>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</si>
  <si>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</si>
  <si>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</si>
  <si>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</si>
  <si>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</si>
  <si>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</si>
  <si>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</si>
  <si>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</si>
  <si>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</si>
  <si>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</si>
  <si>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</si>
  <si>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</si>
  <si>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</si>
  <si>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</si>
  <si>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</si>
  <si>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</si>
  <si>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</si>
  <si>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</si>
  <si>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</si>
  <si>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</si>
  <si>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</si>
  <si>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</si>
  <si>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</si>
  <si>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</si>
  <si>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</si>
  <si>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</si>
  <si>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</si>
  <si>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</si>
  <si>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</si>
  <si>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</si>
  <si>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</si>
  <si>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</si>
  <si>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</si>
  <si>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</si>
  <si>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</si>
  <si>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</si>
  <si>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</si>
  <si>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</si>
  <si>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</si>
  <si>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</si>
  <si>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</si>
  <si>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</si>
  <si>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</si>
  <si>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</si>
  <si>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</si>
  <si>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</si>
  <si>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</si>
  <si>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</si>
  <si>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</si>
  <si>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</si>
  <si>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</si>
  <si>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</si>
  <si>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</si>
  <si>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</si>
  <si>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</si>
  <si>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</si>
  <si>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</si>
  <si>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</si>
  <si>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</si>
  <si>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</si>
  <si>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</si>
  <si>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</si>
  <si>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</si>
  <si>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</si>
  <si>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</si>
  <si>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</si>
  <si>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</si>
  <si>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</si>
  <si>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</si>
  <si>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</si>
  <si>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</si>
  <si>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</si>
  <si>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</si>
  <si>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</si>
  <si>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</si>
  <si>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</si>
  <si>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</si>
  <si>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</si>
  <si>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</si>
  <si>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</si>
  <si>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</si>
  <si>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</si>
  <si>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</si>
  <si>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</si>
  <si>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</si>
  <si>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</si>
  <si>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</si>
  <si>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</si>
  <si>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</si>
  <si>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</si>
  <si>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</si>
  <si>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</si>
  <si>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</si>
  <si>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</si>
  <si>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</si>
  <si>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</si>
  <si>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</si>
  <si>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</si>
  <si>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</si>
  <si>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</si>
  <si>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</si>
  <si>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</si>
  <si>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</si>
  <si>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</si>
  <si>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</si>
  <si>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</si>
  <si>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</si>
  <si>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</si>
  <si>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</si>
  <si>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</si>
  <si>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</si>
  <si>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</si>
  <si>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</si>
  <si>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</si>
  <si>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</si>
  <si>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</si>
  <si>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</si>
  <si>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</si>
  <si>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</si>
  <si>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</si>
  <si>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</si>
  <si>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</si>
  <si>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</si>
  <si>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</si>
  <si>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</si>
  <si>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</si>
  <si>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</si>
  <si>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</si>
  <si>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</si>
  <si>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</si>
  <si>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</si>
  <si>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</si>
  <si>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</si>
  <si>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</si>
  <si>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</si>
  <si>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</si>
  <si>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</si>
  <si>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</si>
  <si>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</si>
  <si>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</si>
  <si>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</si>
  <si>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</si>
  <si>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</si>
  <si>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</si>
  <si>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</si>
  <si>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</si>
  <si>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</si>
  <si>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</si>
  <si>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</si>
  <si>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</si>
  <si>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</si>
  <si>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</si>
  <si>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</si>
  <si>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</si>
  <si>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</si>
  <si>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</si>
  <si>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</si>
  <si>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</si>
  <si>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</si>
  <si>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</si>
  <si>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</si>
  <si>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</si>
  <si>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</si>
  <si>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</si>
  <si>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</si>
  <si>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</si>
  <si>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</si>
  <si>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</si>
  <si>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</si>
  <si>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</si>
  <si>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</si>
  <si>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</si>
  <si>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</si>
  <si>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</si>
  <si>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</si>
  <si>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</si>
  <si>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</si>
  <si>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</si>
  <si>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</si>
  <si>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</si>
  <si>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</si>
  <si>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</si>
  <si>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</si>
  <si>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</si>
  <si>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</si>
  <si>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</si>
  <si>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</si>
  <si>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</si>
  <si>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</si>
  <si>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</si>
  <si>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</si>
  <si>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</si>
  <si>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</si>
  <si>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</si>
  <si>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</si>
  <si>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</si>
  <si>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</si>
  <si>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</si>
  <si>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</si>
  <si>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</si>
  <si>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</si>
  <si>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</si>
  <si>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</si>
  <si>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</si>
  <si>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</si>
  <si>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</si>
  <si>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</si>
  <si>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</si>
  <si>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</si>
  <si>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</si>
  <si>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</si>
  <si>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</si>
  <si>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</si>
  <si>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</si>
  <si>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</si>
  <si>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</si>
  <si>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</si>
  <si>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</si>
  <si>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</si>
  <si>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</si>
  <si>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</si>
  <si>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</si>
  <si>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</si>
  <si>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</si>
  <si>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</si>
  <si>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</si>
  <si>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</si>
  <si>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</si>
  <si>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</si>
  <si>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</si>
  <si>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</si>
  <si>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</si>
  <si>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</si>
  <si>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</si>
  <si>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</si>
  <si>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</si>
  <si>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</si>
  <si>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</si>
  <si>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</si>
  <si>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</si>
  <si>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</si>
  <si>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</si>
  <si>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</si>
  <si>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</si>
  <si>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</si>
  <si>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</si>
  <si>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</si>
  <si>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</si>
  <si>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</si>
  <si>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</si>
  <si>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</si>
  <si>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</si>
  <si>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</si>
  <si>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</si>
  <si>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</si>
  <si>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</si>
  <si>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</si>
  <si>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</si>
  <si>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</si>
  <si>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</si>
  <si>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</si>
  <si>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</si>
  <si>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</si>
  <si>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</si>
  <si>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</si>
  <si>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</si>
  <si>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</si>
  <si>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</si>
  <si>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</si>
  <si>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</si>
  <si>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</si>
  <si>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</si>
  <si>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</si>
  <si>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</si>
  <si>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</si>
  <si>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</si>
  <si>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</si>
  <si>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</si>
  <si>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</si>
  <si>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</si>
  <si>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</si>
  <si>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</si>
  <si>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</si>
  <si>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</si>
  <si>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</si>
  <si>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</si>
  <si>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</si>
  <si>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</si>
  <si>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</si>
  <si>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</si>
  <si>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</si>
  <si>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</si>
  <si>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</si>
  <si>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</si>
  <si>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</si>
  <si>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</si>
  <si>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</si>
  <si>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</si>
  <si>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</si>
  <si>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</si>
  <si>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</si>
  <si>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</si>
  <si>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</si>
  <si>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</si>
  <si>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</si>
  <si>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</si>
  <si>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</si>
  <si>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</si>
  <si>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</si>
  <si>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</si>
  <si>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</si>
  <si>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</si>
  <si>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</si>
  <si>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</si>
  <si>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</si>
  <si>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</si>
  <si>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</si>
  <si>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</si>
  <si>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</si>
  <si>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</si>
  <si>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</si>
  <si>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</si>
  <si>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</si>
  <si>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</si>
  <si>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</si>
  <si>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</si>
  <si>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</si>
  <si>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</si>
  <si>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</si>
  <si>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</si>
  <si>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</si>
  <si>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</si>
  <si>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</si>
  <si>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</si>
  <si>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</si>
  <si>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</si>
  <si>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</si>
  <si>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</si>
  <si>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</si>
  <si>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</si>
  <si>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</si>
  <si>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</si>
  <si>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</si>
  <si>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</si>
  <si>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</si>
  <si>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</si>
  <si>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</si>
  <si>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</si>
  <si>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</si>
  <si>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</si>
  <si>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</si>
  <si>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</si>
  <si>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</si>
  <si>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</si>
  <si>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</si>
  <si>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</si>
  <si>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</si>
  <si>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</si>
  <si>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</si>
  <si>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</si>
  <si>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</si>
  <si>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</si>
  <si>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</si>
  <si>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</si>
  <si>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</si>
  <si>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</si>
  <si>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</si>
  <si>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</si>
  <si>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</si>
  <si>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</si>
  <si>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</si>
  <si>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</si>
  <si>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</si>
  <si>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</si>
  <si>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</si>
  <si>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</si>
  <si>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</si>
  <si>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</si>
  <si>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</si>
  <si>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</si>
  <si>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</si>
  <si>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</si>
  <si>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</si>
  <si>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</si>
  <si>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</si>
  <si>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</si>
  <si>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</si>
  <si>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</si>
  <si>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</si>
  <si>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</si>
  <si>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</si>
  <si>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</si>
  <si>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</si>
  <si>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</si>
  <si>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</si>
  <si>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</si>
  <si>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</si>
  <si>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</si>
  <si>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</si>
  <si>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</si>
  <si>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</si>
  <si>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</si>
  <si>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</si>
  <si>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</si>
  <si>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</si>
  <si>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</si>
  <si>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</si>
  <si>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</si>
  <si>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</si>
  <si>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</si>
  <si>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</si>
  <si>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</si>
  <si>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</si>
  <si>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</si>
  <si>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</si>
  <si>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</si>
  <si>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</si>
  <si>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</si>
  <si>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</si>
  <si>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</si>
  <si>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</si>
  <si>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</si>
  <si>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</si>
  <si>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</si>
  <si>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</si>
  <si>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</si>
  <si>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</si>
  <si>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</si>
  <si>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</si>
  <si>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</si>
  <si>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</si>
  <si>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</si>
  <si>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</si>
  <si>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</si>
  <si>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</si>
  <si>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</si>
  <si>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</si>
  <si>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</si>
  <si>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</si>
  <si>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</si>
  <si>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</si>
  <si>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</si>
  <si>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</si>
  <si>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</si>
  <si>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</si>
  <si>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</si>
  <si>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</si>
  <si>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</si>
  <si>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</si>
  <si>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</si>
  <si>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</si>
  <si>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</si>
  <si>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</si>
  <si>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</si>
  <si>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</si>
  <si>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</si>
  <si>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</si>
  <si>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</si>
  <si>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</si>
  <si>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</si>
  <si>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</si>
  <si>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</si>
  <si>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</si>
  <si>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</si>
  <si>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</si>
  <si>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</si>
  <si>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</si>
  <si>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</si>
  <si>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</si>
  <si>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</si>
  <si>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</si>
  <si>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</si>
  <si>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</si>
  <si>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</si>
  <si>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</si>
  <si>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</si>
  <si>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</si>
  <si>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</si>
  <si>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</si>
  <si>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</si>
  <si>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</si>
  <si>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</si>
  <si>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</si>
  <si>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</si>
  <si>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</si>
  <si>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</si>
  <si>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</si>
  <si>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</si>
  <si>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</si>
  <si>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</si>
  <si>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</si>
  <si>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</si>
  <si>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</si>
  <si>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</si>
  <si>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</si>
  <si>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</si>
  <si>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</si>
  <si>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</si>
  <si>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</si>
  <si>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</si>
  <si>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</si>
  <si>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</si>
  <si>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</si>
  <si>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</si>
  <si>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</si>
  <si>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</si>
  <si>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</si>
  <si>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</si>
  <si>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</si>
  <si>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</si>
  <si>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</si>
  <si>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</si>
  <si>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</si>
  <si>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</si>
  <si>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</si>
  <si>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</si>
  <si>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</si>
  <si>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</si>
  <si>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</si>
  <si>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</si>
  <si>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</si>
  <si>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</si>
  <si>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</si>
  <si>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</si>
  <si>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</si>
  <si>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</si>
  <si>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</si>
  <si>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</si>
  <si>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</si>
  <si>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</si>
  <si>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</si>
  <si>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</si>
  <si>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</si>
  <si>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</si>
  <si>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</si>
  <si>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</si>
  <si>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</si>
  <si>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</si>
  <si>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</si>
  <si>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</si>
  <si>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</si>
  <si>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</si>
  <si>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</si>
  <si>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</si>
  <si>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</si>
  <si>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</si>
  <si>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</si>
  <si>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</si>
  <si>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</si>
  <si>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</si>
  <si>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</si>
  <si>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</si>
  <si>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</si>
  <si>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</si>
  <si>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</si>
  <si>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</si>
  <si>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</si>
  <si>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</si>
  <si>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</si>
  <si>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</si>
  <si>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</si>
  <si>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</si>
  <si>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</si>
  <si>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</si>
  <si>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</si>
  <si>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</si>
  <si>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</si>
  <si>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</si>
  <si>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</si>
  <si>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</si>
  <si>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</si>
  <si>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</si>
  <si>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</si>
  <si>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</si>
  <si>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</si>
  <si>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</si>
  <si>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</si>
  <si>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</si>
  <si>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</si>
  <si>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</si>
  <si>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</si>
  <si>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</si>
  <si>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</si>
  <si>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</si>
  <si>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</si>
  <si>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</si>
  <si>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</si>
  <si>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</si>
  <si>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</si>
  <si>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</si>
  <si>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</si>
  <si>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</si>
  <si>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</si>
  <si>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</si>
  <si>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</si>
  <si>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</si>
  <si>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</si>
  <si>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</si>
  <si>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</si>
  <si>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</si>
  <si>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</si>
  <si>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</si>
  <si>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</si>
  <si>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</si>
  <si>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</si>
  <si>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</si>
  <si>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</si>
  <si>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</si>
  <si>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</si>
  <si>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</si>
  <si>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</si>
  <si>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</si>
  <si>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</si>
  <si>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</si>
  <si>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</si>
  <si>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</si>
  <si>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</si>
  <si>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</si>
  <si>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</si>
  <si>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</si>
  <si>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</si>
  <si>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</si>
  <si>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</si>
  <si>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</si>
  <si>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</si>
  <si>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</si>
  <si>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</si>
  <si>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</si>
  <si>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</si>
  <si>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</si>
  <si>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</si>
  <si>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</si>
  <si>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</si>
  <si>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</si>
  <si>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</si>
  <si>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</si>
  <si>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</si>
  <si>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</si>
  <si>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</si>
  <si>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</si>
  <si>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</si>
  <si>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</si>
  <si>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</si>
  <si>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</si>
  <si>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</si>
  <si>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</si>
  <si>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</si>
  <si>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</si>
  <si>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</si>
  <si>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</si>
  <si>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</si>
  <si>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</si>
  <si>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</si>
  <si>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</si>
  <si>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</si>
  <si>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</si>
  <si>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</si>
  <si>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</si>
  <si>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</si>
  <si>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</si>
  <si>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</si>
  <si>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</si>
  <si>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</si>
  <si>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</si>
  <si>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</si>
  <si>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</si>
  <si>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</si>
  <si>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</si>
  <si>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</si>
  <si>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</si>
  <si>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</si>
  <si>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</si>
  <si>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</si>
  <si>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</si>
  <si>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</si>
  <si>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</si>
  <si>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</si>
  <si>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</si>
  <si>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</si>
  <si>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</si>
  <si>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</si>
  <si>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</si>
  <si>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</si>
  <si>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</si>
  <si>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</si>
  <si>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</si>
  <si>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</si>
  <si>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</si>
  <si>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</si>
  <si>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</si>
  <si>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</si>
  <si>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</si>
  <si>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</si>
  <si>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</si>
  <si>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</si>
  <si>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</si>
  <si>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</si>
  <si>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</si>
  <si>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</si>
  <si>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</si>
  <si>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</si>
  <si>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</si>
  <si>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</si>
  <si>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</si>
  <si>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</si>
  <si>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</si>
  <si>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</si>
  <si>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</si>
  <si>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</si>
  <si>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</si>
  <si>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</si>
  <si>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</si>
  <si>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</si>
  <si>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</si>
  <si>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</si>
  <si>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</si>
  <si>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</si>
  <si>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</si>
  <si>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</si>
  <si>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</si>
  <si>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</si>
  <si>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</si>
  <si>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</si>
  <si>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</si>
  <si>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</si>
  <si>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</si>
  <si>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</si>
  <si>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</si>
  <si>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</si>
  <si>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</si>
  <si>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</si>
  <si>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</si>
  <si>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</si>
  <si>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</si>
  <si>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</si>
  <si>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</si>
  <si>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</si>
  <si>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</si>
  <si>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</si>
  <si>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</si>
  <si>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</si>
  <si>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</si>
  <si>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</si>
  <si>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</si>
  <si>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</si>
  <si>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</si>
  <si>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</si>
  <si>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</si>
  <si>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</si>
  <si>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</si>
  <si>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</si>
  <si>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</si>
  <si>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</si>
  <si>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</si>
  <si>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</si>
  <si>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</si>
  <si>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</si>
  <si>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</si>
  <si>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</si>
  <si>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</si>
  <si>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</si>
  <si>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</si>
  <si>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</si>
  <si>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</si>
  <si>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</si>
  <si>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</si>
  <si>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</si>
  <si>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</si>
  <si>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</si>
  <si>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</si>
  <si>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</si>
  <si>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</si>
  <si>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</si>
  <si>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</si>
  <si>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</si>
  <si>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</si>
  <si>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</si>
  <si>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</si>
  <si>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</si>
  <si>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</si>
  <si>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</si>
  <si>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</si>
  <si>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</si>
  <si>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</si>
  <si>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</si>
  <si>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</si>
  <si>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</si>
  <si>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</si>
  <si>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</si>
  <si>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</si>
  <si>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</si>
  <si>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</si>
  <si>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</si>
  <si>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</si>
  <si>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</si>
  <si>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</si>
  <si>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</si>
  <si>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</si>
  <si>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</si>
  <si>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</si>
  <si>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</si>
  <si>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</si>
  <si>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</si>
  <si>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</si>
  <si>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</si>
  <si>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</si>
  <si>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</si>
  <si>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</si>
  <si>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</si>
  <si>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</si>
  <si>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</si>
  <si>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</si>
  <si>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</si>
  <si>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</si>
  <si>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</si>
  <si>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</si>
  <si>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</si>
  <si>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</si>
  <si>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</si>
  <si>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</si>
  <si>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</si>
  <si>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</si>
  <si>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</si>
  <si>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</si>
  <si>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</si>
  <si>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</si>
  <si>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</si>
  <si>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</si>
  <si>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</si>
  <si>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</si>
  <si>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</si>
  <si>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</si>
  <si>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</si>
  <si>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</si>
  <si>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</si>
  <si>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</si>
  <si>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</si>
  <si>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</si>
  <si>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</si>
  <si>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</si>
  <si>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</si>
  <si>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</si>
  <si>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</si>
  <si>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</si>
  <si>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</si>
  <si>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</si>
  <si>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</si>
  <si>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</si>
  <si>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</si>
  <si>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</si>
  <si>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</si>
  <si>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</si>
  <si>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</si>
  <si>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</si>
  <si>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</si>
  <si>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</si>
  <si>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</si>
  <si>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</si>
  <si>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</si>
  <si>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</si>
  <si>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</si>
  <si>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</si>
  <si>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</si>
  <si>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</si>
  <si>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</si>
  <si>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</si>
  <si>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</si>
  <si>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</si>
  <si>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</si>
  <si>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</si>
  <si>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</si>
  <si>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</si>
  <si>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</si>
  <si>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</si>
  <si>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</si>
  <si>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</si>
  <si>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</si>
  <si>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</si>
  <si>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</si>
  <si>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</si>
  <si>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</si>
  <si>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</si>
  <si>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</si>
  <si>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</si>
  <si>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</si>
  <si>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</si>
  <si>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</si>
  <si>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</si>
  <si>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</si>
  <si>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</si>
  <si>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</si>
  <si>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</si>
  <si>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</si>
  <si>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</si>
  <si>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</si>
  <si>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</si>
  <si>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</si>
  <si>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</si>
  <si>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</si>
  <si>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</si>
  <si>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</si>
  <si>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</si>
  <si>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</si>
  <si>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</si>
  <si>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</si>
  <si>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</si>
  <si>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</si>
  <si>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</si>
  <si>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</si>
  <si>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</si>
  <si>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</si>
  <si>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</si>
  <si>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</si>
  <si>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</si>
  <si>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</si>
  <si>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</si>
  <si>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</si>
  <si>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</si>
  <si>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</si>
  <si>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</si>
  <si>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</si>
  <si>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</si>
  <si>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</si>
  <si>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</si>
  <si>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</si>
  <si>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</si>
  <si>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</si>
  <si>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</si>
  <si>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</si>
  <si>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</si>
  <si>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</si>
  <si>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</si>
  <si>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</si>
  <si>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</si>
  <si>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</si>
  <si>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</si>
  <si>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</si>
  <si>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</si>
  <si>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</si>
  <si>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</si>
  <si>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</si>
  <si>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</si>
  <si>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</si>
  <si>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</si>
  <si>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</si>
  <si>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</si>
  <si>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</si>
  <si>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</si>
  <si>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</si>
  <si>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</si>
  <si>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</si>
  <si>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</si>
  <si>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</si>
  <si>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</si>
  <si>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</si>
  <si>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</si>
  <si>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</si>
  <si>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</si>
  <si>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</si>
  <si>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</si>
  <si>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</si>
  <si>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</si>
  <si>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</si>
  <si>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</si>
  <si>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</si>
  <si>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</si>
  <si>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</si>
  <si>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</si>
  <si>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</si>
  <si>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</si>
  <si>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</si>
  <si>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</si>
  <si>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</si>
  <si>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</si>
  <si>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</si>
  <si>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</si>
  <si>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</si>
  <si>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</si>
  <si>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</si>
  <si>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</si>
  <si>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</si>
  <si>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</si>
  <si>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</si>
  <si>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</si>
  <si>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</si>
  <si>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</si>
  <si>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</si>
  <si>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</si>
  <si>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</si>
  <si>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</si>
  <si>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</si>
  <si>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</si>
  <si>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</si>
  <si>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</si>
  <si>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</si>
  <si>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</si>
  <si>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</si>
  <si>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</si>
  <si>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</si>
  <si>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</si>
  <si>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</si>
  <si>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</si>
  <si>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</si>
  <si>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</si>
  <si>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</si>
  <si>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</si>
  <si>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</si>
  <si>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</si>
  <si>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</si>
  <si>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</si>
  <si>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</si>
  <si>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</si>
  <si>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</si>
  <si>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</si>
  <si>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</si>
  <si>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</si>
  <si>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</si>
  <si>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</si>
  <si>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</si>
  <si>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</si>
  <si>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</si>
  <si>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</si>
  <si>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</si>
  <si>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</si>
  <si>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</si>
  <si>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</si>
  <si>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</si>
  <si>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</si>
  <si>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</si>
  <si>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</si>
  <si>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</si>
  <si>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</si>
  <si>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</si>
  <si>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</si>
  <si>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</si>
  <si>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</si>
  <si>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</si>
  <si>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</si>
  <si>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</si>
  <si>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</si>
  <si>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</si>
  <si>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</si>
  <si>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</si>
  <si>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</si>
  <si>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</si>
  <si>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</si>
  <si>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</si>
  <si>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</si>
  <si>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</si>
  <si>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</si>
  <si>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</si>
  <si>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</si>
  <si>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</si>
  <si>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</si>
  <si>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</si>
  <si>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</si>
  <si>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</si>
  <si>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</si>
  <si>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</si>
  <si>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</si>
  <si>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</si>
  <si>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</si>
  <si>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</si>
  <si>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</si>
  <si>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</si>
  <si>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</si>
  <si>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</si>
  <si>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</si>
  <si>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</si>
  <si>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</si>
  <si>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</si>
  <si>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</si>
  <si>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</si>
  <si>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</si>
  <si>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</si>
  <si>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</si>
  <si>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</si>
  <si>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</si>
  <si>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</si>
  <si>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</si>
  <si>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</si>
  <si>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</si>
  <si>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</si>
  <si>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</si>
  <si>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</si>
  <si>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</si>
  <si>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</si>
  <si>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</si>
  <si>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</si>
  <si>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</si>
  <si>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</si>
  <si>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</si>
  <si>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</si>
  <si>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</si>
  <si>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</si>
  <si>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</si>
  <si>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</si>
  <si>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</si>
  <si>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</si>
  <si>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</si>
  <si>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</si>
  <si>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</si>
  <si>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</si>
  <si>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</si>
  <si>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</si>
  <si>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</si>
  <si>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</si>
  <si>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</si>
  <si>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</si>
  <si>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</si>
  <si>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</si>
  <si>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</si>
  <si>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</si>
  <si>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</si>
  <si>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</si>
  <si>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</si>
  <si>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</si>
  <si>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</si>
  <si>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</si>
  <si>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</si>
  <si>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</si>
  <si>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</si>
  <si>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</si>
  <si>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</si>
  <si>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</si>
  <si>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</si>
  <si>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</si>
  <si>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</si>
  <si>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</si>
  <si>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</si>
  <si>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</si>
  <si>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</si>
  <si>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</si>
  <si>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</si>
  <si>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</si>
  <si>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</si>
  <si>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</si>
  <si>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</si>
  <si>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</si>
  <si>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</si>
  <si>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</si>
  <si>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</si>
  <si>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</si>
  <si>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</si>
  <si>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</si>
  <si>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</si>
  <si>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</si>
  <si>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</si>
  <si>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</si>
  <si>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</si>
  <si>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</si>
  <si>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</si>
  <si>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</si>
  <si>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</si>
  <si>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</si>
  <si>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</si>
  <si>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</si>
  <si>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</si>
  <si>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</si>
  <si>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</si>
  <si>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</si>
  <si>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</si>
  <si>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</si>
  <si>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</si>
  <si>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</si>
  <si>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</si>
  <si>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</si>
  <si>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</si>
  <si>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</si>
  <si>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</si>
  <si>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</si>
  <si>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</si>
  <si>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</si>
  <si>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</si>
  <si>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</si>
  <si>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</si>
  <si>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</si>
  <si>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</si>
  <si>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</si>
  <si>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</si>
  <si>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</si>
  <si>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</si>
  <si>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</si>
  <si>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</si>
  <si>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</si>
  <si>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</si>
  <si>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</si>
  <si>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</si>
  <si>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</si>
  <si>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</si>
  <si>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</si>
  <si>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</si>
  <si>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</si>
  <si>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</si>
  <si>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</si>
  <si>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</si>
  <si>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</si>
  <si>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</si>
  <si>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</si>
  <si>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</si>
  <si>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</si>
  <si>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</si>
  <si>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</si>
  <si>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</si>
  <si>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</si>
  <si>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</si>
  <si>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</si>
  <si>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</si>
  <si>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</si>
  <si>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</si>
  <si>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</si>
  <si>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</si>
  <si>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</si>
  <si>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</si>
  <si>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</si>
  <si>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</si>
  <si>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</si>
  <si>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</si>
  <si>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</si>
  <si>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</si>
  <si>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</si>
  <si>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</si>
  <si>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</si>
  <si>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</si>
  <si>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</si>
  <si>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</si>
  <si>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</si>
  <si>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</si>
  <si>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</si>
  <si>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</si>
  <si>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</si>
  <si>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</si>
  <si>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</si>
  <si>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</si>
  <si>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</si>
  <si>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</si>
  <si>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</si>
  <si>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</si>
  <si>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</si>
  <si>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</si>
  <si>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</si>
  <si>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</si>
  <si>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</si>
  <si>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</si>
  <si>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</si>
  <si>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</si>
  <si>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</si>
  <si>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</si>
  <si>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</si>
  <si>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</si>
  <si>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</si>
  <si>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</si>
  <si>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</si>
  <si>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</si>
  <si>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</si>
  <si>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</si>
  <si>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</si>
  <si>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</si>
  <si>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</si>
  <si>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</si>
  <si>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</si>
  <si>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</si>
  <si>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</si>
  <si>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</si>
  <si>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</si>
  <si>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</si>
  <si>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</si>
  <si>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</si>
  <si>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</si>
  <si>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</si>
  <si>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</si>
  <si>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</si>
  <si>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</si>
  <si>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</si>
  <si>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</si>
  <si>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</si>
  <si>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</si>
  <si>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</si>
  <si>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</si>
  <si>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</si>
  <si>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</si>
  <si>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</si>
  <si>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</si>
  <si>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</si>
  <si>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</si>
  <si>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</si>
  <si>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</si>
  <si>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</si>
  <si>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</si>
  <si>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</si>
  <si>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</si>
  <si>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</si>
  <si>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</si>
  <si>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</si>
  <si>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</si>
  <si>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</si>
  <si>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</si>
  <si>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</si>
  <si>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</si>
  <si>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</si>
  <si>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</si>
  <si>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</si>
  <si>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</si>
  <si>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</si>
  <si>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</si>
  <si>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</si>
  <si>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</si>
  <si>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</si>
  <si>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</si>
  <si>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</si>
  <si>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</si>
  <si>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</si>
  <si>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</si>
  <si>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</si>
  <si>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</si>
  <si>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</si>
  <si>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</si>
  <si>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</si>
  <si>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</si>
  <si>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</si>
  <si>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</si>
  <si>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</si>
  <si>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</si>
  <si>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</si>
  <si>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</si>
  <si>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</si>
  <si>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</si>
  <si>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</si>
  <si>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</si>
  <si>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</si>
  <si>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</si>
  <si>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</si>
  <si>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</si>
  <si>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</si>
  <si>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</si>
  <si>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</si>
  <si>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</si>
  <si>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</si>
  <si>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</si>
  <si>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</si>
  <si>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</si>
  <si>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</si>
  <si>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</si>
  <si>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</si>
  <si>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</si>
  <si>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</si>
  <si>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</si>
  <si>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</si>
  <si>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</si>
  <si>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</si>
  <si>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</si>
  <si>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</si>
  <si>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</si>
  <si>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</si>
  <si>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</si>
  <si>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</si>
  <si>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</si>
  <si>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</si>
  <si>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</si>
  <si>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</si>
  <si>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</si>
  <si>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</si>
  <si>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</si>
  <si>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</si>
  <si>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</si>
  <si>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</si>
  <si>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</si>
  <si>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</si>
  <si>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</si>
  <si>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</si>
  <si>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</si>
  <si>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</si>
  <si>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</si>
  <si>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</si>
  <si>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</si>
  <si>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</si>
  <si>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</si>
  <si>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</si>
  <si>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</si>
  <si>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</si>
  <si>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</si>
  <si>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</si>
  <si>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</si>
  <si>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</si>
  <si>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</si>
  <si>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</si>
  <si>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</si>
  <si>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</si>
  <si>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</si>
  <si>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</si>
  <si>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</si>
  <si>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</si>
  <si>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</si>
  <si>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</si>
  <si>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</si>
  <si>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</si>
  <si>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</si>
  <si>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</si>
  <si>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</si>
  <si>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</si>
  <si>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</si>
  <si>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</si>
  <si>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</si>
  <si>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</si>
  <si>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</si>
  <si>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</si>
  <si>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</si>
  <si>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</si>
  <si>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</si>
  <si>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</si>
  <si>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</si>
  <si>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</si>
  <si>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</si>
  <si>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</si>
  <si>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</si>
  <si>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</si>
  <si>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</si>
  <si>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</si>
  <si>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</si>
  <si>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</si>
  <si>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</si>
  <si>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</si>
  <si>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</si>
  <si>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</si>
  <si>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</si>
  <si>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</si>
  <si>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</si>
  <si>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</si>
  <si>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</si>
  <si>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</si>
  <si>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</si>
  <si>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</si>
  <si>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</si>
  <si>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</si>
  <si>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</si>
  <si>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</si>
  <si>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</si>
  <si>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</si>
  <si>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</si>
  <si>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</si>
  <si>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</si>
  <si>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</si>
  <si>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</si>
  <si>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</si>
  <si>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</si>
  <si>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</si>
  <si>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</si>
  <si>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</si>
  <si>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</si>
  <si>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</si>
  <si>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</si>
  <si>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</si>
  <si>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</si>
  <si>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</si>
  <si>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</si>
  <si>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</si>
  <si>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</si>
  <si>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</si>
  <si>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</si>
  <si>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</si>
  <si>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</si>
  <si>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</si>
  <si>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</si>
  <si>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</si>
  <si>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</si>
  <si>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</si>
  <si>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</si>
  <si>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</si>
  <si>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</si>
  <si>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</si>
  <si>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</si>
  <si>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</si>
  <si>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</si>
  <si>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</si>
  <si>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</si>
  <si>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</si>
  <si>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</si>
  <si>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</si>
  <si>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</si>
  <si>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</si>
  <si>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</si>
  <si>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</si>
  <si>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</si>
  <si>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</si>
  <si>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</si>
  <si>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</si>
  <si>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</si>
  <si>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</si>
  <si>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</si>
  <si>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</si>
  <si>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</si>
  <si>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</si>
  <si>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</si>
  <si>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</si>
  <si>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</si>
  <si>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</si>
  <si>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</si>
  <si>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</si>
  <si>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</si>
  <si>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</si>
  <si>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</si>
  <si>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</si>
  <si>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</si>
  <si>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</si>
  <si>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</si>
  <si>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</si>
  <si>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</si>
  <si>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</si>
  <si>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</si>
  <si>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</si>
  <si>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</si>
  <si>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</si>
  <si>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</si>
  <si>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</si>
  <si>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</si>
  <si>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</si>
  <si>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</si>
  <si>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</si>
  <si>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</si>
  <si>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</si>
  <si>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</si>
  <si>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</si>
  <si>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</si>
  <si>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</si>
  <si>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</si>
  <si>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</si>
  <si>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</si>
  <si>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</si>
  <si>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</si>
  <si>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</si>
  <si>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</si>
  <si>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</si>
  <si>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</si>
  <si>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</si>
  <si>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</si>
  <si>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</si>
  <si>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</si>
  <si>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</si>
  <si>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</si>
  <si>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</si>
  <si>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</si>
  <si>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</si>
  <si>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</si>
  <si>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</si>
  <si>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</si>
  <si>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</si>
  <si>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</si>
  <si>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</si>
  <si>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</si>
  <si>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</si>
  <si>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</si>
  <si>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</si>
  <si>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</si>
  <si>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</si>
  <si>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</si>
  <si>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</si>
  <si>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</si>
  <si>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</si>
  <si>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</si>
  <si>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</si>
  <si>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</si>
  <si>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</si>
  <si>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</si>
  <si>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</si>
  <si>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</si>
  <si>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</si>
  <si>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</si>
  <si>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</si>
  <si>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</si>
  <si>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</si>
  <si>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</si>
  <si>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</si>
  <si>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</si>
  <si>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</si>
  <si>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</si>
  <si>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</si>
  <si>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</si>
  <si>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</si>
  <si>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</si>
  <si>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</si>
  <si>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</si>
  <si>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</si>
  <si>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</si>
  <si>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</si>
  <si>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</si>
  <si>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</si>
  <si>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</si>
  <si>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</si>
  <si>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</si>
  <si>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</si>
  <si>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</si>
  <si>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</si>
  <si>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</si>
  <si>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</si>
  <si>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</si>
  <si>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</si>
  <si>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</si>
  <si>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</si>
  <si>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</si>
  <si>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</si>
  <si>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</si>
  <si>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</si>
  <si>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</si>
  <si>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</si>
  <si>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</si>
  <si>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</si>
  <si>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</si>
  <si>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</si>
  <si>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</si>
  <si>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</si>
  <si>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</si>
  <si>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</si>
  <si>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</si>
  <si>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</si>
  <si>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</si>
  <si>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</si>
  <si>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</si>
  <si>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</si>
  <si>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</si>
  <si>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</si>
  <si>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</si>
  <si>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</si>
  <si>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</si>
  <si>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</si>
  <si>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</si>
  <si>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</si>
  <si>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</si>
  <si>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</si>
  <si>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</si>
  <si>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</si>
  <si>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</si>
  <si>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</si>
  <si>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</si>
  <si>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</si>
  <si>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</si>
  <si>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</si>
  <si>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</si>
  <si>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</si>
  <si>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</si>
  <si>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</si>
  <si>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</si>
  <si>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</si>
  <si>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</si>
  <si>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</si>
  <si>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</si>
  <si>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</si>
  <si>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</si>
  <si>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</si>
  <si>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</si>
  <si>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</si>
  <si>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</si>
  <si>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</si>
  <si>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</si>
  <si>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</si>
  <si>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</si>
  <si>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</si>
  <si>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</si>
  <si>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</si>
  <si>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</si>
  <si>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</si>
  <si>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</si>
  <si>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</si>
  <si>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</si>
  <si>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</si>
  <si>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</si>
  <si>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</si>
  <si>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</si>
  <si>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</si>
  <si>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</si>
  <si>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</si>
  <si>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</si>
  <si>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</si>
  <si>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</si>
  <si>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</si>
  <si>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</si>
  <si>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</si>
  <si>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</si>
  <si>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</si>
  <si>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</si>
  <si>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</si>
  <si>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</si>
  <si>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</si>
  <si>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</si>
  <si>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</si>
  <si>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</si>
  <si>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</si>
  <si>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</si>
  <si>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</si>
  <si>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</si>
  <si>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</si>
  <si>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</si>
  <si>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</si>
  <si>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</si>
  <si>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</si>
  <si>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</si>
  <si>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</si>
  <si>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</si>
  <si>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</si>
  <si>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</si>
  <si>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</si>
  <si>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</si>
  <si>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</si>
  <si>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</si>
  <si>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</si>
  <si>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</si>
  <si>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</si>
  <si>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</si>
  <si>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</si>
  <si>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</si>
  <si>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</si>
  <si>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</si>
  <si>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</si>
  <si>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</si>
  <si>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</si>
  <si>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</si>
  <si>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</si>
  <si>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</si>
  <si>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</si>
  <si>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</si>
  <si>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</si>
  <si>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</si>
  <si>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</si>
  <si>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</si>
  <si>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</si>
  <si>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</si>
  <si>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</si>
  <si>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</si>
  <si>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</si>
  <si>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</si>
  <si>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</si>
  <si>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</si>
  <si>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</si>
  <si>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</si>
  <si>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</si>
  <si>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</si>
  <si>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</si>
  <si>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</si>
  <si>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</si>
  <si>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</si>
  <si>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</si>
  <si>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</si>
  <si>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</si>
  <si>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</si>
  <si>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</si>
  <si>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</si>
  <si>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</si>
  <si>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</si>
  <si>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</si>
  <si>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</si>
  <si>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</si>
  <si>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</si>
  <si>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</si>
  <si>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</si>
  <si>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</si>
  <si>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</si>
  <si>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</si>
  <si>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</si>
  <si>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</si>
  <si>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</si>
  <si>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</si>
  <si>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</si>
  <si>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</si>
  <si>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</si>
  <si>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</si>
  <si>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</si>
  <si>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</si>
  <si>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</si>
  <si>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</si>
  <si>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</si>
  <si>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</si>
  <si>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</si>
  <si>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</si>
  <si>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</si>
  <si>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</si>
  <si>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</si>
  <si>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</si>
  <si>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</si>
  <si>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</si>
  <si>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</si>
  <si>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</si>
  <si>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</si>
  <si>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</si>
  <si>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</si>
  <si>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</si>
  <si>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</si>
  <si>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</si>
  <si>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</si>
  <si>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</si>
  <si>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</si>
  <si>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</si>
  <si>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</si>
  <si>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</si>
  <si>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</si>
  <si>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</si>
  <si>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</si>
  <si>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</si>
  <si>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</si>
  <si>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</si>
  <si>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</si>
  <si>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</si>
  <si>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</si>
  <si>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</si>
  <si>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</si>
  <si>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</si>
  <si>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</si>
  <si>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</si>
  <si>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</si>
  <si>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</si>
  <si>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</si>
  <si>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</si>
  <si>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</si>
  <si>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</si>
  <si>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</si>
  <si>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</si>
  <si>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</si>
  <si>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</si>
  <si>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</si>
  <si>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</si>
  <si>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</si>
  <si>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</si>
  <si>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</si>
  <si>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</si>
  <si>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</si>
  <si>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</si>
  <si>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</si>
  <si>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</si>
  <si>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</si>
  <si>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</si>
  <si>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</si>
  <si>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</si>
  <si>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</si>
  <si>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</si>
  <si>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</si>
  <si>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</si>
  <si>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</si>
  <si>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</si>
  <si>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</si>
  <si>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</si>
  <si>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</si>
  <si>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</si>
  <si>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</si>
  <si>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</si>
  <si>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</si>
  <si>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</si>
  <si>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</si>
  <si>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</si>
  <si>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</si>
  <si>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</si>
  <si>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</si>
  <si>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</si>
  <si>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</si>
  <si>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</si>
  <si>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</si>
  <si>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</si>
  <si>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</si>
  <si>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</si>
  <si>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</si>
  <si>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</si>
  <si>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</si>
  <si>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</si>
  <si>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</si>
  <si>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</si>
  <si>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</si>
  <si>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</si>
  <si>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</si>
  <si>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</si>
  <si>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</si>
  <si>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</si>
  <si>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</si>
  <si>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</si>
  <si>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</si>
  <si>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</si>
  <si>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</si>
  <si>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</si>
  <si>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</si>
  <si>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</si>
  <si>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</si>
  <si>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</si>
  <si>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</si>
  <si>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</si>
  <si>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</si>
  <si>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</si>
  <si>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</si>
  <si>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</si>
  <si>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</si>
  <si>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</si>
  <si>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</si>
  <si>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</si>
  <si>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</si>
  <si>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</si>
  <si>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</si>
  <si>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</si>
  <si>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</si>
  <si>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</si>
  <si>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</si>
  <si>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</si>
  <si>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</si>
  <si>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</si>
  <si>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</si>
  <si>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</si>
  <si>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</si>
  <si>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</si>
  <si>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</si>
  <si>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</si>
  <si>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</si>
  <si>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</si>
  <si>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</si>
  <si>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</si>
  <si>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</si>
  <si>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</si>
  <si>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</si>
  <si>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</si>
  <si>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DAVID LAWSON</t>
  </si>
  <si>
    <t>5400 WEST ELM STREET, SUITE 203</t>
  </si>
  <si>
    <t>X</t>
  </si>
  <si>
    <t>MCHENRY</t>
  </si>
  <si>
    <t>4716 W CRYSTAL LAKE ROAD</t>
  </si>
  <si>
    <t>LAWSONDAVE@DIST156.ORG</t>
  </si>
  <si>
    <t>EDER, CASELLA &amp; CO.</t>
  </si>
  <si>
    <t>IL</t>
  </si>
  <si>
    <t>815-344-1300</t>
  </si>
  <si>
    <t>815-344-1320</t>
  </si>
  <si>
    <t>CPAS@EDERCASELLA.COM</t>
  </si>
  <si>
    <t>815-385-7900</t>
  </si>
  <si>
    <t>815-344-7154</t>
  </si>
  <si>
    <t>U.S. Department of Agriculture Passed</t>
  </si>
  <si>
    <t xml:space="preserve">  Through Illinois State Board of Education: </t>
  </si>
  <si>
    <t xml:space="preserve">     Food Donations Program</t>
  </si>
  <si>
    <t>N/A</t>
  </si>
  <si>
    <t xml:space="preserve">     National School Lunch Program** (M)</t>
  </si>
  <si>
    <t>17-4210-00</t>
  </si>
  <si>
    <t xml:space="preserve">     School Breakfast Program** (M)</t>
  </si>
  <si>
    <t>17-4220-00</t>
  </si>
  <si>
    <t>18-4299-00</t>
  </si>
  <si>
    <t>18-4210-00</t>
  </si>
  <si>
    <t>18-4220-00</t>
  </si>
  <si>
    <t>U.S. Department of Agriculture/ Department of</t>
  </si>
  <si>
    <t xml:space="preserve">  Defense Passed Through </t>
  </si>
  <si>
    <t xml:space="preserve">  Illinois State Board of Education:</t>
  </si>
  <si>
    <t xml:space="preserve">     Subtotal CFDA "10"</t>
  </si>
  <si>
    <t>U.S. Department of Education Passed Through</t>
  </si>
  <si>
    <t>17-4300-00</t>
  </si>
  <si>
    <t xml:space="preserve">     Title II - Teacher Quality*</t>
  </si>
  <si>
    <t>17-4932-00</t>
  </si>
  <si>
    <t>18-4300-00</t>
  </si>
  <si>
    <t>17-4625-00</t>
  </si>
  <si>
    <t>18-4932-00</t>
  </si>
  <si>
    <t>18-4625-00</t>
  </si>
  <si>
    <t xml:space="preserve"> Special Education District of McHenry County:</t>
  </si>
  <si>
    <t>17-4620-00</t>
  </si>
  <si>
    <t>18-4620-00</t>
  </si>
  <si>
    <t>84.424A</t>
  </si>
  <si>
    <t>18-4400-00</t>
  </si>
  <si>
    <t xml:space="preserve">U.S. Department of Education Passed Through </t>
  </si>
  <si>
    <t xml:space="preserve">  McHenry County Cooperative for Employment</t>
  </si>
  <si>
    <t xml:space="preserve">  Education:</t>
  </si>
  <si>
    <t xml:space="preserve">     V.E. - Perkins - Title IIC</t>
  </si>
  <si>
    <t xml:space="preserve">     Subtotal CFDA "84" </t>
  </si>
  <si>
    <t xml:space="preserve">U.S. Department of Health &amp; Human Services </t>
  </si>
  <si>
    <t xml:space="preserve">   Passed Through Illinois Department of </t>
  </si>
  <si>
    <t xml:space="preserve">   Healthcare &amp; Family Services:</t>
  </si>
  <si>
    <t xml:space="preserve">     Medicaid Matching Funds - Administrative Outreach</t>
  </si>
  <si>
    <t>17-4991-00</t>
  </si>
  <si>
    <t>18-4991-00</t>
  </si>
  <si>
    <t xml:space="preserve">     Subtotal CFDA "93"</t>
  </si>
  <si>
    <t>Total Federal Assistance</t>
  </si>
  <si>
    <t xml:space="preserve">     Title IVA - Student Support &amp; Academic  
     Enrichment*</t>
  </si>
  <si>
    <t>* Program Ends 8/31</t>
  </si>
  <si>
    <t>Medicaid - Admin Outreach - Admin Assessment FY2017</t>
  </si>
  <si>
    <t>Medicaid - Admin Outreach - Admin Assessment FY2018</t>
  </si>
  <si>
    <t>Rounding</t>
  </si>
  <si>
    <t xml:space="preserve">     Title I - Low Income* </t>
  </si>
  <si>
    <t xml:space="preserve">     IDEA - Room &amp; Board* (M)</t>
  </si>
  <si>
    <t xml:space="preserve">     Title I - Low Income*</t>
  </si>
  <si>
    <t xml:space="preserve">     Special Education - Grants to States (M)</t>
  </si>
  <si>
    <t>** Program Ends 9/30</t>
  </si>
  <si>
    <t>18-4770-00</t>
  </si>
  <si>
    <t>CHERYDEN JUERGENSEN</t>
  </si>
  <si>
    <t>066-005142</t>
  </si>
  <si>
    <t>2012 G.O. Refunding Bonds</t>
  </si>
  <si>
    <t>2013A G.O. Refunding Bonds</t>
  </si>
  <si>
    <t>Page 10, Line 74 - Other Food Service</t>
  </si>
  <si>
    <t>Food Service Catering</t>
  </si>
  <si>
    <t>Page 10, Line 78 - Admissions - Other</t>
  </si>
  <si>
    <t>Swim Lessons</t>
  </si>
  <si>
    <t>Page 10, Line 81 - Other District/School Activity Revenue</t>
  </si>
  <si>
    <t>Ed Fund, Page 11, Line 106 - Other Local Fees</t>
  </si>
  <si>
    <t>Capital Projects Fund, Page 11, Line 106 - Other Local Fees</t>
  </si>
  <si>
    <t>Developer Donations</t>
  </si>
  <si>
    <t>O&amp;M Fund, Page 11, Line 107 - Other Local Revenues</t>
  </si>
  <si>
    <t>Energy Savings Revenue</t>
  </si>
  <si>
    <t>Tort Fund, Page 11, Line 107 - Other Local Revenues</t>
  </si>
  <si>
    <t>CLIC Insurance Refund</t>
  </si>
  <si>
    <t>Page 11, Line 120 - Other Unrestricted Grants-In-Aid from State Sources</t>
  </si>
  <si>
    <t>STEP Grant</t>
  </si>
  <si>
    <t>Page 12, Line 171 -  Other Restricted Revenue from State Sources</t>
  </si>
  <si>
    <t>School Library Grant</t>
  </si>
  <si>
    <t>Ed Fund, Page 15, Line 41 - Other Support Services - Pupils</t>
  </si>
  <si>
    <t>Salaries/Classified</t>
  </si>
  <si>
    <t xml:space="preserve">Ed Fund, Page 16, Line 73 - Other Support Services </t>
  </si>
  <si>
    <t>Gifts for Homeless Students</t>
  </si>
  <si>
    <t>Bond Fees</t>
  </si>
  <si>
    <t>Matching IMRF/FICA</t>
  </si>
  <si>
    <t>x</t>
  </si>
  <si>
    <r>
      <t xml:space="preserve">Of the federal expenditures presented in the schedule, </t>
    </r>
    <r>
      <rPr>
        <b/>
        <sz val="9"/>
        <rFont val="Calibri"/>
        <family val="2"/>
        <scheme val="minor"/>
      </rPr>
      <t>McHenry Community High School District No. 156</t>
    </r>
    <r>
      <rPr>
        <sz val="9"/>
        <rFont val="Calibri"/>
        <family val="2"/>
        <scheme val="minor"/>
      </rPr>
      <t xml:space="preserve"> provided federal awards to subrecipients as follows:</t>
    </r>
  </si>
  <si>
    <r>
      <t xml:space="preserve">The accompanying Schedule of Expenditures of Federal Awards includes the federal grant activity of </t>
    </r>
    <r>
      <rPr>
        <b/>
        <sz val="9"/>
        <rFont val="Calibri"/>
        <family val="2"/>
        <scheme val="minor"/>
      </rPr>
      <t xml:space="preserve">McHenry Community High School District No. 156 </t>
    </r>
    <r>
      <rPr>
        <sz val="9"/>
        <rFont val="Calibri"/>
        <family val="2"/>
        <scheme val="minor"/>
      </rPr>
      <t xml:space="preserve">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</si>
  <si>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ADVERSE</t>
  </si>
  <si>
    <t>UNMODIFIED</t>
  </si>
  <si>
    <t>10.553, 10.555</t>
  </si>
  <si>
    <t>CHILD NUTRITION CLUSTER</t>
  </si>
  <si>
    <t>SPECIAL ED CLUSTER</t>
  </si>
  <si>
    <t>IDEA Flow-Through</t>
  </si>
  <si>
    <t>Special Education District of McHenry County</t>
  </si>
  <si>
    <t>Department of Education</t>
  </si>
  <si>
    <t>Expenditures submitted for reimbursement to the grant should be correctly charged as to account, amount, and period.</t>
  </si>
  <si>
    <t>Not able to be calculated.</t>
  </si>
  <si>
    <t>Total amount of expenditures posted to the IDEA general ledger accounts was lower than the total amount submitted for reimbursement.</t>
  </si>
  <si>
    <t xml:space="preserve">The District submitted for reimbursement expenditures in the amount of $398,301, while the general ledger balance was only $325,570. </t>
  </si>
  <si>
    <t xml:space="preserve">The District should verify that the allocation of expenditures to the grant is done correctly, and that the total amount booked to the grant is equal to, or higher than the amount submitted for reimbursement. </t>
  </si>
  <si>
    <t xml:space="preserve">The District will verify that the allocation of expenditures to the grant is done correctly, and that the total amount booked to the grant is equal to, or higher than the amount submitted for reimbursement. </t>
  </si>
  <si>
    <t>IDEA grant expenditures can not be accurately traced to the IDEA general ledger accounts.</t>
  </si>
  <si>
    <t>The District implemented a new accounting software during the fiscal year, and the allocation of expenses to the IDEA grant was not done correctly in the new software.</t>
  </si>
  <si>
    <t>NONE</t>
  </si>
  <si>
    <t>GCS Services Group</t>
  </si>
  <si>
    <t>Northern Illinois Health Insurance Pool, Collective Liability Insurance Cooperative</t>
  </si>
  <si>
    <t>Franczek Radelet Attorneys and Counselors</t>
  </si>
  <si>
    <t>McHenry School District #15</t>
  </si>
  <si>
    <t>McHenry County Cooperative for Employment Education</t>
  </si>
  <si>
    <t>Ed-Instruction-Other-Outside Services</t>
  </si>
  <si>
    <t>10-1000-300</t>
  </si>
  <si>
    <t>PMA</t>
  </si>
  <si>
    <t>O&amp;M-Support Services-Outside Services</t>
  </si>
  <si>
    <t>20-2000-300</t>
  </si>
  <si>
    <t>Johnson Controls</t>
  </si>
  <si>
    <t>Debt Service Fund, Page 18, Line 171 - Debt Services - Other</t>
  </si>
  <si>
    <t>IMRF Fund, Page 19, Line 237, Other Support Services - Pupils</t>
  </si>
  <si>
    <t>Special Events Revenue</t>
  </si>
  <si>
    <t xml:space="preserve">Printshop Revenue, Library Fees, Calculator Rental Fees and </t>
  </si>
  <si>
    <t xml:space="preserve">Anti-trust settlement, Lost Book Fees, Enernoc Earnings, </t>
  </si>
  <si>
    <t>School IDs</t>
  </si>
  <si>
    <r>
      <t>The following amounts were expended in the form of non-cash assistance by</t>
    </r>
    <r>
      <rPr>
        <b/>
        <sz val="9"/>
        <rFont val="Calibri"/>
        <family val="2"/>
        <scheme val="minor"/>
      </rPr>
      <t xml:space="preserve"> McHenry Community High School District No. 156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</si>
  <si>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McHenry CHSD 156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</si>
</sst>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ont>
    <font>
      <u/>
      <sz val="8"/>
      <color indexed="12"/>
      <name val="Arial"/>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s>
  <cellStyleXfs count="3410">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181" fontId="163" fillId="0" borderId="0" applyFont="0" applyFill="0" applyBorder="0" applyAlignment="0" applyProtection="0"/>
    <xf numFmtId="182" fontId="163" fillId="0" borderId="0" applyFont="0" applyFill="0" applyBorder="0" applyAlignment="0" applyProtection="0"/>
    <xf numFmtId="43" fontId="12" fillId="0" borderId="0" applyAlignment="0"/>
    <xf numFmtId="0" fontId="5" fillId="0" borderId="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183" fontId="163" fillId="0" borderId="0" applyFont="0" applyFill="0" applyBorder="0" applyAlignment="0" applyProtection="0"/>
    <xf numFmtId="184" fontId="163" fillId="0" borderId="0" applyFont="0" applyFill="0" applyBorder="0" applyAlignment="0" applyProtection="0"/>
    <xf numFmtId="43" fontId="140" fillId="0" borderId="0" applyAlignment="0"/>
    <xf numFmtId="185" fontId="163" fillId="0" borderId="0" applyFont="0" applyFill="0" applyBorder="0" applyAlignment="0" applyProtection="0">
      <alignment horizontal="right"/>
    </xf>
    <xf numFmtId="186" fontId="163" fillId="0" borderId="0" applyFont="0" applyFill="0" applyBorder="0" applyAlignment="0" applyProtection="0"/>
    <xf numFmtId="187" fontId="163" fillId="0" borderId="0" applyFont="0" applyFill="0" applyBorder="0" applyAlignment="0" applyProtection="0">
      <alignment horizontal="right"/>
    </xf>
    <xf numFmtId="188" fontId="163" fillId="0" borderId="0" applyFont="0" applyFill="0" applyBorder="0" applyAlignment="0" applyProtection="0">
      <alignment horizontal="right"/>
    </xf>
    <xf numFmtId="189" fontId="163" fillId="0" borderId="0" applyFont="0" applyFill="0" applyBorder="0" applyAlignment="0" applyProtection="0">
      <alignment horizontal="right"/>
    </xf>
    <xf numFmtId="190" fontId="163" fillId="0" borderId="0" applyFont="0" applyFill="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56" fillId="29"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44" fillId="31" borderId="0" applyNumberFormat="0" applyBorder="0" applyAlignment="0" applyProtection="0"/>
    <xf numFmtId="0" fontId="144" fillId="32" borderId="0" applyNumberFormat="0" applyBorder="0" applyAlignment="0" applyProtection="0"/>
    <xf numFmtId="0" fontId="156" fillId="33"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44" fillId="31" borderId="0" applyNumberFormat="0" applyBorder="0" applyAlignment="0" applyProtection="0"/>
    <xf numFmtId="0" fontId="144" fillId="35" borderId="0" applyNumberFormat="0" applyBorder="0" applyAlignment="0" applyProtection="0"/>
    <xf numFmtId="0" fontId="156" fillId="32"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44" fillId="28" borderId="0" applyNumberFormat="0" applyBorder="0" applyAlignment="0" applyProtection="0"/>
    <xf numFmtId="0" fontId="144" fillId="32" borderId="0" applyNumberFormat="0" applyBorder="0" applyAlignment="0" applyProtection="0"/>
    <xf numFmtId="0" fontId="156" fillId="32"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44" fillId="36" borderId="0" applyNumberFormat="0" applyBorder="0" applyAlignment="0" applyProtection="0"/>
    <xf numFmtId="0" fontId="144" fillId="28" borderId="0" applyNumberFormat="0" applyBorder="0" applyAlignment="0" applyProtection="0"/>
    <xf numFmtId="0" fontId="156" fillId="29"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44" fillId="31" borderId="0" applyNumberFormat="0" applyBorder="0" applyAlignment="0" applyProtection="0"/>
    <xf numFmtId="0" fontId="144" fillId="38" borderId="0" applyNumberFormat="0" applyBorder="0" applyAlignment="0" applyProtection="0"/>
    <xf numFmtId="0" fontId="156" fillId="38"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63" fillId="0" borderId="166" applyNumberFormat="0" applyFill="0" applyAlignment="0" applyProtection="0"/>
    <xf numFmtId="191" fontId="164" fillId="0" borderId="166" applyNumberFormat="0" applyFill="0" applyAlignment="0" applyProtection="0">
      <alignment horizontal="center"/>
    </xf>
    <xf numFmtId="191" fontId="164" fillId="0" borderId="78" applyFill="0" applyAlignment="0" applyProtection="0">
      <alignment horizontal="center"/>
    </xf>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3" fillId="33" borderId="167" applyNumberFormat="0" applyAlignment="0" applyProtection="0"/>
    <xf numFmtId="0" fontId="153" fillId="33" borderId="167" applyNumberFormat="0" applyAlignment="0" applyProtection="0"/>
    <xf numFmtId="0" fontId="153" fillId="33" borderId="167" applyNumberFormat="0" applyAlignment="0" applyProtection="0"/>
    <xf numFmtId="0" fontId="153" fillId="33" borderId="167" applyNumberFormat="0" applyAlignment="0" applyProtection="0"/>
    <xf numFmtId="0" fontId="153" fillId="33" borderId="167" applyNumberFormat="0" applyAlignment="0" applyProtection="0"/>
    <xf numFmtId="0" fontId="153" fillId="33" borderId="167" applyNumberFormat="0" applyAlignment="0" applyProtection="0"/>
    <xf numFmtId="0" fontId="165" fillId="0" borderId="0" applyProtection="0"/>
    <xf numFmtId="191" fontId="164" fillId="0" borderId="0" applyFill="0" applyBorder="0" applyProtection="0">
      <alignment horizont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0"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40"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3" fontId="140"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40" fillId="0" borderId="0" applyFont="0" applyFill="0" applyBorder="0" applyAlignment="0" applyProtection="0"/>
    <xf numFmtId="44" fontId="12" fillId="0" borderId="0" applyFont="0" applyFill="0" applyBorder="0" applyAlignment="0" applyProtection="0"/>
    <xf numFmtId="5" fontId="140" fillId="0" borderId="0" applyFont="0" applyFill="0" applyBorder="0" applyAlignment="0" applyProtection="0"/>
    <xf numFmtId="0" fontId="142" fillId="0" borderId="0" applyProtection="0"/>
    <xf numFmtId="192" fontId="163" fillId="0" borderId="0" applyFont="0" applyFill="0" applyBorder="0" applyAlignment="0" applyProtection="0"/>
    <xf numFmtId="191" fontId="164" fillId="0" borderId="168" applyNumberFormat="0" applyFill="0" applyAlignment="0" applyProtection="0"/>
    <xf numFmtId="0" fontId="163" fillId="0" borderId="168" applyNumberFormat="0" applyFill="0" applyAlignment="0" applyProtection="0"/>
    <xf numFmtId="0" fontId="155" fillId="42" borderId="0" applyNumberFormat="0" applyBorder="0" applyAlignment="0" applyProtection="0"/>
    <xf numFmtId="0" fontId="155" fillId="43" borderId="0" applyNumberFormat="0" applyBorder="0" applyAlignment="0" applyProtection="0"/>
    <xf numFmtId="0" fontId="155" fillId="44" borderId="0" applyNumberFormat="0" applyBorder="0" applyAlignment="0" applyProtection="0"/>
    <xf numFmtId="0" fontId="166" fillId="0" borderId="0" applyProtection="0"/>
    <xf numFmtId="0" fontId="13" fillId="0" borderId="0" applyProtection="0"/>
    <xf numFmtId="0" fontId="167" fillId="0" borderId="0" applyProtection="0"/>
    <xf numFmtId="0" fontId="168" fillId="0" borderId="0" applyProtection="0"/>
    <xf numFmtId="0" fontId="169" fillId="0" borderId="0" applyProtection="0"/>
    <xf numFmtId="0" fontId="170" fillId="0" borderId="0" applyProtection="0"/>
    <xf numFmtId="0" fontId="171" fillId="0" borderId="0" applyProtection="0"/>
    <xf numFmtId="2" fontId="142" fillId="0" borderId="0" applyProtection="0"/>
    <xf numFmtId="0" fontId="149" fillId="35" borderId="0" applyNumberFormat="0" applyBorder="0" applyAlignment="0" applyProtection="0"/>
    <xf numFmtId="0" fontId="149" fillId="35" borderId="0" applyNumberFormat="0" applyBorder="0" applyAlignment="0" applyProtection="0"/>
    <xf numFmtId="0" fontId="149" fillId="35" borderId="0" applyNumberFormat="0" applyBorder="0" applyAlignment="0" applyProtection="0"/>
    <xf numFmtId="0" fontId="149" fillId="35" borderId="0" applyNumberFormat="0" applyBorder="0" applyAlignment="0" applyProtection="0"/>
    <xf numFmtId="0" fontId="149" fillId="35" borderId="0" applyNumberFormat="0" applyBorder="0" applyAlignment="0" applyProtection="0"/>
    <xf numFmtId="0" fontId="149" fillId="35" borderId="0" applyNumberFormat="0" applyBorder="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8" fillId="0" borderId="171" applyNumberFormat="0" applyFill="0" applyAlignment="0" applyProtection="0"/>
    <xf numFmtId="0" fontId="148" fillId="0" borderId="171" applyNumberFormat="0" applyFill="0" applyAlignment="0" applyProtection="0"/>
    <xf numFmtId="0" fontId="148" fillId="0" borderId="171" applyNumberFormat="0" applyFill="0" applyAlignment="0" applyProtection="0"/>
    <xf numFmtId="0" fontId="148" fillId="0" borderId="171" applyNumberFormat="0" applyFill="0" applyAlignment="0" applyProtection="0"/>
    <xf numFmtId="0" fontId="148" fillId="0" borderId="171" applyNumberFormat="0" applyFill="0" applyAlignment="0" applyProtection="0"/>
    <xf numFmtId="0" fontId="148" fillId="0" borderId="171"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2" fillId="0" borderId="0" applyProtection="0"/>
    <xf numFmtId="0" fontId="143" fillId="0" borderId="0" applyProtection="0"/>
    <xf numFmtId="0" fontId="35"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93" fontId="163" fillId="0" borderId="0" applyFont="0" applyFill="0" applyBorder="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60" fillId="0" borderId="172" applyNumberFormat="0" applyFill="0" applyAlignment="0" applyProtection="0"/>
    <xf numFmtId="0" fontId="160" fillId="0" borderId="172" applyNumberFormat="0" applyFill="0" applyAlignment="0" applyProtection="0"/>
    <xf numFmtId="0" fontId="160" fillId="0" borderId="172" applyNumberFormat="0" applyFill="0" applyAlignment="0" applyProtection="0"/>
    <xf numFmtId="0" fontId="160" fillId="0" borderId="172" applyNumberFormat="0" applyFill="0" applyAlignment="0" applyProtection="0"/>
    <xf numFmtId="0" fontId="160" fillId="0" borderId="172" applyNumberFormat="0" applyFill="0" applyAlignment="0" applyProtection="0"/>
    <xf numFmtId="0" fontId="160" fillId="0" borderId="172" applyNumberFormat="0" applyFill="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64" fillId="0" borderId="0" applyNumberFormat="0" applyFill="0" applyAlignment="0" applyProtection="0"/>
    <xf numFmtId="0" fontId="140" fillId="0" borderId="0"/>
    <xf numFmtId="0" fontId="12" fillId="0" borderId="0"/>
    <xf numFmtId="0" fontId="12" fillId="0" borderId="0"/>
    <xf numFmtId="0" fontId="140" fillId="0" borderId="0"/>
    <xf numFmtId="0" fontId="5" fillId="0" borderId="0"/>
    <xf numFmtId="0" fontId="141" fillId="0" borderId="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194" fontId="164" fillId="0" borderId="0" applyFill="0" applyBorder="0" applyProtection="0">
      <alignment horizontal="right"/>
    </xf>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195" fontId="164" fillId="0" borderId="0" applyProtection="0"/>
    <xf numFmtId="0" fontId="145" fillId="0" borderId="0" applyNumberFormat="0" applyFill="0" applyBorder="0" applyAlignment="0" applyProtection="0"/>
    <xf numFmtId="0" fontId="164" fillId="0" borderId="78" applyNumberFormat="0" applyFill="0" applyAlignment="0" applyProtection="0"/>
    <xf numFmtId="8" fontId="173" fillId="0" borderId="0" applyNumberFormat="0" applyFill="0" applyBorder="0" applyAlignment="0" applyProtection="0"/>
    <xf numFmtId="0" fontId="162" fillId="0" borderId="0" applyNumberFormat="0" applyBorder="0" applyAlignment="0"/>
    <xf numFmtId="0" fontId="174" fillId="0" borderId="0" applyNumberFormat="0" applyBorder="0" applyAlignment="0"/>
    <xf numFmtId="0" fontId="163" fillId="0" borderId="174" applyNumberFormat="0" applyFont="0" applyFill="0" applyAlignment="0" applyProtection="0"/>
    <xf numFmtId="0" fontId="163" fillId="0" borderId="175" applyNumberFormat="0" applyFont="0" applyFill="0" applyAlignment="0" applyProtection="0"/>
    <xf numFmtId="0" fontId="163" fillId="0" borderId="142" applyNumberFormat="0" applyFon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40" fillId="0" borderId="0" applyAlignment="0"/>
    <xf numFmtId="43" fontId="12" fillId="0" borderId="0" applyAlignment="0"/>
    <xf numFmtId="43" fontId="140" fillId="0" borderId="0" applyAlignment="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4"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4"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4"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33"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33"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33"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30"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30"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30"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3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3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3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39"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39"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39"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58" fillId="40"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58" fillId="40"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58" fillId="40"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9" fillId="41"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9" fillId="41"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9" fillId="41"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33"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33"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33"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35"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35"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35"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46" fillId="0" borderId="169"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46" fillId="0" borderId="169"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46" fillId="0" borderId="169"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47"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47"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47"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48" fillId="0" borderId="171"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48" fillId="0" borderId="171"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48" fillId="0" borderId="171"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8"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8"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8"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61"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38"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38"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38"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60"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60"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60"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45"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45"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45"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2" fillId="0" borderId="0"/>
    <xf numFmtId="0" fontId="12" fillId="0" borderId="0"/>
    <xf numFmtId="0" fontId="12" fillId="0" borderId="0"/>
    <xf numFmtId="0" fontId="140"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141" fillId="0" borderId="0"/>
    <xf numFmtId="0" fontId="12" fillId="0" borderId="0"/>
    <xf numFmtId="0" fontId="12" fillId="0" borderId="0"/>
    <xf numFmtId="0" fontId="12" fillId="0" borderId="0"/>
    <xf numFmtId="0" fontId="12" fillId="0" borderId="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31"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31"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31"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41"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41"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41"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6"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6"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6"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5" fillId="0" borderId="0"/>
    <xf numFmtId="0" fontId="12" fillId="0" borderId="0"/>
    <xf numFmtId="43" fontId="5" fillId="0" borderId="0" applyFont="0" applyFill="0" applyBorder="0" applyAlignment="0" applyProtection="0"/>
    <xf numFmtId="5" fontId="12" fillId="0" borderId="0" applyFont="0" applyFill="0" applyBorder="0" applyAlignment="0" applyProtection="0"/>
    <xf numFmtId="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 fillId="0" borderId="0"/>
    <xf numFmtId="0" fontId="5" fillId="0" borderId="0"/>
    <xf numFmtId="0" fontId="53" fillId="0" borderId="0"/>
    <xf numFmtId="0" fontId="5" fillId="0" borderId="0"/>
    <xf numFmtId="43" fontId="5" fillId="0" borderId="0" applyFont="0" applyFill="0" applyBorder="0" applyAlignment="0" applyProtection="0"/>
    <xf numFmtId="0" fontId="5" fillId="0" borderId="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41"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41"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41"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9" fillId="41"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9" fillId="41"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9" fillId="41"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38"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38"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38"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31"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31"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31"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63" fillId="0" borderId="142" applyNumberFormat="0" applyFont="0" applyFill="0" applyAlignment="0" applyProtection="0"/>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6"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6"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6"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57" fillId="0" borderId="0" applyNumberFormat="0" applyFill="0" applyBorder="0" applyAlignment="0" applyProtection="0">
      <alignment vertical="top"/>
      <protection locked="0"/>
    </xf>
    <xf numFmtId="0" fontId="5"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4" fillId="0" borderId="0"/>
    <xf numFmtId="0" fontId="152" fillId="64" borderId="181" applyNumberFormat="0" applyAlignment="0" applyProtection="0"/>
    <xf numFmtId="0" fontId="152" fillId="41" borderId="181" applyNumberFormat="0" applyAlignment="0" applyProtection="0"/>
    <xf numFmtId="0" fontId="152" fillId="41" borderId="181" applyNumberFormat="0" applyAlignment="0" applyProtection="0"/>
    <xf numFmtId="0" fontId="163" fillId="0" borderId="180" applyNumberFormat="0" applyFont="0" applyFill="0" applyAlignment="0" applyProtection="0"/>
    <xf numFmtId="0" fontId="155" fillId="0" borderId="182" applyNumberFormat="0" applyFill="0" applyAlignment="0" applyProtection="0"/>
    <xf numFmtId="0" fontId="155" fillId="0" borderId="182" applyNumberFormat="0" applyFill="0" applyAlignment="0" applyProtection="0"/>
    <xf numFmtId="0" fontId="155" fillId="0" borderId="182" applyNumberFormat="0" applyFill="0" applyAlignment="0" applyProtection="0"/>
    <xf numFmtId="0" fontId="155" fillId="0" borderId="183" applyNumberFormat="0" applyFill="0" applyAlignment="0" applyProtection="0"/>
    <xf numFmtId="43" fontId="183" fillId="0" borderId="0" applyAlignment="0"/>
    <xf numFmtId="0" fontId="155" fillId="0" borderId="182" applyNumberFormat="0" applyFill="0" applyAlignment="0" applyProtection="0"/>
    <xf numFmtId="43" fontId="183" fillId="0" borderId="0" applyFont="0" applyFill="0" applyBorder="0" applyAlignment="0" applyProtection="0"/>
    <xf numFmtId="43" fontId="4" fillId="0" borderId="0" applyFont="0" applyFill="0" applyBorder="0" applyAlignment="0" applyProtection="0"/>
    <xf numFmtId="43" fontId="183" fillId="0" borderId="0" applyFont="0" applyFill="0" applyBorder="0" applyAlignment="0" applyProtection="0"/>
    <xf numFmtId="3" fontId="183" fillId="0" borderId="0" applyFont="0" applyFill="0" applyBorder="0" applyAlignment="0" applyProtection="0"/>
    <xf numFmtId="44" fontId="183" fillId="0" borderId="0" applyFont="0" applyFill="0" applyBorder="0" applyAlignment="0" applyProtection="0"/>
    <xf numFmtId="5" fontId="183" fillId="0" borderId="0" applyFont="0" applyFill="0" applyBorder="0" applyAlignment="0" applyProtection="0"/>
    <xf numFmtId="0" fontId="184" fillId="0" borderId="0" applyNumberFormat="0" applyFill="0" applyBorder="0" applyAlignment="0" applyProtection="0">
      <alignment vertical="top"/>
      <protection locked="0"/>
    </xf>
    <xf numFmtId="0" fontId="183" fillId="0" borderId="0"/>
    <xf numFmtId="0" fontId="183" fillId="0" borderId="0"/>
    <xf numFmtId="0" fontId="4" fillId="0" borderId="0"/>
    <xf numFmtId="0" fontId="155" fillId="0" borderId="182" applyNumberFormat="0" applyFill="0" applyAlignment="0" applyProtection="0"/>
    <xf numFmtId="0" fontId="155" fillId="0" borderId="182" applyNumberFormat="0" applyFill="0" applyAlignment="0" applyProtection="0"/>
    <xf numFmtId="0" fontId="155" fillId="0" borderId="182" applyNumberFormat="0" applyFill="0" applyAlignment="0" applyProtection="0"/>
    <xf numFmtId="0" fontId="155" fillId="0" borderId="182" applyNumberFormat="0" applyFill="0" applyAlignment="0" applyProtection="0"/>
    <xf numFmtId="0" fontId="155" fillId="0" borderId="182" applyNumberFormat="0" applyFill="0" applyAlignment="0" applyProtection="0"/>
    <xf numFmtId="0" fontId="163" fillId="0" borderId="180" applyNumberFormat="0" applyFon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2"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41" borderId="181" applyNumberFormat="0" applyAlignment="0" applyProtection="0"/>
    <xf numFmtId="0" fontId="152" fillId="41" borderId="181" applyNumberFormat="0" applyAlignment="0" applyProtection="0"/>
    <xf numFmtId="0" fontId="152" fillId="41" borderId="181" applyNumberFormat="0" applyAlignment="0" applyProtection="0"/>
    <xf numFmtId="0" fontId="152" fillId="41" borderId="181" applyNumberFormat="0" applyAlignment="0" applyProtection="0"/>
    <xf numFmtId="43" fontId="183" fillId="0" borderId="0" applyAlignment="0"/>
    <xf numFmtId="0" fontId="155" fillId="0" borderId="182" applyNumberFormat="0" applyFill="0" applyAlignment="0" applyProtection="0"/>
    <xf numFmtId="43" fontId="183" fillId="0" borderId="0" applyAlignment="0"/>
    <xf numFmtId="0" fontId="155" fillId="0" borderId="182" applyNumberFormat="0" applyFill="0" applyAlignment="0" applyProtection="0"/>
    <xf numFmtId="0" fontId="155" fillId="0" borderId="182" applyNumberFormat="0" applyFill="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31"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31"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31"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38"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38"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38"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59" fillId="41"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59" fillId="41"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59" fillId="41"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41"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41"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41"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2" fillId="31" borderId="185" applyNumberFormat="0" applyFont="0" applyAlignment="0" applyProtection="0"/>
    <xf numFmtId="0" fontId="12" fillId="31" borderId="185" applyNumberFormat="0" applyFont="0" applyAlignment="0" applyProtection="0"/>
    <xf numFmtId="0" fontId="12" fillId="31" borderId="185" applyNumberFormat="0" applyFont="0" applyAlignment="0" applyProtection="0"/>
    <xf numFmtId="0" fontId="12" fillId="31" borderId="185" applyNumberFormat="0" applyFont="0" applyAlignment="0" applyProtection="0"/>
    <xf numFmtId="0" fontId="12" fillId="31" borderId="185" applyNumberFormat="0" applyFont="0" applyAlignment="0" applyProtection="0"/>
    <xf numFmtId="0" fontId="12" fillId="31" borderId="185" applyNumberFormat="0" applyFont="0" applyAlignment="0" applyProtection="0"/>
    <xf numFmtId="0" fontId="151" fillId="38" borderId="184" applyNumberFormat="0" applyAlignment="0" applyProtection="0"/>
    <xf numFmtId="0" fontId="151" fillId="38" borderId="184" applyNumberFormat="0" applyAlignment="0" applyProtection="0"/>
    <xf numFmtId="0" fontId="151" fillId="38" borderId="184" applyNumberFormat="0" applyAlignment="0" applyProtection="0"/>
    <xf numFmtId="0" fontId="151" fillId="38" borderId="184" applyNumberFormat="0" applyAlignment="0" applyProtection="0"/>
    <xf numFmtId="0" fontId="151" fillId="38" borderId="184" applyNumberFormat="0" applyAlignment="0" applyProtection="0"/>
    <xf numFmtId="0" fontId="151" fillId="38" borderId="184" applyNumberFormat="0" applyAlignment="0" applyProtection="0"/>
    <xf numFmtId="0" fontId="159" fillId="41" borderId="184" applyNumberFormat="0" applyAlignment="0" applyProtection="0"/>
    <xf numFmtId="0" fontId="159" fillId="41" borderId="184" applyNumberFormat="0" applyAlignment="0" applyProtection="0"/>
    <xf numFmtId="0" fontId="159" fillId="41" borderId="184" applyNumberFormat="0" applyAlignment="0" applyProtection="0"/>
    <xf numFmtId="0" fontId="159" fillId="41" borderId="184" applyNumberFormat="0" applyAlignment="0" applyProtection="0"/>
    <xf numFmtId="0" fontId="159" fillId="41" borderId="184" applyNumberFormat="0" applyAlignment="0" applyProtection="0"/>
    <xf numFmtId="0" fontId="159" fillId="41" borderId="184"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2"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2"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41"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41"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41"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43" fontId="4"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0" fontId="184"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183" fillId="0" borderId="0"/>
    <xf numFmtId="0" fontId="4" fillId="0" borderId="0"/>
    <xf numFmtId="0" fontId="4" fillId="0" borderId="0"/>
    <xf numFmtId="0" fontId="152" fillId="41" borderId="181" applyNumberFormat="0" applyAlignment="0" applyProtection="0"/>
    <xf numFmtId="0" fontId="152" fillId="41" borderId="181" applyNumberFormat="0" applyAlignment="0" applyProtection="0"/>
    <xf numFmtId="0" fontId="152" fillId="41" borderId="181" applyNumberFormat="0" applyAlignment="0" applyProtection="0"/>
    <xf numFmtId="0" fontId="152" fillId="41" borderId="181" applyNumberFormat="0" applyAlignment="0" applyProtection="0"/>
    <xf numFmtId="0" fontId="152" fillId="41" borderId="181" applyNumberFormat="0" applyAlignment="0" applyProtection="0"/>
    <xf numFmtId="0" fontId="152" fillId="41" borderId="18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82"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2"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2"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12" fillId="0" borderId="0" applyAlignment="0"/>
    <xf numFmtId="43" fontId="12" fillId="0" borderId="0" applyAlignment="0"/>
    <xf numFmtId="43"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cellStyleXfs>
  <cellXfs count="2565">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6"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6" fillId="0" borderId="129" xfId="12" applyFont="1" applyBorder="1" applyAlignment="1" applyProtection="1">
      <alignment vertical="center"/>
    </xf>
    <xf numFmtId="0" fontId="16" fillId="0" borderId="127" xfId="12" applyFont="1" applyBorder="1" applyAlignment="1" applyProtection="1">
      <alignment vertical="center"/>
    </xf>
    <xf numFmtId="1" fontId="12" fillId="0" borderId="0" xfId="0" applyNumberFormat="1" applyFont="1" applyAlignment="1">
      <alignment horizontal="center" vertical="center"/>
    </xf>
    <xf numFmtId="0" fontId="13" fillId="0" borderId="136"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10" borderId="101" xfId="0" applyFont="1" applyFill="1" applyBorder="1" applyAlignment="1">
      <alignment horizontal="center" vertical="center"/>
    </xf>
    <xf numFmtId="0" fontId="78" fillId="10" borderId="102" xfId="0" applyFont="1" applyFill="1" applyBorder="1" applyAlignment="1">
      <alignment horizontal="center" vertical="center"/>
    </xf>
    <xf numFmtId="0" fontId="56" fillId="18" borderId="122" xfId="0" applyFont="1" applyFill="1" applyBorder="1" applyAlignment="1" applyProtection="1">
      <alignment horizontal="left" vertical="center"/>
    </xf>
    <xf numFmtId="164" fontId="56" fillId="18" borderId="122" xfId="0" applyNumberFormat="1" applyFont="1" applyFill="1" applyBorder="1" applyAlignment="1" applyProtection="1">
      <alignment horizontal="center" vertical="center"/>
    </xf>
    <xf numFmtId="164" fontId="66" fillId="18" borderId="122" xfId="0" applyNumberFormat="1" applyFont="1" applyFill="1" applyBorder="1" applyAlignment="1" applyProtection="1">
      <alignment vertical="center"/>
    </xf>
    <xf numFmtId="0" fontId="79" fillId="11" borderId="123" xfId="0" applyFont="1" applyFill="1" applyBorder="1" applyAlignment="1">
      <alignment horizontal="left" vertical="center"/>
    </xf>
    <xf numFmtId="38" fontId="51" fillId="11" borderId="103" xfId="0" applyNumberFormat="1" applyFont="1" applyFill="1" applyBorder="1" applyAlignment="1">
      <alignment horizontal="right"/>
    </xf>
    <xf numFmtId="38" fontId="51" fillId="11" borderId="110" xfId="0" applyNumberFormat="1" applyFont="1" applyFill="1" applyBorder="1" applyAlignment="1">
      <alignment horizontal="right"/>
    </xf>
    <xf numFmtId="0" fontId="80" fillId="12" borderId="103" xfId="0" applyFont="1" applyFill="1" applyBorder="1" applyAlignment="1">
      <alignment vertical="center"/>
    </xf>
    <xf numFmtId="164" fontId="56" fillId="14" borderId="118" xfId="0" applyNumberFormat="1" applyFont="1" applyFill="1" applyBorder="1" applyAlignment="1" applyProtection="1">
      <alignment horizontal="center" vertical="center"/>
    </xf>
    <xf numFmtId="164" fontId="66" fillId="14" borderId="110" xfId="0" applyNumberFormat="1" applyFont="1" applyFill="1" applyBorder="1" applyAlignment="1" applyProtection="1">
      <alignment vertical="center"/>
    </xf>
    <xf numFmtId="0" fontId="59" fillId="14" borderId="103" xfId="0" applyFont="1" applyFill="1" applyBorder="1" applyAlignment="1" applyProtection="1">
      <alignment vertical="center"/>
    </xf>
    <xf numFmtId="38" fontId="51" fillId="12" borderId="121" xfId="0" applyNumberFormat="1" applyFont="1" applyFill="1" applyBorder="1" applyAlignment="1" applyProtection="1">
      <alignment horizontal="right"/>
      <protection locked="0"/>
    </xf>
    <xf numFmtId="38" fontId="51" fillId="12" borderId="103" xfId="0" applyNumberFormat="1" applyFont="1" applyFill="1" applyBorder="1" applyAlignment="1" applyProtection="1">
      <alignment horizontal="right"/>
      <protection locked="0"/>
    </xf>
    <xf numFmtId="38" fontId="51" fillId="12" borderId="110" xfId="0" applyNumberFormat="1" applyFont="1" applyFill="1" applyBorder="1" applyAlignment="1" applyProtection="1">
      <alignment horizontal="right"/>
      <protection locked="0"/>
    </xf>
    <xf numFmtId="0" fontId="56" fillId="18" borderId="110" xfId="0" applyFont="1" applyFill="1" applyBorder="1" applyAlignment="1" applyProtection="1">
      <alignment horizontal="center" vertical="center"/>
    </xf>
    <xf numFmtId="164" fontId="56" fillId="18" borderId="110" xfId="0" applyNumberFormat="1" applyFont="1" applyFill="1" applyBorder="1" applyAlignment="1" applyProtection="1">
      <alignment horizontal="center" vertical="center"/>
    </xf>
    <xf numFmtId="164" fontId="66" fillId="18"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6" fillId="18" borderId="0" xfId="0" applyFont="1" applyFill="1" applyBorder="1" applyAlignment="1" applyProtection="1">
      <alignment horizontal="left" vertical="center"/>
    </xf>
    <xf numFmtId="164" fontId="56" fillId="18" borderId="0" xfId="0" applyNumberFormat="1" applyFont="1" applyFill="1" applyBorder="1" applyAlignment="1" applyProtection="1">
      <alignment horizontal="center" vertical="center"/>
    </xf>
    <xf numFmtId="164" fontId="66" fillId="18" borderId="0" xfId="0" applyNumberFormat="1" applyFont="1" applyFill="1" applyBorder="1" applyAlignment="1" applyProtection="1">
      <alignment vertical="center"/>
    </xf>
    <xf numFmtId="0" fontId="64" fillId="14" borderId="118" xfId="0" applyFont="1" applyFill="1" applyBorder="1" applyAlignment="1" applyProtection="1">
      <alignment horizontal="left" vertical="center"/>
    </xf>
    <xf numFmtId="164" fontId="56" fillId="14" borderId="110"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80" fillId="12" borderId="103" xfId="0" applyFont="1" applyFill="1" applyBorder="1" applyAlignment="1">
      <alignment horizontal="left" vertical="center"/>
    </xf>
    <xf numFmtId="0" fontId="56" fillId="14" borderId="119" xfId="0" applyFont="1" applyFill="1" applyBorder="1" applyAlignment="1" applyProtection="1">
      <alignment horizontal="center" vertical="center"/>
    </xf>
    <xf numFmtId="164" fontId="56" fillId="14" borderId="120" xfId="0" applyNumberFormat="1" applyFont="1" applyFill="1" applyBorder="1" applyAlignment="1" applyProtection="1">
      <alignment horizontal="center" vertical="center"/>
    </xf>
    <xf numFmtId="164" fontId="66" fillId="14" borderId="120" xfId="0" applyNumberFormat="1" applyFont="1" applyFill="1" applyBorder="1" applyAlignment="1" applyProtection="1">
      <alignment vertical="center"/>
    </xf>
    <xf numFmtId="38" fontId="51" fillId="12" borderId="110" xfId="0" applyNumberFormat="1" applyFont="1" applyFill="1" applyBorder="1" applyAlignment="1">
      <alignment horizontal="right"/>
    </xf>
    <xf numFmtId="0" fontId="79" fillId="11" borderId="104" xfId="0" applyFont="1" applyFill="1" applyBorder="1" applyAlignment="1">
      <alignment horizontal="left" vertical="center"/>
    </xf>
    <xf numFmtId="38" fontId="51" fillId="11" borderId="104" xfId="0" applyNumberFormat="1" applyFont="1" applyFill="1" applyBorder="1" applyAlignment="1">
      <alignment horizontal="right"/>
    </xf>
    <xf numFmtId="38" fontId="51" fillId="11"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3" xfId="0" applyNumberFormat="1" applyFont="1" applyBorder="1" applyAlignment="1" applyProtection="1">
      <alignment horizontal="right"/>
      <protection locked="0"/>
    </xf>
    <xf numFmtId="38" fontId="57" fillId="0" borderId="0"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0" borderId="3" xfId="0" applyNumberFormat="1" applyFont="1" applyFill="1" applyBorder="1" applyAlignment="1" applyProtection="1">
      <alignment horizontal="right"/>
      <protection locked="0"/>
    </xf>
    <xf numFmtId="38" fontId="57" fillId="6" borderId="3" xfId="0" applyNumberFormat="1" applyFont="1" applyFill="1" applyBorder="1" applyAlignment="1" applyProtection="1">
      <alignment horizontal="right"/>
    </xf>
    <xf numFmtId="38" fontId="57" fillId="0" borderId="14" xfId="0" applyNumberFormat="1" applyFont="1" applyFill="1" applyBorder="1" applyAlignment="1" applyProtection="1">
      <alignment horizontal="right"/>
      <protection locked="0"/>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38" fontId="57" fillId="0" borderId="26" xfId="0" applyNumberFormat="1" applyFont="1" applyBorder="1" applyAlignment="1" applyProtection="1">
      <alignment horizontal="right"/>
      <protection locked="0"/>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38" fontId="57" fillId="0" borderId="29" xfId="0" applyNumberFormat="1" applyFont="1" applyFill="1" applyBorder="1" applyAlignment="1" applyProtection="1">
      <alignment horizontal="right"/>
      <protection locked="0"/>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38" fontId="57" fillId="0" borderId="0" xfId="0" applyNumberFormat="1" applyFont="1" applyAlignment="1" applyProtection="1">
      <alignment horizontal="right"/>
      <protection locked="0"/>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7" fillId="0" borderId="13" xfId="0" applyNumberFormat="1" applyFont="1" applyBorder="1" applyAlignment="1" applyProtection="1">
      <alignment horizontal="right"/>
      <protection locked="0"/>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0" borderId="19" xfId="0" applyNumberFormat="1" applyFont="1" applyFill="1" applyBorder="1" applyAlignment="1" applyProtection="1">
      <alignment horizontal="right"/>
      <protection locked="0"/>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8" xfId="0" applyNumberFormat="1" applyFont="1" applyBorder="1" applyAlignment="1" applyProtection="1">
      <alignment horizontal="center" vertical="center"/>
    </xf>
    <xf numFmtId="38" fontId="57" fillId="0" borderId="128" xfId="0" applyNumberFormat="1" applyFont="1" applyBorder="1" applyAlignment="1" applyProtection="1">
      <alignment horizontal="right"/>
      <protection locked="0"/>
    </xf>
    <xf numFmtId="38" fontId="57" fillId="3" borderId="128"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38" fontId="57" fillId="0" borderId="32" xfId="0" applyNumberFormat="1" applyFont="1" applyBorder="1" applyAlignment="1" applyProtection="1">
      <alignment horizontal="right"/>
      <protection locked="0"/>
    </xf>
    <xf numFmtId="1" fontId="64" fillId="0" borderId="33" xfId="0" applyNumberFormat="1" applyFont="1" applyBorder="1" applyAlignment="1" applyProtection="1">
      <alignment horizontal="center" vertical="center"/>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31" xfId="0" applyFont="1" applyFill="1" applyBorder="1" applyAlignment="1" applyProtection="1">
      <alignment horizontal="center" vertical="center"/>
    </xf>
    <xf numFmtId="38" fontId="57" fillId="0" borderId="125" xfId="0" applyNumberFormat="1" applyFont="1" applyFill="1" applyBorder="1" applyAlignment="1" applyProtection="1">
      <alignment horizontal="right"/>
      <protection locked="0"/>
    </xf>
    <xf numFmtId="0" fontId="64" fillId="0" borderId="100" xfId="0" applyFont="1" applyFill="1" applyBorder="1" applyAlignment="1" applyProtection="1">
      <alignment horizontal="center" vertical="center"/>
    </xf>
    <xf numFmtId="38" fontId="57" fillId="0" borderId="124" xfId="0" applyNumberFormat="1" applyFont="1" applyFill="1" applyBorder="1" applyAlignment="1" applyProtection="1">
      <alignment horizontal="right"/>
      <protection locked="0"/>
    </xf>
    <xf numFmtId="38" fontId="57" fillId="0" borderId="112" xfId="0" applyNumberFormat="1" applyFont="1" applyFill="1" applyBorder="1" applyAlignment="1" applyProtection="1">
      <alignment horizontal="right"/>
      <protection locked="0"/>
    </xf>
    <xf numFmtId="38" fontId="57" fillId="0" borderId="55" xfId="0" applyNumberFormat="1" applyFont="1" applyFill="1" applyBorder="1" applyAlignment="1" applyProtection="1">
      <alignment horizontal="right"/>
      <protection locked="0"/>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8"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8"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6"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38" fontId="57" fillId="5" borderId="4" xfId="0" applyNumberFormat="1" applyFont="1" applyFill="1" applyBorder="1" applyAlignment="1" applyProtection="1">
      <alignment horizontal="right"/>
      <protection locked="0"/>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8" xfId="0" applyFont="1" applyFill="1" applyBorder="1" applyAlignment="1">
      <alignment horizontal="center" vertical="center"/>
    </xf>
    <xf numFmtId="38" fontId="57" fillId="0" borderId="128" xfId="0" applyNumberFormat="1" applyFont="1" applyFill="1" applyBorder="1" applyAlignment="1" applyProtection="1">
      <alignment horizontal="right"/>
      <protection locked="0"/>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38" fontId="57" fillId="0" borderId="29" xfId="0" applyNumberFormat="1" applyFont="1" applyBorder="1" applyAlignment="1" applyProtection="1">
      <alignment horizontal="right"/>
      <protection locked="0"/>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6"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7" xfId="0" applyNumberFormat="1" applyFont="1" applyFill="1" applyBorder="1" applyAlignment="1">
      <alignment horizontal="center" vertical="center"/>
    </xf>
    <xf numFmtId="49" fontId="64" fillId="0" borderId="128"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8"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6"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38" fontId="57" fillId="0" borderId="2" xfId="8" applyNumberFormat="1" applyFont="1" applyFill="1" applyBorder="1" applyAlignment="1" applyProtection="1">
      <alignment horizontal="right"/>
      <protection locked="0"/>
    </xf>
    <xf numFmtId="38" fontId="57" fillId="0" borderId="2" xfId="6" applyNumberFormat="1" applyFont="1" applyBorder="1" applyProtection="1">
      <protection locked="0"/>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20"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6"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6"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34" xfId="3" applyNumberFormat="1" applyFont="1" applyBorder="1" applyAlignment="1">
      <alignment horizontal="center" vertical="center"/>
    </xf>
    <xf numFmtId="0" fontId="59" fillId="0" borderId="134"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34"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3" xfId="0" applyFont="1" applyBorder="1"/>
    <xf numFmtId="0" fontId="57" fillId="0" borderId="13" xfId="0" applyFont="1" applyBorder="1"/>
    <xf numFmtId="0" fontId="57" fillId="0" borderId="126" xfId="0" applyFont="1" applyBorder="1" applyAlignment="1">
      <alignment horizontal="left" vertical="top"/>
    </xf>
    <xf numFmtId="164" fontId="115" fillId="0" borderId="129" xfId="0" applyNumberFormat="1" applyFont="1" applyBorder="1" applyAlignment="1">
      <alignment horizontal="right" vertical="top"/>
    </xf>
    <xf numFmtId="0" fontId="57" fillId="0" borderId="129" xfId="0" applyNumberFormat="1" applyFont="1" applyBorder="1" applyAlignment="1">
      <alignment horizontal="left" vertical="center" wrapText="1" indent="1"/>
    </xf>
    <xf numFmtId="0" fontId="87" fillId="0" borderId="128" xfId="0" applyFont="1" applyBorder="1" applyAlignment="1">
      <alignment horizontal="left" vertical="center" wrapText="1"/>
    </xf>
    <xf numFmtId="0" fontId="57" fillId="0" borderId="129" xfId="0" applyFont="1" applyBorder="1" applyAlignment="1">
      <alignment horizontal="left" vertical="top"/>
    </xf>
    <xf numFmtId="0" fontId="57" fillId="0" borderId="0" xfId="0" applyFont="1" applyBorder="1" applyAlignment="1">
      <alignment vertical="top"/>
    </xf>
    <xf numFmtId="0" fontId="117" fillId="0" borderId="129" xfId="0" applyNumberFormat="1" applyFont="1" applyBorder="1" applyAlignment="1">
      <alignment horizontal="left" vertical="center"/>
    </xf>
    <xf numFmtId="0" fontId="115" fillId="0" borderId="129" xfId="0" applyFont="1" applyBorder="1" applyAlignment="1">
      <alignment vertical="top"/>
    </xf>
    <xf numFmtId="0" fontId="115" fillId="0" borderId="129" xfId="0" applyFont="1" applyBorder="1" applyAlignment="1">
      <alignment horizontal="left" vertical="top"/>
    </xf>
    <xf numFmtId="0" fontId="57" fillId="0" borderId="126" xfId="0" applyFont="1" applyBorder="1" applyAlignment="1"/>
    <xf numFmtId="164" fontId="115" fillId="0" borderId="129" xfId="0" applyNumberFormat="1" applyFont="1" applyBorder="1" applyAlignment="1"/>
    <xf numFmtId="0" fontId="57" fillId="0" borderId="129" xfId="0" applyFont="1" applyBorder="1" applyAlignment="1"/>
    <xf numFmtId="0" fontId="64" fillId="0" borderId="127"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5"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6" xfId="0" applyFont="1" applyFill="1" applyBorder="1" applyAlignment="1"/>
    <xf numFmtId="0" fontId="56" fillId="0" borderId="129" xfId="0" applyFont="1" applyFill="1" applyBorder="1" applyAlignment="1">
      <alignment horizontal="left" vertical="top"/>
    </xf>
    <xf numFmtId="0" fontId="56" fillId="0" borderId="127"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7"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4" xfId="3" quotePrefix="1" applyNumberFormat="1" applyFont="1" applyBorder="1" applyAlignment="1" applyProtection="1">
      <alignment horizontal="left"/>
    </xf>
    <xf numFmtId="0" fontId="64" fillId="0" borderId="145" xfId="3" applyNumberFormat="1" applyFont="1" applyBorder="1" applyAlignment="1" applyProtection="1">
      <alignment horizontal="center"/>
    </xf>
    <xf numFmtId="0" fontId="64" fillId="0" borderId="145" xfId="3" applyNumberFormat="1" applyFont="1" applyBorder="1" applyProtection="1"/>
    <xf numFmtId="0" fontId="57" fillId="0" borderId="144" xfId="3" applyNumberFormat="1" applyFont="1" applyBorder="1" applyAlignment="1" applyProtection="1"/>
    <xf numFmtId="0" fontId="64" fillId="0" borderId="146" xfId="3" applyNumberFormat="1" applyFont="1" applyBorder="1" applyAlignment="1" applyProtection="1">
      <alignment horizontal="centerContinuous"/>
    </xf>
    <xf numFmtId="0" fontId="57" fillId="0" borderId="144" xfId="3" applyNumberFormat="1" applyFont="1" applyBorder="1" applyAlignment="1" applyProtection="1">
      <alignment horizontal="left"/>
    </xf>
    <xf numFmtId="0" fontId="64" fillId="0" borderId="146" xfId="3" applyNumberFormat="1" applyFont="1" applyBorder="1" applyProtection="1"/>
    <xf numFmtId="0" fontId="64" fillId="0" borderId="145"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4"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9" fillId="0" borderId="77" xfId="3" applyNumberFormat="1" applyFont="1" applyBorder="1" applyAlignment="1" applyProtection="1">
      <alignment horizontal="center"/>
    </xf>
    <xf numFmtId="0" fontId="57" fillId="0" borderId="0" xfId="3" applyNumberFormat="1" applyFont="1" applyProtection="1"/>
    <xf numFmtId="0" fontId="64" fillId="0" borderId="0" xfId="3" quotePrefix="1" applyNumberFormat="1" applyFont="1" applyAlignment="1" applyProtection="1">
      <alignment horizontal="left"/>
    </xf>
    <xf numFmtId="0" fontId="56" fillId="0" borderId="0" xfId="3" applyNumberFormat="1" applyFont="1" applyProtection="1"/>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8"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5"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9"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7" xfId="3" applyFont="1" applyBorder="1" applyProtection="1"/>
    <xf numFmtId="0" fontId="57" fillId="0" borderId="148" xfId="3" applyFont="1" applyBorder="1" applyProtection="1">
      <protection locked="0"/>
    </xf>
    <xf numFmtId="0" fontId="57" fillId="0" borderId="147"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6" xfId="3" applyNumberFormat="1" applyFont="1" applyBorder="1" applyAlignment="1" applyProtection="1">
      <alignment horizontal="center"/>
    </xf>
    <xf numFmtId="0" fontId="66" fillId="0" borderId="145" xfId="3" applyFont="1" applyBorder="1" applyAlignment="1" applyProtection="1">
      <alignment horizontal="centerContinuous"/>
    </xf>
    <xf numFmtId="0" fontId="66" fillId="0" borderId="146"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6"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1" borderId="72" xfId="3" applyFont="1" applyFill="1" applyBorder="1" applyAlignment="1" applyProtection="1">
      <alignment horizontal="center"/>
    </xf>
    <xf numFmtId="0" fontId="66" fillId="22"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1"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2"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1" borderId="0" xfId="3" applyFont="1" applyFill="1" applyProtection="1"/>
    <xf numFmtId="169" fontId="59" fillId="21" borderId="0" xfId="3" applyNumberFormat="1" applyFont="1" applyFill="1" applyProtection="1"/>
    <xf numFmtId="1" fontId="59" fillId="21" borderId="0" xfId="3" applyNumberFormat="1" applyFont="1" applyFill="1" applyProtection="1"/>
    <xf numFmtId="0" fontId="59" fillId="21"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5" xfId="3" applyFont="1" applyBorder="1" applyProtection="1"/>
    <xf numFmtId="0" fontId="59" fillId="0" borderId="145" xfId="3" applyFont="1" applyBorder="1" applyProtection="1"/>
    <xf numFmtId="0" fontId="59" fillId="0" borderId="145"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5" xfId="3" quotePrefix="1"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5" xfId="3" applyFont="1" applyBorder="1" applyProtection="1"/>
    <xf numFmtId="0" fontId="59" fillId="0" borderId="0" xfId="3" applyFont="1" applyBorder="1" applyAlignment="1" applyProtection="1">
      <alignment horizontal="left"/>
    </xf>
    <xf numFmtId="0" fontId="66" fillId="0" borderId="145" xfId="3" applyFont="1" applyBorder="1" applyAlignment="1" applyProtection="1">
      <alignment horizontal="left"/>
    </xf>
    <xf numFmtId="0" fontId="59" fillId="9" borderId="145" xfId="3" applyFont="1" applyFill="1" applyBorder="1" applyProtection="1"/>
    <xf numFmtId="0" fontId="59" fillId="9" borderId="145" xfId="3" applyFont="1" applyFill="1" applyBorder="1" applyAlignment="1" applyProtection="1">
      <alignment horizontal="center"/>
    </xf>
    <xf numFmtId="0" fontId="59" fillId="9" borderId="146" xfId="3" applyFont="1" applyFill="1" applyBorder="1" applyProtection="1"/>
    <xf numFmtId="0" fontId="64" fillId="9" borderId="5" xfId="3" applyFont="1" applyFill="1" applyBorder="1" applyProtection="1"/>
    <xf numFmtId="0" fontId="64" fillId="9" borderId="111" xfId="3" applyFont="1" applyFill="1" applyBorder="1" applyProtection="1"/>
    <xf numFmtId="14" fontId="59" fillId="9" borderId="0" xfId="3" applyNumberFormat="1" applyFont="1" applyFill="1" applyBorder="1" applyProtection="1"/>
    <xf numFmtId="0" fontId="59" fillId="9" borderId="0" xfId="3" applyFont="1" applyFill="1" applyBorder="1" applyProtection="1"/>
    <xf numFmtId="0" fontId="59" fillId="9" borderId="0" xfId="3" applyFont="1" applyFill="1" applyBorder="1" applyAlignment="1" applyProtection="1">
      <alignment horizontal="center"/>
    </xf>
    <xf numFmtId="0" fontId="59" fillId="9" borderId="9" xfId="3" applyFont="1" applyFill="1" applyBorder="1" applyProtection="1"/>
    <xf numFmtId="0" fontId="64" fillId="9" borderId="0" xfId="3" applyFont="1" applyFill="1" applyBorder="1" applyProtection="1"/>
    <xf numFmtId="0" fontId="59" fillId="9" borderId="50" xfId="3" applyFont="1" applyFill="1" applyBorder="1" applyProtection="1"/>
    <xf numFmtId="0" fontId="59" fillId="9" borderId="9" xfId="3" applyFont="1" applyFill="1" applyBorder="1" applyAlignment="1" applyProtection="1">
      <alignment horizontal="center"/>
    </xf>
    <xf numFmtId="0" fontId="59" fillId="9" borderId="59" xfId="3" applyFont="1" applyFill="1" applyBorder="1" applyProtection="1"/>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5"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50"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66" fillId="9" borderId="144" xfId="3" applyFont="1" applyFill="1" applyBorder="1" applyProtection="1"/>
    <xf numFmtId="0" fontId="66" fillId="9" borderId="145" xfId="3" applyFont="1" applyFill="1" applyBorder="1" applyProtection="1"/>
    <xf numFmtId="0" fontId="59" fillId="0" borderId="5" xfId="3" applyFont="1" applyFill="1" applyBorder="1" applyProtection="1"/>
    <xf numFmtId="14" fontId="59" fillId="9" borderId="74" xfId="3" applyNumberFormat="1" applyFont="1" applyFill="1" applyBorder="1" applyAlignment="1" applyProtection="1">
      <alignment horizontal="center"/>
    </xf>
    <xf numFmtId="0" fontId="59" fillId="9" borderId="74" xfId="3" applyFont="1" applyFill="1" applyBorder="1" applyAlignment="1" applyProtection="1">
      <alignment horizontal="center"/>
    </xf>
    <xf numFmtId="0" fontId="59" fillId="9" borderId="40" xfId="3" applyFont="1" applyFill="1" applyBorder="1" applyProtection="1"/>
    <xf numFmtId="0" fontId="74" fillId="0" borderId="152" xfId="3" applyFont="1" applyBorder="1" applyAlignment="1" applyProtection="1">
      <alignment horizontal="left"/>
    </xf>
    <xf numFmtId="0" fontId="59" fillId="0" borderId="152" xfId="3" applyFont="1" applyBorder="1" applyProtection="1"/>
    <xf numFmtId="0" fontId="59" fillId="0" borderId="152"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9"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30"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8" xfId="0" applyNumberFormat="1" applyFont="1" applyBorder="1" applyAlignment="1">
      <alignment horizontal="left" vertical="center" wrapText="1" indent="1"/>
    </xf>
    <xf numFmtId="3" fontId="64" fillId="0" borderId="126"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8"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6" xfId="0" applyNumberFormat="1" applyFont="1" applyFill="1" applyBorder="1" applyAlignment="1">
      <alignment horizontal="center" vertical="center" wrapText="1"/>
    </xf>
    <xf numFmtId="38" fontId="56" fillId="6" borderId="156" xfId="0" applyNumberFormat="1" applyFont="1" applyFill="1" applyBorder="1" applyAlignment="1">
      <alignment horizontal="center" vertical="top" wrapText="1"/>
    </xf>
    <xf numFmtId="38" fontId="66" fillId="6" borderId="156"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41" xfId="17" applyFont="1" applyBorder="1" applyAlignment="1">
      <alignment horizontal="left" vertical="top"/>
    </xf>
    <xf numFmtId="0" fontId="128" fillId="0" borderId="142" xfId="17" applyFont="1" applyBorder="1" applyAlignment="1">
      <alignment horizontal="center" vertical="top"/>
    </xf>
    <xf numFmtId="0" fontId="128" fillId="0" borderId="143" xfId="17" applyFont="1" applyBorder="1" applyAlignment="1">
      <alignment horizontal="center" vertical="top"/>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38" fontId="9" fillId="23" borderId="158" xfId="17" applyNumberFormat="1" applyFill="1" applyBorder="1" applyAlignment="1">
      <alignment horizontal="right" vertical="top"/>
    </xf>
    <xf numFmtId="38" fontId="9" fillId="23" borderId="159"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4" borderId="157" xfId="17" applyFont="1" applyFill="1" applyBorder="1" applyAlignment="1">
      <alignment horizontal="center" vertical="center" wrapText="1"/>
    </xf>
    <xf numFmtId="38" fontId="127" fillId="24" borderId="157" xfId="17" applyNumberFormat="1" applyFont="1" applyFill="1" applyBorder="1" applyAlignment="1">
      <alignment horizontal="center" vertical="center" wrapText="1"/>
    </xf>
    <xf numFmtId="3" fontId="57" fillId="24" borderId="132" xfId="0" applyNumberFormat="1" applyFont="1" applyFill="1" applyBorder="1" applyAlignment="1">
      <alignment horizontal="center"/>
    </xf>
    <xf numFmtId="3" fontId="57" fillId="24" borderId="132" xfId="0" applyNumberFormat="1" applyFont="1" applyFill="1" applyBorder="1" applyAlignment="1">
      <alignment horizontal="right"/>
    </xf>
    <xf numFmtId="3" fontId="57" fillId="24" borderId="133" xfId="0" applyNumberFormat="1" applyFont="1" applyFill="1" applyBorder="1" applyAlignment="1">
      <alignment horizontal="center"/>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3" fontId="67" fillId="24" borderId="126" xfId="0" applyNumberFormat="1" applyFont="1" applyFill="1" applyBorder="1" applyAlignment="1">
      <alignment horizontal="center" vertical="center" wrapText="1"/>
    </xf>
    <xf numFmtId="49" fontId="64" fillId="24" borderId="11" xfId="0" applyNumberFormat="1" applyFont="1" applyFill="1" applyBorder="1" applyAlignment="1">
      <alignment horizontal="center" vertical="center"/>
    </xf>
    <xf numFmtId="38" fontId="57" fillId="24" borderId="13" xfId="0" applyNumberFormat="1" applyFont="1" applyFill="1" applyBorder="1" applyAlignment="1">
      <alignment horizontal="right"/>
    </xf>
    <xf numFmtId="38" fontId="57" fillId="24" borderId="21" xfId="0" applyNumberFormat="1" applyFont="1" applyFill="1" applyBorder="1" applyAlignment="1">
      <alignment horizontal="right"/>
    </xf>
    <xf numFmtId="38" fontId="57" fillId="24" borderId="14" xfId="0" applyNumberFormat="1" applyFont="1" applyFill="1" applyBorder="1" applyAlignment="1">
      <alignment horizontal="right"/>
    </xf>
    <xf numFmtId="38" fontId="56" fillId="24" borderId="13" xfId="0" applyNumberFormat="1" applyFont="1" applyFill="1" applyBorder="1" applyAlignment="1" applyProtection="1">
      <alignment horizontal="right"/>
    </xf>
    <xf numFmtId="38" fontId="56" fillId="24" borderId="21" xfId="0" applyNumberFormat="1" applyFont="1" applyFill="1" applyBorder="1" applyAlignment="1" applyProtection="1">
      <alignment horizontal="right"/>
    </xf>
    <xf numFmtId="38" fontId="56" fillId="24" borderId="21" xfId="1" applyNumberFormat="1" applyFont="1" applyFill="1" applyBorder="1" applyAlignment="1" applyProtection="1">
      <alignment horizontal="right"/>
    </xf>
    <xf numFmtId="38" fontId="56" fillId="24" borderId="14" xfId="0" applyNumberFormat="1" applyFont="1" applyFill="1" applyBorder="1" applyAlignment="1" applyProtection="1">
      <alignment horizontal="right"/>
    </xf>
    <xf numFmtId="38" fontId="57" fillId="24" borderId="19" xfId="0" applyNumberFormat="1" applyFont="1" applyFill="1" applyBorder="1" applyAlignment="1" applyProtection="1">
      <alignment horizontal="right"/>
    </xf>
    <xf numFmtId="38" fontId="57" fillId="24" borderId="20" xfId="0" applyNumberFormat="1" applyFont="1" applyFill="1" applyBorder="1" applyAlignment="1" applyProtection="1">
      <alignment horizontal="right"/>
    </xf>
    <xf numFmtId="38" fontId="57" fillId="24" borderId="21" xfId="0" applyNumberFormat="1" applyFont="1" applyFill="1" applyBorder="1" applyAlignment="1" applyProtection="1">
      <alignment horizontal="right"/>
    </xf>
    <xf numFmtId="38" fontId="57" fillId="24" borderId="14" xfId="0" applyNumberFormat="1" applyFont="1" applyFill="1" applyBorder="1" applyAlignment="1" applyProtection="1">
      <alignment horizontal="right"/>
    </xf>
    <xf numFmtId="0" fontId="59" fillId="24" borderId="31" xfId="0" applyFont="1" applyFill="1" applyBorder="1" applyAlignment="1">
      <alignment horizontal="center" vertical="center"/>
    </xf>
    <xf numFmtId="38" fontId="57" fillId="24" borderId="13" xfId="0" applyNumberFormat="1" applyFont="1" applyFill="1" applyBorder="1" applyAlignment="1" applyProtection="1">
      <alignment horizontal="right"/>
    </xf>
    <xf numFmtId="38" fontId="57" fillId="24" borderId="11" xfId="0" applyNumberFormat="1" applyFont="1" applyFill="1" applyBorder="1" applyAlignment="1" applyProtection="1">
      <alignment horizontal="right"/>
    </xf>
    <xf numFmtId="38" fontId="57" fillId="24" borderId="49" xfId="0" applyNumberFormat="1" applyFont="1" applyFill="1" applyBorder="1" applyAlignment="1" applyProtection="1">
      <alignment horizontal="right"/>
    </xf>
    <xf numFmtId="38" fontId="57" fillId="24" borderId="34" xfId="0" applyNumberFormat="1" applyFont="1" applyFill="1" applyBorder="1" applyAlignment="1" applyProtection="1">
      <alignment horizontal="right"/>
    </xf>
    <xf numFmtId="38" fontId="57" fillId="24" borderId="31" xfId="0" applyNumberFormat="1" applyFont="1" applyFill="1" applyBorder="1" applyAlignment="1" applyProtection="1">
      <alignment horizontal="right"/>
    </xf>
    <xf numFmtId="3" fontId="56" fillId="24" borderId="13" xfId="0" applyNumberFormat="1" applyFont="1" applyFill="1" applyBorder="1" applyAlignment="1" applyProtection="1">
      <alignment horizontal="right" vertical="center"/>
    </xf>
    <xf numFmtId="3" fontId="56" fillId="24" borderId="21" xfId="0" applyNumberFormat="1" applyFont="1" applyFill="1" applyBorder="1" applyAlignment="1" applyProtection="1">
      <alignment horizontal="right" vertical="center"/>
    </xf>
    <xf numFmtId="3" fontId="56" fillId="24" borderId="14" xfId="0" applyNumberFormat="1" applyFont="1" applyFill="1" applyBorder="1" applyAlignment="1" applyProtection="1">
      <alignment horizontal="right" vertical="center"/>
    </xf>
    <xf numFmtId="0" fontId="66" fillId="18" borderId="14" xfId="0" applyFont="1" applyFill="1" applyBorder="1" applyAlignment="1" applyProtection="1">
      <alignment horizontal="left" vertical="center"/>
    </xf>
    <xf numFmtId="0" fontId="66" fillId="18" borderId="2" xfId="0" applyFont="1" applyFill="1" applyBorder="1" applyAlignment="1" applyProtection="1">
      <alignment horizontal="center" vertical="top"/>
    </xf>
    <xf numFmtId="0" fontId="66" fillId="18" borderId="2" xfId="0" applyFont="1" applyFill="1" applyBorder="1" applyAlignment="1" applyProtection="1">
      <alignment horizontal="center" vertical="center"/>
    </xf>
    <xf numFmtId="3" fontId="56" fillId="24" borderId="13" xfId="0" applyNumberFormat="1" applyFont="1" applyFill="1" applyBorder="1" applyAlignment="1" applyProtection="1">
      <alignment horizontal="center" vertical="center"/>
    </xf>
    <xf numFmtId="49" fontId="66" fillId="24" borderId="21" xfId="0" applyNumberFormat="1" applyFont="1" applyFill="1" applyBorder="1" applyAlignment="1" applyProtection="1">
      <alignment horizontal="center" vertical="center"/>
    </xf>
    <xf numFmtId="3" fontId="57" fillId="24" borderId="21" xfId="0" applyNumberFormat="1" applyFont="1" applyFill="1" applyBorder="1" applyAlignment="1" applyProtection="1">
      <alignment horizontal="center"/>
    </xf>
    <xf numFmtId="3" fontId="59" fillId="24" borderId="21" xfId="0" applyNumberFormat="1" applyFont="1" applyFill="1" applyBorder="1" applyAlignment="1" applyProtection="1">
      <alignment horizontal="center"/>
    </xf>
    <xf numFmtId="38" fontId="59" fillId="24" borderId="21" xfId="0" applyNumberFormat="1" applyFont="1" applyFill="1" applyBorder="1" applyAlignment="1" applyProtection="1">
      <alignment horizontal="center"/>
    </xf>
    <xf numFmtId="3" fontId="59" fillId="24" borderId="14" xfId="0" applyNumberFormat="1" applyFont="1" applyFill="1" applyBorder="1" applyAlignment="1" applyProtection="1">
      <alignment horizontal="center"/>
    </xf>
    <xf numFmtId="0" fontId="56" fillId="24" borderId="49" xfId="0" applyFont="1" applyFill="1" applyBorder="1" applyAlignment="1" applyProtection="1">
      <alignment horizontal="center" vertical="center" wrapText="1"/>
    </xf>
    <xf numFmtId="0" fontId="57" fillId="24" borderId="34" xfId="0" applyFont="1" applyFill="1" applyBorder="1" applyAlignment="1">
      <alignment horizontal="center" vertical="center" wrapText="1"/>
    </xf>
    <xf numFmtId="164" fontId="56" fillId="24" borderId="49" xfId="0" applyNumberFormat="1" applyFont="1" applyFill="1" applyBorder="1" applyAlignment="1" applyProtection="1">
      <alignment horizontal="center" vertical="center" wrapText="1"/>
    </xf>
    <xf numFmtId="0" fontId="59" fillId="24" borderId="31" xfId="0" applyFont="1" applyFill="1" applyBorder="1" applyAlignment="1">
      <alignment horizontal="center" vertical="center" wrapText="1"/>
    </xf>
    <xf numFmtId="164" fontId="56" fillId="24" borderId="49" xfId="0" applyNumberFormat="1" applyFont="1" applyFill="1" applyBorder="1" applyAlignment="1" applyProtection="1">
      <alignment horizontal="center" vertical="center"/>
    </xf>
    <xf numFmtId="3" fontId="66" fillId="18" borderId="20" xfId="0" applyNumberFormat="1" applyFont="1" applyFill="1" applyBorder="1" applyAlignment="1" applyProtection="1">
      <alignment horizontal="left" vertical="center"/>
    </xf>
    <xf numFmtId="0" fontId="66" fillId="18" borderId="2" xfId="0" applyFont="1" applyFill="1" applyBorder="1" applyAlignment="1">
      <alignment horizontal="center" vertical="center"/>
    </xf>
    <xf numFmtId="164" fontId="66" fillId="18" borderId="20" xfId="0" applyNumberFormat="1" applyFont="1" applyFill="1" applyBorder="1" applyAlignment="1" applyProtection="1">
      <alignment horizontal="left" vertical="center"/>
    </xf>
    <xf numFmtId="0" fontId="66" fillId="18" borderId="29" xfId="0" applyFont="1" applyFill="1" applyBorder="1" applyAlignment="1" applyProtection="1">
      <alignment horizontal="center" vertical="center"/>
    </xf>
    <xf numFmtId="0" fontId="66" fillId="18" borderId="128" xfId="0" applyFont="1" applyFill="1" applyBorder="1" applyAlignment="1" applyProtection="1">
      <alignment horizontal="center" vertical="center"/>
    </xf>
    <xf numFmtId="164" fontId="66" fillId="18" borderId="21" xfId="0" applyNumberFormat="1" applyFont="1" applyFill="1" applyBorder="1" applyAlignment="1" applyProtection="1">
      <alignment horizontal="left" vertical="center"/>
    </xf>
    <xf numFmtId="0" fontId="66" fillId="18" borderId="14" xfId="0" applyFont="1" applyFill="1" applyBorder="1" applyAlignment="1" applyProtection="1">
      <alignment horizontal="center" vertical="center"/>
    </xf>
    <xf numFmtId="0" fontId="66" fillId="18" borderId="31" xfId="0" applyFont="1" applyFill="1" applyBorder="1" applyAlignment="1" applyProtection="1">
      <alignment horizontal="center" vertical="center"/>
    </xf>
    <xf numFmtId="164" fontId="66" fillId="16" borderId="21" xfId="0" applyNumberFormat="1" applyFont="1" applyFill="1" applyBorder="1" applyAlignment="1" applyProtection="1">
      <alignment horizontal="left" vertical="center" indent="1"/>
    </xf>
    <xf numFmtId="0" fontId="64" fillId="16" borderId="14" xfId="0" applyFont="1" applyFill="1" applyBorder="1" applyAlignment="1" applyProtection="1">
      <alignment horizontal="center" vertical="center"/>
    </xf>
    <xf numFmtId="164" fontId="66" fillId="16" borderId="20" xfId="0" applyNumberFormat="1" applyFont="1" applyFill="1" applyBorder="1" applyAlignment="1" applyProtection="1">
      <alignment horizontal="left" vertical="center" indent="1"/>
    </xf>
    <xf numFmtId="1" fontId="64" fillId="16" borderId="11" xfId="0" applyNumberFormat="1" applyFont="1" applyFill="1" applyBorder="1" applyAlignment="1" applyProtection="1">
      <alignment horizontal="center" vertical="center"/>
    </xf>
    <xf numFmtId="1" fontId="64" fillId="16" borderId="4" xfId="0" applyNumberFormat="1" applyFont="1" applyFill="1" applyBorder="1" applyAlignment="1" applyProtection="1">
      <alignment horizontal="center" vertical="center"/>
    </xf>
    <xf numFmtId="0" fontId="66" fillId="16" borderId="21" xfId="0" applyFont="1" applyFill="1" applyBorder="1" applyAlignment="1">
      <alignment horizontal="left" vertical="center" indent="1"/>
    </xf>
    <xf numFmtId="0" fontId="64" fillId="16" borderId="14" xfId="0" applyFont="1" applyFill="1" applyBorder="1" applyAlignment="1">
      <alignment horizontal="left" vertical="center"/>
    </xf>
    <xf numFmtId="0" fontId="64" fillId="16" borderId="11" xfId="0" applyFont="1" applyFill="1" applyBorder="1" applyAlignment="1" applyProtection="1">
      <alignment horizontal="center" vertical="center"/>
    </xf>
    <xf numFmtId="3" fontId="66" fillId="18" borderId="126" xfId="0" applyNumberFormat="1" applyFont="1" applyFill="1" applyBorder="1" applyAlignment="1">
      <alignment horizontal="left" vertical="center" wrapText="1"/>
    </xf>
    <xf numFmtId="49" fontId="66" fillId="18" borderId="128" xfId="0" applyNumberFormat="1" applyFont="1" applyFill="1" applyBorder="1" applyAlignment="1">
      <alignment horizontal="center" vertical="center"/>
    </xf>
    <xf numFmtId="0" fontId="66" fillId="18" borderId="17" xfId="0" applyFont="1" applyFill="1" applyBorder="1" applyAlignment="1">
      <alignment horizontal="left" vertical="center" wrapText="1"/>
    </xf>
    <xf numFmtId="49" fontId="66" fillId="18" borderId="29" xfId="0" applyNumberFormat="1" applyFont="1" applyFill="1" applyBorder="1" applyAlignment="1">
      <alignment horizontal="center" vertical="center"/>
    </xf>
    <xf numFmtId="3" fontId="66" fillId="18" borderId="33" xfId="0" applyNumberFormat="1" applyFont="1" applyFill="1" applyBorder="1" applyAlignment="1">
      <alignment horizontal="left" vertical="center" wrapText="1"/>
    </xf>
    <xf numFmtId="49" fontId="66" fillId="18" borderId="33" xfId="0" applyNumberFormat="1" applyFont="1" applyFill="1" applyBorder="1" applyAlignment="1">
      <alignment horizontal="center" vertical="center"/>
    </xf>
    <xf numFmtId="164" fontId="66" fillId="18" borderId="126" xfId="0" applyNumberFormat="1" applyFont="1" applyFill="1" applyBorder="1" applyAlignment="1">
      <alignment horizontal="left" vertical="center" wrapText="1"/>
    </xf>
    <xf numFmtId="49" fontId="66" fillId="18" borderId="4" xfId="0" applyNumberFormat="1" applyFont="1" applyFill="1" applyBorder="1" applyAlignment="1">
      <alignment horizontal="center" vertical="center"/>
    </xf>
    <xf numFmtId="3" fontId="66" fillId="18" borderId="13" xfId="0" applyNumberFormat="1" applyFont="1" applyFill="1" applyBorder="1" applyAlignment="1">
      <alignment horizontal="left" vertical="center" wrapText="1"/>
    </xf>
    <xf numFmtId="49" fontId="66" fillId="18" borderId="2" xfId="0" applyNumberFormat="1" applyFont="1" applyFill="1" applyBorder="1" applyAlignment="1">
      <alignment horizontal="center" vertical="center"/>
    </xf>
    <xf numFmtId="164" fontId="66" fillId="18" borderId="17" xfId="0" applyNumberFormat="1" applyFont="1" applyFill="1" applyBorder="1" applyAlignment="1">
      <alignment horizontal="left" vertical="center" wrapText="1"/>
    </xf>
    <xf numFmtId="0" fontId="66" fillId="18" borderId="36" xfId="0" applyFont="1" applyFill="1" applyBorder="1" applyAlignment="1">
      <alignment horizontal="left" vertical="center" wrapText="1"/>
    </xf>
    <xf numFmtId="49" fontId="66" fillId="18" borderId="27" xfId="0" applyNumberFormat="1" applyFont="1" applyFill="1" applyBorder="1" applyAlignment="1">
      <alignment horizontal="center" vertical="center"/>
    </xf>
    <xf numFmtId="3" fontId="66" fillId="18" borderId="37" xfId="0" applyNumberFormat="1" applyFont="1" applyFill="1" applyBorder="1" applyAlignment="1">
      <alignment horizontal="left" vertical="center" wrapText="1"/>
    </xf>
    <xf numFmtId="0" fontId="66" fillId="18" borderId="13" xfId="0" applyFont="1" applyFill="1" applyBorder="1" applyAlignment="1">
      <alignment horizontal="left" vertical="center" wrapText="1"/>
    </xf>
    <xf numFmtId="49" fontId="66" fillId="18" borderId="14" xfId="0" applyNumberFormat="1" applyFont="1" applyFill="1" applyBorder="1" applyAlignment="1">
      <alignment horizontal="center" vertical="center"/>
    </xf>
    <xf numFmtId="0" fontId="66" fillId="18" borderId="37" xfId="0" applyFont="1" applyFill="1" applyBorder="1" applyAlignment="1">
      <alignment horizontal="left" vertical="center" wrapText="1"/>
    </xf>
    <xf numFmtId="164" fontId="66" fillId="18" borderId="13" xfId="0" applyNumberFormat="1" applyFont="1" applyFill="1" applyBorder="1" applyAlignment="1">
      <alignment horizontal="left" vertical="center" wrapText="1"/>
    </xf>
    <xf numFmtId="0" fontId="66" fillId="18" borderId="128" xfId="0" applyFont="1" applyFill="1" applyBorder="1" applyAlignment="1">
      <alignment horizontal="left" vertical="center" wrapText="1"/>
    </xf>
    <xf numFmtId="3" fontId="66" fillId="18" borderId="128" xfId="0" applyNumberFormat="1" applyFont="1" applyFill="1" applyBorder="1" applyAlignment="1">
      <alignment horizontal="left" vertical="center" wrapText="1"/>
    </xf>
    <xf numFmtId="38" fontId="57" fillId="25" borderId="19" xfId="0" applyNumberFormat="1" applyFont="1" applyFill="1" applyBorder="1" applyAlignment="1">
      <alignment horizontal="right"/>
    </xf>
    <xf numFmtId="38" fontId="57" fillId="25" borderId="20" xfId="0" applyNumberFormat="1" applyFont="1" applyFill="1" applyBorder="1" applyAlignment="1">
      <alignment horizontal="right"/>
    </xf>
    <xf numFmtId="38" fontId="57" fillId="25" borderId="11" xfId="0" applyNumberFormat="1" applyFont="1" applyFill="1" applyBorder="1" applyAlignment="1">
      <alignment horizontal="right"/>
    </xf>
    <xf numFmtId="0" fontId="66" fillId="18" borderId="50" xfId="0" applyFont="1" applyFill="1" applyBorder="1" applyAlignment="1" applyProtection="1">
      <alignment horizontal="left" vertical="center"/>
    </xf>
    <xf numFmtId="0" fontId="66" fillId="18" borderId="22" xfId="0" applyFont="1" applyFill="1" applyBorder="1" applyAlignment="1" applyProtection="1">
      <alignment horizontal="center" vertical="center"/>
    </xf>
    <xf numFmtId="0" fontId="66" fillId="18" borderId="46" xfId="0" applyFont="1" applyFill="1" applyBorder="1" applyAlignment="1" applyProtection="1">
      <alignment horizontal="left" vertical="center"/>
    </xf>
    <xf numFmtId="0" fontId="66" fillId="18" borderId="46" xfId="0" applyFont="1" applyFill="1" applyBorder="1" applyAlignment="1" applyProtection="1">
      <alignment horizontal="left" vertical="center" wrapText="1"/>
    </xf>
    <xf numFmtId="0" fontId="66" fillId="18" borderId="46" xfId="0" applyFont="1" applyFill="1" applyBorder="1" applyAlignment="1" applyProtection="1">
      <alignment horizontal="left" vertical="center" indent="1"/>
    </xf>
    <xf numFmtId="0" fontId="67" fillId="24" borderId="13" xfId="0" applyFont="1" applyFill="1" applyBorder="1" applyAlignment="1">
      <alignment horizontal="left" vertical="center"/>
    </xf>
    <xf numFmtId="0" fontId="67" fillId="24" borderId="21" xfId="0" applyFont="1" applyFill="1" applyBorder="1" applyAlignment="1">
      <alignment horizontal="left" vertical="center"/>
    </xf>
    <xf numFmtId="0" fontId="67" fillId="24" borderId="14" xfId="0" applyFont="1" applyFill="1" applyBorder="1" applyAlignment="1">
      <alignment horizontal="left" vertical="center"/>
    </xf>
    <xf numFmtId="0" fontId="56" fillId="16" borderId="12" xfId="0" applyFont="1" applyFill="1" applyBorder="1" applyAlignment="1" applyProtection="1">
      <alignment vertical="center"/>
    </xf>
    <xf numFmtId="0" fontId="66" fillId="0" borderId="160" xfId="0" applyFont="1" applyBorder="1" applyAlignment="1">
      <alignment horizontal="centerContinuous" vertical="center"/>
    </xf>
    <xf numFmtId="0" fontId="57" fillId="0" borderId="161" xfId="0" applyFont="1" applyBorder="1" applyAlignment="1">
      <alignment horizontal="centerContinuous" vertical="center"/>
    </xf>
    <xf numFmtId="0" fontId="59" fillId="0" borderId="161" xfId="0" applyFont="1" applyBorder="1" applyAlignment="1">
      <alignment horizontal="centerContinuous" vertical="center"/>
    </xf>
    <xf numFmtId="0" fontId="66" fillId="0" borderId="105" xfId="0" applyFont="1" applyBorder="1" applyAlignment="1">
      <alignment horizontal="center"/>
    </xf>
    <xf numFmtId="0" fontId="59" fillId="24" borderId="16" xfId="3" applyFont="1" applyFill="1" applyBorder="1" applyAlignment="1">
      <alignment horizontal="left" vertical="center"/>
    </xf>
    <xf numFmtId="0" fontId="59" fillId="24" borderId="10" xfId="3" applyFont="1" applyFill="1" applyBorder="1" applyAlignment="1">
      <alignment horizontal="left" vertical="center"/>
    </xf>
    <xf numFmtId="0" fontId="59" fillId="24" borderId="19" xfId="3" applyNumberFormat="1" applyFont="1" applyFill="1" applyBorder="1" applyAlignment="1">
      <alignment vertical="center"/>
    </xf>
    <xf numFmtId="0" fontId="59" fillId="24" borderId="20" xfId="3" applyNumberFormat="1" applyFont="1" applyFill="1" applyBorder="1" applyAlignment="1">
      <alignment vertical="center"/>
    </xf>
    <xf numFmtId="0" fontId="59" fillId="24" borderId="11" xfId="3" applyNumberFormat="1" applyFont="1" applyFill="1" applyBorder="1" applyAlignment="1">
      <alignment vertical="center"/>
    </xf>
    <xf numFmtId="0" fontId="8" fillId="0" borderId="0" xfId="17" quotePrefix="1" applyNumberFormat="1" applyFont="1"/>
    <xf numFmtId="0" fontId="129" fillId="21" borderId="158" xfId="17" applyFont="1" applyFill="1" applyBorder="1" applyAlignment="1" applyProtection="1">
      <alignment horizontal="left" vertical="top" wrapText="1"/>
    </xf>
    <xf numFmtId="49" fontId="129" fillId="21" borderId="158" xfId="17" applyNumberFormat="1" applyFont="1" applyFill="1" applyBorder="1" applyAlignment="1" applyProtection="1">
      <alignment horizontal="center" vertical="top"/>
    </xf>
    <xf numFmtId="0" fontId="129" fillId="21" borderId="158" xfId="17" applyFont="1" applyFill="1" applyBorder="1" applyAlignment="1" applyProtection="1">
      <alignment vertical="top"/>
    </xf>
    <xf numFmtId="38" fontId="129" fillId="21" borderId="158" xfId="17" applyNumberFormat="1" applyFont="1" applyFill="1" applyBorder="1" applyAlignment="1" applyProtection="1">
      <alignment horizontal="right" vertical="top"/>
    </xf>
    <xf numFmtId="38" fontId="129" fillId="21" borderId="158" xfId="17" applyNumberFormat="1" applyFont="1" applyFill="1" applyBorder="1" applyAlignment="1" applyProtection="1">
      <alignment vertical="top"/>
    </xf>
    <xf numFmtId="0" fontId="9" fillId="0" borderId="158" xfId="17" applyBorder="1" applyAlignment="1" applyProtection="1">
      <alignment horizontal="left" vertical="top" wrapText="1"/>
      <protection locked="0"/>
    </xf>
    <xf numFmtId="0" fontId="9" fillId="0" borderId="158" xfId="17" applyBorder="1" applyAlignment="1" applyProtection="1">
      <alignment vertical="top"/>
      <protection locked="0"/>
    </xf>
    <xf numFmtId="0" fontId="8" fillId="0" borderId="158" xfId="17" applyFont="1" applyBorder="1" applyAlignment="1" applyProtection="1">
      <alignment horizontal="left" vertical="top" wrapText="1"/>
      <protection locked="0"/>
    </xf>
    <xf numFmtId="0" fontId="8" fillId="0" borderId="158" xfId="17" applyFont="1"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9" fillId="0" borderId="98" xfId="17" applyFont="1" applyBorder="1" applyAlignment="1">
      <alignment horizontal="left" vertical="top"/>
    </xf>
    <xf numFmtId="0" fontId="129" fillId="0" borderId="78" xfId="17" applyFont="1" applyBorder="1" applyAlignment="1">
      <alignment horizontal="left" vertical="top"/>
    </xf>
    <xf numFmtId="0" fontId="129" fillId="0" borderId="99" xfId="17" applyFont="1" applyBorder="1" applyAlignment="1">
      <alignment horizontal="left" vertical="top"/>
    </xf>
    <xf numFmtId="0" fontId="35" fillId="0" borderId="0" xfId="2" applyNumberFormat="1" applyAlignment="1" applyProtection="1">
      <alignment vertical="center"/>
    </xf>
    <xf numFmtId="0" fontId="66" fillId="0" borderId="5" xfId="3" applyFont="1" applyFill="1" applyBorder="1" applyAlignment="1" applyProtection="1"/>
    <xf numFmtId="49" fontId="9" fillId="0" borderId="158" xfId="17" applyNumberFormat="1" applyBorder="1" applyAlignment="1" applyProtection="1">
      <alignment horizontal="center" vertical="center"/>
      <protection locked="0"/>
    </xf>
    <xf numFmtId="49" fontId="7" fillId="0" borderId="158" xfId="17" applyNumberFormat="1" applyFont="1" applyBorder="1" applyAlignment="1" applyProtection="1">
      <alignment horizontal="center" vertical="center"/>
      <protection locked="0"/>
    </xf>
    <xf numFmtId="3" fontId="66" fillId="17" borderId="36" xfId="0" applyNumberFormat="1" applyFont="1" applyFill="1" applyBorder="1" applyAlignment="1">
      <alignment horizontal="left" vertical="center" wrapText="1" indent="1"/>
    </xf>
    <xf numFmtId="49" fontId="66" fillId="17" borderId="27" xfId="0" applyNumberFormat="1" applyFont="1" applyFill="1" applyBorder="1" applyAlignment="1">
      <alignment horizontal="center" vertical="center"/>
    </xf>
    <xf numFmtId="38" fontId="57" fillId="17" borderId="27" xfId="0" applyNumberFormat="1" applyFont="1" applyFill="1" applyBorder="1" applyAlignment="1">
      <alignment horizontal="right"/>
    </xf>
    <xf numFmtId="38" fontId="57" fillId="17" borderId="2" xfId="0" applyNumberFormat="1" applyFont="1" applyFill="1" applyBorder="1" applyAlignment="1">
      <alignment horizontal="right"/>
    </xf>
    <xf numFmtId="38" fontId="57" fillId="17" borderId="4" xfId="0" applyNumberFormat="1" applyFont="1" applyFill="1" applyBorder="1" applyAlignment="1">
      <alignment horizontal="right"/>
    </xf>
    <xf numFmtId="49" fontId="66" fillId="17" borderId="36" xfId="0" applyNumberFormat="1" applyFont="1" applyFill="1" applyBorder="1" applyAlignment="1">
      <alignment horizontal="center" vertical="center"/>
    </xf>
    <xf numFmtId="38" fontId="57" fillId="17" borderId="30" xfId="0" applyNumberFormat="1" applyFont="1" applyFill="1" applyBorder="1" applyAlignment="1">
      <alignment horizontal="right"/>
    </xf>
    <xf numFmtId="49" fontId="66" fillId="17" borderId="30" xfId="0" applyNumberFormat="1" applyFont="1" applyFill="1" applyBorder="1" applyAlignment="1">
      <alignment horizontal="center" vertical="center"/>
    </xf>
    <xf numFmtId="0" fontId="66" fillId="17" borderId="32" xfId="0" applyNumberFormat="1" applyFont="1" applyFill="1" applyBorder="1" applyAlignment="1">
      <alignment horizontal="center" vertical="center"/>
    </xf>
    <xf numFmtId="38" fontId="57" fillId="17" borderId="32" xfId="0" applyNumberFormat="1" applyFont="1" applyFill="1" applyBorder="1" applyAlignment="1">
      <alignment horizontal="right"/>
    </xf>
    <xf numFmtId="0" fontId="66" fillId="17" borderId="27" xfId="0" applyFont="1" applyFill="1" applyBorder="1" applyAlignment="1">
      <alignment horizontal="center" vertical="center"/>
    </xf>
    <xf numFmtId="38" fontId="57" fillId="17" borderId="33" xfId="0" applyNumberFormat="1" applyFont="1" applyFill="1" applyBorder="1" applyAlignment="1">
      <alignment horizontal="right"/>
    </xf>
    <xf numFmtId="3" fontId="66" fillId="17" borderId="27" xfId="0" applyNumberFormat="1" applyFont="1" applyFill="1" applyBorder="1" applyAlignment="1">
      <alignment horizontal="left" vertical="center" indent="1"/>
    </xf>
    <xf numFmtId="0" fontId="66" fillId="17" borderId="27" xfId="0" applyFont="1" applyFill="1" applyBorder="1" applyAlignment="1">
      <alignment horizontal="center" vertical="top"/>
    </xf>
    <xf numFmtId="0" fontId="59" fillId="17" borderId="30" xfId="0" applyFont="1" applyFill="1" applyBorder="1" applyAlignment="1">
      <alignment horizontal="left" vertical="center" indent="1"/>
    </xf>
    <xf numFmtId="38" fontId="57" fillId="17" borderId="26" xfId="0" applyNumberFormat="1" applyFont="1" applyFill="1" applyBorder="1" applyAlignment="1">
      <alignment horizontal="right"/>
    </xf>
    <xf numFmtId="38" fontId="57" fillId="17" borderId="28" xfId="0" applyNumberFormat="1" applyFont="1" applyFill="1" applyBorder="1" applyAlignment="1">
      <alignment horizontal="right"/>
    </xf>
    <xf numFmtId="38" fontId="57" fillId="17" borderId="29" xfId="0" applyNumberFormat="1" applyFont="1" applyFill="1" applyBorder="1" applyAlignment="1">
      <alignment horizontal="right"/>
    </xf>
    <xf numFmtId="3" fontId="66" fillId="17" borderId="55" xfId="0" applyNumberFormat="1" applyFont="1" applyFill="1" applyBorder="1" applyAlignment="1">
      <alignment horizontal="left" vertical="center" wrapText="1" indent="1"/>
    </xf>
    <xf numFmtId="49" fontId="66" fillId="17" borderId="32" xfId="0" applyNumberFormat="1" applyFont="1" applyFill="1" applyBorder="1" applyAlignment="1">
      <alignment horizontal="center" vertical="center"/>
    </xf>
    <xf numFmtId="38" fontId="57" fillId="17" borderId="27" xfId="0" applyNumberFormat="1" applyFont="1" applyFill="1" applyBorder="1" applyAlignment="1" applyProtection="1">
      <alignment horizontal="right"/>
    </xf>
    <xf numFmtId="3" fontId="66" fillId="17" borderId="55" xfId="0" applyNumberFormat="1" applyFont="1" applyFill="1" applyBorder="1" applyAlignment="1">
      <alignment horizontal="left" vertical="top" wrapText="1" indent="1"/>
    </xf>
    <xf numFmtId="49" fontId="64" fillId="17" borderId="51" xfId="0" applyNumberFormat="1" applyFont="1" applyFill="1" applyBorder="1" applyAlignment="1">
      <alignment horizontal="center" vertical="top"/>
    </xf>
    <xf numFmtId="3" fontId="66" fillId="17" borderId="27" xfId="0" applyNumberFormat="1" applyFont="1" applyFill="1" applyBorder="1" applyAlignment="1">
      <alignment horizontal="left" vertical="center" wrapText="1" indent="1"/>
    </xf>
    <xf numFmtId="3" fontId="66" fillId="17" borderId="36" xfId="0" applyNumberFormat="1" applyFont="1" applyFill="1" applyBorder="1" applyAlignment="1">
      <alignment horizontal="left" vertical="top" wrapText="1" indent="1"/>
    </xf>
    <xf numFmtId="0" fontId="64" fillId="17" borderId="30" xfId="0" applyFont="1" applyFill="1" applyBorder="1" applyAlignment="1">
      <alignment vertical="top"/>
    </xf>
    <xf numFmtId="3" fontId="66" fillId="17" borderId="36" xfId="0" applyNumberFormat="1" applyFont="1" applyFill="1" applyBorder="1" applyAlignment="1">
      <alignment horizontal="left" vertical="center" indent="1"/>
    </xf>
    <xf numFmtId="0" fontId="66" fillId="17" borderId="30" xfId="0" applyFont="1" applyFill="1" applyBorder="1" applyAlignment="1">
      <alignment horizontal="center" vertical="center"/>
    </xf>
    <xf numFmtId="0" fontId="66" fillId="17" borderId="27" xfId="0" applyFont="1" applyFill="1" applyBorder="1" applyAlignment="1">
      <alignment horizontal="center" vertical="center" wrapText="1"/>
    </xf>
    <xf numFmtId="49" fontId="66" fillId="17" borderId="27" xfId="0" applyNumberFormat="1" applyFont="1" applyFill="1" applyBorder="1" applyAlignment="1">
      <alignment horizontal="center" vertical="top" wrapText="1"/>
    </xf>
    <xf numFmtId="3" fontId="66" fillId="17" borderId="36" xfId="0" applyNumberFormat="1" applyFont="1" applyFill="1" applyBorder="1" applyAlignment="1">
      <alignment horizontal="left" vertical="top" indent="1"/>
    </xf>
    <xf numFmtId="38" fontId="57" fillId="17" borderId="3" xfId="0" applyNumberFormat="1" applyFont="1" applyFill="1" applyBorder="1" applyAlignment="1">
      <alignment horizontal="right"/>
    </xf>
    <xf numFmtId="0" fontId="66" fillId="17" borderId="36" xfId="0" applyFont="1" applyFill="1" applyBorder="1" applyAlignment="1">
      <alignment horizontal="left" vertical="center" wrapText="1" indent="1"/>
    </xf>
    <xf numFmtId="49" fontId="64" fillId="17" borderId="51" xfId="0" applyNumberFormat="1" applyFont="1" applyFill="1" applyBorder="1" applyAlignment="1">
      <alignment horizontal="center" vertical="center"/>
    </xf>
    <xf numFmtId="38" fontId="57" fillId="17" borderId="33" xfId="0" applyNumberFormat="1" applyFont="1" applyFill="1" applyBorder="1" applyAlignment="1" applyProtection="1">
      <alignment horizontal="right"/>
    </xf>
    <xf numFmtId="38" fontId="57" fillId="17" borderId="32" xfId="0" applyNumberFormat="1" applyFont="1" applyFill="1" applyBorder="1" applyAlignment="1" applyProtection="1">
      <alignment horizontal="right"/>
    </xf>
    <xf numFmtId="0" fontId="64" fillId="17" borderId="30" xfId="0" applyFont="1" applyFill="1" applyBorder="1" applyAlignment="1">
      <alignment horizontal="left" vertical="top" wrapText="1" indent="1"/>
    </xf>
    <xf numFmtId="0" fontId="66" fillId="17" borderId="35" xfId="0" applyFont="1" applyFill="1" applyBorder="1" applyAlignment="1" applyProtection="1">
      <alignment horizontal="left" vertical="center" wrapText="1" indent="1"/>
    </xf>
    <xf numFmtId="0" fontId="64" fillId="17" borderId="30" xfId="0" applyFont="1" applyFill="1" applyBorder="1" applyAlignment="1" applyProtection="1">
      <alignment horizontal="left" vertical="center"/>
    </xf>
    <xf numFmtId="38" fontId="57" fillId="17" borderId="36" xfId="0" applyNumberFormat="1" applyFont="1" applyFill="1" applyBorder="1" applyAlignment="1" applyProtection="1">
      <alignment horizontal="right"/>
    </xf>
    <xf numFmtId="0" fontId="66" fillId="17" borderId="35" xfId="0" applyFont="1" applyFill="1" applyBorder="1" applyAlignment="1" applyProtection="1">
      <alignment horizontal="left" vertical="center" indent="1"/>
    </xf>
    <xf numFmtId="0" fontId="64" fillId="17" borderId="30" xfId="0" applyFont="1" applyFill="1" applyBorder="1" applyAlignment="1" applyProtection="1">
      <alignment horizontal="center" vertical="center"/>
    </xf>
    <xf numFmtId="37" fontId="57" fillId="17" borderId="36" xfId="0" applyNumberFormat="1" applyFont="1" applyFill="1" applyBorder="1" applyAlignment="1" applyProtection="1">
      <alignment horizontal="right"/>
    </xf>
    <xf numFmtId="37" fontId="57" fillId="17" borderId="27" xfId="0" applyNumberFormat="1" applyFont="1" applyFill="1" applyBorder="1" applyAlignment="1" applyProtection="1">
      <alignment horizontal="right"/>
    </xf>
    <xf numFmtId="0" fontId="64" fillId="17" borderId="30" xfId="0" applyFont="1" applyFill="1" applyBorder="1" applyAlignment="1" applyProtection="1">
      <alignment horizontal="left" vertical="center" indent="2"/>
    </xf>
    <xf numFmtId="0" fontId="66" fillId="17" borderId="52" xfId="0" applyFont="1" applyFill="1" applyBorder="1" applyAlignment="1" applyProtection="1">
      <alignment horizontal="left" vertical="top" wrapText="1" indent="1"/>
    </xf>
    <xf numFmtId="49" fontId="66" fillId="17" borderId="33" xfId="0" applyNumberFormat="1" applyFont="1" applyFill="1" applyBorder="1" applyAlignment="1">
      <alignment horizontal="center" vertical="center"/>
    </xf>
    <xf numFmtId="38" fontId="57" fillId="17" borderId="37" xfId="0" applyNumberFormat="1" applyFont="1" applyFill="1" applyBorder="1" applyAlignment="1" applyProtection="1">
      <alignment horizontal="right"/>
    </xf>
    <xf numFmtId="49" fontId="66" fillId="17" borderId="35" xfId="0" applyNumberFormat="1" applyFont="1" applyFill="1" applyBorder="1" applyAlignment="1" applyProtection="1">
      <alignment horizontal="left" vertical="top" indent="1"/>
    </xf>
    <xf numFmtId="49" fontId="66" fillId="17" borderId="27" xfId="0" applyNumberFormat="1" applyFont="1" applyFill="1" applyBorder="1" applyAlignment="1">
      <alignment horizontal="center" vertical="top"/>
    </xf>
    <xf numFmtId="38" fontId="57" fillId="17" borderId="12" xfId="0" applyNumberFormat="1" applyFont="1" applyFill="1" applyBorder="1" applyAlignment="1" applyProtection="1">
      <alignment horizontal="right"/>
    </xf>
    <xf numFmtId="49" fontId="64" fillId="17" borderId="30" xfId="0" applyNumberFormat="1" applyFont="1" applyFill="1" applyBorder="1" applyAlignment="1" applyProtection="1">
      <alignment horizontal="center" vertical="center"/>
    </xf>
    <xf numFmtId="1" fontId="64" fillId="17" borderId="30" xfId="0" applyNumberFormat="1" applyFont="1" applyFill="1" applyBorder="1" applyAlignment="1" applyProtection="1">
      <alignment horizontal="center" vertical="center"/>
    </xf>
    <xf numFmtId="38" fontId="57" fillId="17" borderId="3" xfId="0" applyNumberFormat="1" applyFont="1" applyFill="1" applyBorder="1" applyAlignment="1" applyProtection="1">
      <alignment horizontal="right"/>
    </xf>
    <xf numFmtId="38" fontId="57" fillId="17" borderId="55" xfId="0" applyNumberFormat="1" applyFont="1" applyFill="1" applyBorder="1" applyAlignment="1" applyProtection="1">
      <alignment horizontal="right"/>
    </xf>
    <xf numFmtId="0" fontId="66" fillId="17" borderId="35" xfId="0" applyFont="1" applyFill="1" applyBorder="1" applyAlignment="1" applyProtection="1">
      <alignment horizontal="left" indent="1"/>
    </xf>
    <xf numFmtId="0" fontId="64" fillId="17" borderId="30" xfId="0" applyFont="1" applyFill="1" applyBorder="1" applyAlignment="1" applyProtection="1">
      <alignment horizontal="center"/>
    </xf>
    <xf numFmtId="0" fontId="66" fillId="17" borderId="36" xfId="0" applyFont="1" applyFill="1" applyBorder="1" applyAlignment="1" applyProtection="1">
      <alignment horizontal="left" vertical="center" indent="1"/>
    </xf>
    <xf numFmtId="0" fontId="64" fillId="17" borderId="27" xfId="0" applyFont="1" applyFill="1" applyBorder="1" applyAlignment="1" applyProtection="1">
      <alignment horizontal="center" vertical="center"/>
    </xf>
    <xf numFmtId="0" fontId="66" fillId="17" borderId="30" xfId="0" applyFont="1" applyFill="1" applyBorder="1" applyAlignment="1">
      <alignment vertical="center"/>
    </xf>
    <xf numFmtId="49" fontId="66" fillId="17" borderId="33" xfId="0" applyNumberFormat="1" applyFont="1" applyFill="1" applyBorder="1" applyAlignment="1" applyProtection="1">
      <alignment horizontal="left" vertical="center" wrapText="1" indent="1"/>
    </xf>
    <xf numFmtId="49" fontId="66" fillId="17" borderId="53" xfId="0" applyNumberFormat="1" applyFont="1" applyFill="1" applyBorder="1" applyAlignment="1">
      <alignment horizontal="center" vertical="center"/>
    </xf>
    <xf numFmtId="0" fontId="66" fillId="17" borderId="52" xfId="0" applyFont="1" applyFill="1" applyBorder="1" applyAlignment="1" applyProtection="1">
      <alignment horizontal="left" wrapText="1" indent="1"/>
    </xf>
    <xf numFmtId="0" fontId="64" fillId="17" borderId="53" xfId="0" applyFont="1" applyFill="1" applyBorder="1" applyAlignment="1" applyProtection="1">
      <alignment horizontal="left" indent="2"/>
    </xf>
    <xf numFmtId="176" fontId="59" fillId="17" borderId="2" xfId="0" applyNumberFormat="1" applyFont="1" applyFill="1" applyBorder="1" applyAlignment="1" applyProtection="1">
      <alignment vertical="center"/>
    </xf>
    <xf numFmtId="38" fontId="59" fillId="17" borderId="2" xfId="0" applyNumberFormat="1" applyFont="1" applyFill="1" applyBorder="1" applyAlignment="1" applyProtection="1">
      <alignment horizontal="right" vertical="center"/>
    </xf>
    <xf numFmtId="38" fontId="59" fillId="17" borderId="2" xfId="0" applyNumberFormat="1" applyFont="1" applyFill="1" applyBorder="1" applyAlignment="1" applyProtection="1">
      <alignment vertical="center"/>
    </xf>
    <xf numFmtId="37" fontId="59" fillId="17" borderId="13" xfId="5" applyNumberFormat="1" applyFont="1" applyFill="1" applyBorder="1" applyAlignment="1" applyProtection="1">
      <alignment horizontal="right"/>
    </xf>
    <xf numFmtId="0" fontId="66" fillId="17" borderId="35" xfId="0" applyFont="1" applyFill="1" applyBorder="1" applyAlignment="1" applyProtection="1">
      <alignment horizontal="left" vertical="center" indent="2"/>
    </xf>
    <xf numFmtId="38" fontId="57" fillId="17" borderId="30" xfId="0" applyNumberFormat="1" applyFont="1" applyFill="1" applyBorder="1" applyAlignment="1" applyProtection="1">
      <alignment horizontal="right"/>
    </xf>
    <xf numFmtId="0" fontId="66" fillId="17" borderId="20" xfId="0" applyFont="1" applyFill="1" applyBorder="1" applyAlignment="1" applyProtection="1">
      <alignment horizontal="left" vertical="center" indent="2"/>
    </xf>
    <xf numFmtId="0" fontId="66" fillId="17" borderId="14" xfId="0" applyFont="1" applyFill="1" applyBorder="1" applyAlignment="1" applyProtection="1">
      <alignment horizontal="center" vertical="center"/>
    </xf>
    <xf numFmtId="38" fontId="57" fillId="17" borderId="26" xfId="0" applyNumberFormat="1" applyFont="1" applyFill="1" applyBorder="1" applyAlignment="1" applyProtection="1">
      <alignment horizontal="right"/>
    </xf>
    <xf numFmtId="0" fontId="66" fillId="17" borderId="30" xfId="0" applyFont="1" applyFill="1" applyBorder="1" applyAlignment="1" applyProtection="1">
      <alignment horizontal="center" vertical="center"/>
    </xf>
    <xf numFmtId="38" fontId="57" fillId="17" borderId="4" xfId="0" applyNumberFormat="1" applyFont="1" applyFill="1" applyBorder="1" applyAlignment="1" applyProtection="1">
      <alignment horizontal="right"/>
    </xf>
    <xf numFmtId="38" fontId="57" fillId="17" borderId="2" xfId="0" applyNumberFormat="1" applyFont="1" applyFill="1" applyBorder="1" applyAlignment="1" applyProtection="1">
      <alignment horizontal="right"/>
    </xf>
    <xf numFmtId="0" fontId="75" fillId="17" borderId="20" xfId="0" applyFont="1" applyFill="1" applyBorder="1" applyAlignment="1" applyProtection="1">
      <alignment horizontal="left" vertical="center" indent="1"/>
    </xf>
    <xf numFmtId="0" fontId="64" fillId="17" borderId="4" xfId="0" applyFont="1" applyFill="1" applyBorder="1" applyAlignment="1" applyProtection="1">
      <alignment horizontal="center"/>
    </xf>
    <xf numFmtId="38" fontId="57" fillId="17" borderId="28" xfId="0" applyNumberFormat="1" applyFont="1" applyFill="1" applyBorder="1" applyAlignment="1" applyProtection="1">
      <alignment horizontal="right"/>
    </xf>
    <xf numFmtId="38" fontId="57" fillId="17" borderId="18" xfId="0" applyNumberFormat="1" applyFont="1" applyFill="1" applyBorder="1" applyAlignment="1" applyProtection="1">
      <alignment horizontal="right"/>
    </xf>
    <xf numFmtId="38" fontId="57" fillId="17" borderId="0" xfId="0" applyNumberFormat="1" applyFont="1" applyFill="1" applyAlignment="1" applyProtection="1">
      <alignment horizontal="right"/>
    </xf>
    <xf numFmtId="38" fontId="57" fillId="17" borderId="128" xfId="0" applyNumberFormat="1" applyFont="1" applyFill="1" applyBorder="1" applyAlignment="1" applyProtection="1">
      <alignment horizontal="right" vertical="center"/>
      <protection locked="0"/>
    </xf>
    <xf numFmtId="38" fontId="57" fillId="17" borderId="2" xfId="0" applyNumberFormat="1" applyFont="1" applyFill="1" applyBorder="1" applyAlignment="1" applyProtection="1">
      <alignment horizontal="right" vertical="center"/>
      <protection locked="0"/>
    </xf>
    <xf numFmtId="38" fontId="57" fillId="17" borderId="27" xfId="0" applyNumberFormat="1" applyFont="1" applyFill="1" applyBorder="1" applyAlignment="1" applyProtection="1">
      <alignment horizontal="right" vertical="center"/>
      <protection locked="0"/>
    </xf>
    <xf numFmtId="38" fontId="57" fillId="17" borderId="128"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horizontal="right" vertical="center"/>
    </xf>
    <xf numFmtId="0" fontId="66" fillId="17" borderId="27" xfId="0" applyFont="1" applyFill="1" applyBorder="1" applyAlignment="1">
      <alignment horizontal="left" vertical="center" wrapText="1" indent="1"/>
    </xf>
    <xf numFmtId="38" fontId="57" fillId="17" borderId="27" xfId="0" applyNumberFormat="1" applyFont="1" applyFill="1" applyBorder="1" applyAlignment="1" applyProtection="1">
      <alignment horizontal="right" vertical="center"/>
    </xf>
    <xf numFmtId="38" fontId="57" fillId="17" borderId="2" xfId="9" applyNumberFormat="1" applyFont="1" applyFill="1" applyBorder="1" applyAlignment="1" applyProtection="1">
      <alignment horizontal="right"/>
    </xf>
    <xf numFmtId="49" fontId="64" fillId="17" borderId="41" xfId="0" applyNumberFormat="1" applyFont="1" applyFill="1" applyBorder="1" applyAlignment="1" applyProtection="1">
      <alignment horizontal="center" vertical="center"/>
    </xf>
    <xf numFmtId="38" fontId="57" fillId="17" borderId="41" xfId="0" applyNumberFormat="1" applyFont="1" applyFill="1" applyBorder="1" applyAlignment="1" applyProtection="1">
      <alignment vertical="center"/>
    </xf>
    <xf numFmtId="49" fontId="64" fillId="17" borderId="7" xfId="0" applyNumberFormat="1" applyFont="1" applyFill="1" applyBorder="1" applyAlignment="1" applyProtection="1">
      <alignment horizontal="center" vertical="center"/>
    </xf>
    <xf numFmtId="38" fontId="57" fillId="17" borderId="41" xfId="0" applyNumberFormat="1" applyFont="1" applyFill="1" applyBorder="1" applyAlignment="1" applyProtection="1">
      <alignment horizontal="right" vertical="center"/>
    </xf>
    <xf numFmtId="49" fontId="64" fillId="17" borderId="7" xfId="0" applyNumberFormat="1" applyFont="1" applyFill="1" applyBorder="1" applyAlignment="1" applyProtection="1">
      <alignment horizontal="left" vertical="center" indent="2"/>
    </xf>
    <xf numFmtId="0" fontId="59" fillId="17" borderId="7" xfId="0" applyFont="1" applyFill="1" applyBorder="1" applyAlignment="1">
      <alignment horizontal="left" indent="2"/>
    </xf>
    <xf numFmtId="38" fontId="57" fillId="17" borderId="60" xfId="0" applyNumberFormat="1" applyFont="1" applyFill="1" applyBorder="1" applyAlignment="1" applyProtection="1"/>
    <xf numFmtId="38" fontId="57" fillId="17" borderId="41" xfId="0" applyNumberFormat="1" applyFont="1" applyFill="1" applyBorder="1" applyAlignment="1" applyProtection="1">
      <alignment horizontal="right"/>
    </xf>
    <xf numFmtId="0" fontId="66" fillId="17" borderId="54" xfId="0" applyFont="1" applyFill="1" applyBorder="1" applyAlignment="1" applyProtection="1">
      <alignment horizontal="left" vertical="center" indent="2"/>
    </xf>
    <xf numFmtId="0" fontId="66" fillId="17" borderId="41" xfId="0" applyFont="1" applyFill="1" applyBorder="1" applyAlignment="1" applyProtection="1">
      <alignment horizontal="center" vertical="center"/>
    </xf>
    <xf numFmtId="0" fontId="66" fillId="17" borderId="41" xfId="0" applyFont="1" applyFill="1" applyBorder="1" applyAlignment="1" applyProtection="1">
      <alignment horizontal="left" vertical="center" indent="1"/>
    </xf>
    <xf numFmtId="0" fontId="59" fillId="17" borderId="41" xfId="0" applyFont="1" applyFill="1" applyBorder="1" applyAlignment="1" applyProtection="1">
      <alignment vertical="center"/>
    </xf>
    <xf numFmtId="38" fontId="57" fillId="17" borderId="22" xfId="0" applyNumberFormat="1" applyFont="1" applyFill="1" applyBorder="1" applyAlignment="1" applyProtection="1">
      <alignment horizontal="right" vertical="center"/>
    </xf>
    <xf numFmtId="0" fontId="64" fillId="17" borderId="0" xfId="10" applyFont="1" applyFill="1" applyAlignment="1">
      <alignment vertical="center"/>
    </xf>
    <xf numFmtId="0" fontId="64" fillId="17" borderId="0" xfId="10" applyFont="1" applyFill="1" applyAlignment="1">
      <alignment horizontal="center" vertical="center"/>
    </xf>
    <xf numFmtId="0" fontId="64" fillId="17" borderId="0" xfId="10" applyFont="1" applyFill="1" applyAlignment="1">
      <alignment horizontal="right" vertical="center"/>
    </xf>
    <xf numFmtId="0" fontId="66" fillId="17" borderId="0" xfId="10" applyFont="1" applyFill="1" applyAlignment="1">
      <alignment horizontal="right" vertical="center" indent="3"/>
    </xf>
    <xf numFmtId="0" fontId="64" fillId="17" borderId="0" xfId="10" applyFont="1" applyFill="1" applyBorder="1" applyAlignment="1">
      <alignment horizontal="right" vertical="center"/>
    </xf>
    <xf numFmtId="3" fontId="66" fillId="17" borderId="57" xfId="10" applyNumberFormat="1" applyFont="1" applyFill="1" applyBorder="1" applyAlignment="1" applyProtection="1">
      <alignment vertical="center"/>
    </xf>
    <xf numFmtId="0" fontId="64" fillId="17" borderId="0" xfId="10" applyFont="1" applyFill="1" applyAlignment="1">
      <alignment horizontal="left" vertical="center"/>
    </xf>
    <xf numFmtId="0" fontId="66" fillId="17" borderId="0" xfId="10" applyFont="1" applyFill="1" applyAlignment="1">
      <alignment horizontal="right" vertical="center"/>
    </xf>
    <xf numFmtId="38" fontId="66" fillId="17" borderId="47" xfId="10" applyNumberFormat="1" applyFont="1" applyFill="1" applyBorder="1" applyAlignment="1">
      <alignment horizontal="right"/>
    </xf>
    <xf numFmtId="0" fontId="64" fillId="17" borderId="0" xfId="10" quotePrefix="1" applyFont="1" applyFill="1" applyAlignment="1">
      <alignment horizontal="left" vertical="center"/>
    </xf>
    <xf numFmtId="38" fontId="64" fillId="17" borderId="58" xfId="10" applyNumberFormat="1" applyFont="1" applyFill="1" applyBorder="1" applyAlignment="1" applyProtection="1">
      <alignment horizontal="right"/>
    </xf>
    <xf numFmtId="0" fontId="64" fillId="17" borderId="0" xfId="11" quotePrefix="1" applyFont="1" applyFill="1" applyAlignment="1">
      <alignment horizontal="left" vertical="center"/>
    </xf>
    <xf numFmtId="0" fontId="66" fillId="17" borderId="0" xfId="10" quotePrefix="1" applyFont="1" applyFill="1" applyAlignment="1">
      <alignment horizontal="left" vertical="center"/>
    </xf>
    <xf numFmtId="40" fontId="66" fillId="17" borderId="47" xfId="10" applyNumberFormat="1" applyFont="1" applyFill="1" applyBorder="1" applyAlignment="1" applyProtection="1">
      <alignment horizontal="right"/>
    </xf>
    <xf numFmtId="0" fontId="64" fillId="17" borderId="0" xfId="11" applyFont="1" applyFill="1" applyAlignment="1">
      <alignment horizontal="left" vertical="center"/>
    </xf>
    <xf numFmtId="0" fontId="64" fillId="17" borderId="0" xfId="11" applyFont="1" applyFill="1" applyAlignment="1">
      <alignment horizontal="right" vertical="center"/>
    </xf>
    <xf numFmtId="0" fontId="66" fillId="17" borderId="0" xfId="11" applyFont="1" applyFill="1" applyAlignment="1">
      <alignment horizontal="right" vertical="center"/>
    </xf>
    <xf numFmtId="0" fontId="64" fillId="17" borderId="0" xfId="11" applyFont="1" applyFill="1" applyBorder="1" applyAlignment="1">
      <alignment horizontal="right" vertical="center"/>
    </xf>
    <xf numFmtId="38" fontId="66" fillId="17" borderId="9" xfId="11" applyNumberFormat="1" applyFont="1" applyFill="1" applyBorder="1" applyAlignment="1" applyProtection="1">
      <alignment horizontal="right"/>
    </xf>
    <xf numFmtId="38" fontId="64" fillId="17" borderId="6" xfId="11" applyNumberFormat="1" applyFont="1" applyFill="1" applyBorder="1" applyAlignment="1" applyProtection="1">
      <alignment horizontal="right"/>
    </xf>
    <xf numFmtId="0" fontId="64" fillId="17" borderId="0" xfId="11" applyFont="1" applyFill="1" applyAlignment="1">
      <alignment vertical="center"/>
    </xf>
    <xf numFmtId="40" fontId="64" fillId="17" borderId="9" xfId="11" applyNumberFormat="1" applyFont="1" applyFill="1" applyBorder="1" applyAlignment="1" applyProtection="1">
      <alignment horizontal="right"/>
    </xf>
    <xf numFmtId="40" fontId="66" fillId="17" borderId="57" xfId="11" applyNumberFormat="1" applyFont="1" applyFill="1" applyBorder="1" applyAlignment="1" applyProtection="1">
      <alignment horizontal="right"/>
    </xf>
    <xf numFmtId="38" fontId="9" fillId="17" borderId="158" xfId="17" applyNumberFormat="1" applyFill="1" applyBorder="1" applyAlignment="1" applyProtection="1">
      <alignment horizontal="right" vertical="top"/>
    </xf>
    <xf numFmtId="38" fontId="9" fillId="17" borderId="158" xfId="17" applyNumberFormat="1" applyFill="1" applyBorder="1" applyAlignment="1" applyProtection="1">
      <alignment vertical="top"/>
    </xf>
    <xf numFmtId="38" fontId="9" fillId="17" borderId="159" xfId="17" applyNumberFormat="1" applyFill="1" applyBorder="1" applyAlignment="1" applyProtection="1">
      <alignment horizontal="right" vertical="top"/>
    </xf>
    <xf numFmtId="38" fontId="9" fillId="17" borderId="159" xfId="17" applyNumberFormat="1" applyFill="1" applyBorder="1" applyAlignment="1" applyProtection="1">
      <alignment vertical="top"/>
    </xf>
    <xf numFmtId="0" fontId="9" fillId="17" borderId="159" xfId="17" applyFill="1" applyBorder="1" applyAlignment="1" applyProtection="1">
      <alignment horizontal="left" vertical="top" wrapText="1"/>
    </xf>
    <xf numFmtId="49" fontId="9" fillId="17" borderId="159" xfId="17" applyNumberFormat="1" applyFill="1" applyBorder="1" applyAlignment="1" applyProtection="1">
      <alignment vertical="top"/>
    </xf>
    <xf numFmtId="0" fontId="9" fillId="17" borderId="159" xfId="17" applyFill="1" applyBorder="1" applyAlignment="1" applyProtection="1">
      <alignment vertical="top"/>
    </xf>
    <xf numFmtId="0" fontId="57" fillId="17" borderId="127" xfId="0" applyFont="1" applyFill="1" applyBorder="1"/>
    <xf numFmtId="37" fontId="57" fillId="17" borderId="127" xfId="0" applyNumberFormat="1" applyFont="1" applyFill="1" applyBorder="1"/>
    <xf numFmtId="37" fontId="57" fillId="17" borderId="129" xfId="0" applyNumberFormat="1" applyFont="1" applyFill="1" applyBorder="1"/>
    <xf numFmtId="0" fontId="57" fillId="17" borderId="14" xfId="0" applyFont="1" applyFill="1" applyBorder="1"/>
    <xf numFmtId="0" fontId="57" fillId="17" borderId="21" xfId="0" applyFont="1" applyFill="1" applyBorder="1"/>
    <xf numFmtId="37" fontId="57" fillId="17" borderId="14" xfId="0" applyNumberFormat="1" applyFont="1" applyFill="1" applyBorder="1"/>
    <xf numFmtId="37" fontId="57" fillId="17" borderId="21" xfId="0" applyNumberFormat="1" applyFont="1" applyFill="1" applyBorder="1"/>
    <xf numFmtId="38" fontId="57" fillId="17" borderId="14" xfId="0" applyNumberFormat="1" applyFont="1" applyFill="1" applyBorder="1"/>
    <xf numFmtId="0" fontId="64" fillId="17" borderId="0" xfId="0" applyFont="1" applyFill="1" applyBorder="1" applyAlignment="1">
      <alignment horizontal="right"/>
    </xf>
    <xf numFmtId="38" fontId="57" fillId="17" borderId="18" xfId="0" applyNumberFormat="1" applyFont="1" applyFill="1" applyBorder="1"/>
    <xf numFmtId="0" fontId="57" fillId="17" borderId="13" xfId="0" applyFont="1" applyFill="1" applyBorder="1" applyAlignment="1">
      <alignment horizontal="right"/>
    </xf>
    <xf numFmtId="10" fontId="56" fillId="17" borderId="14" xfId="0" applyNumberFormat="1" applyFont="1" applyFill="1" applyBorder="1" applyAlignment="1">
      <alignment horizontal="left" indent="2"/>
    </xf>
    <xf numFmtId="38" fontId="57" fillId="17" borderId="2" xfId="3" applyNumberFormat="1" applyFont="1" applyFill="1" applyBorder="1" applyAlignment="1">
      <alignment vertical="center"/>
    </xf>
    <xf numFmtId="38" fontId="57" fillId="17" borderId="2" xfId="3" applyNumberFormat="1" applyFont="1" applyFill="1" applyBorder="1" applyAlignment="1" applyProtection="1">
      <alignment vertical="center"/>
    </xf>
    <xf numFmtId="38" fontId="57" fillId="17" borderId="27" xfId="3" applyNumberFormat="1" applyFont="1" applyFill="1" applyBorder="1" applyAlignment="1">
      <alignment vertical="center"/>
    </xf>
    <xf numFmtId="9" fontId="57" fillId="17" borderId="4" xfId="3" applyNumberFormat="1" applyFont="1" applyFill="1" applyBorder="1" applyAlignment="1">
      <alignment horizontal="center" vertical="center"/>
    </xf>
    <xf numFmtId="38" fontId="57" fillId="17" borderId="22" xfId="3" applyNumberFormat="1" applyFont="1" applyFill="1" applyBorder="1" applyAlignment="1">
      <alignment horizontal="right" vertical="center"/>
    </xf>
    <xf numFmtId="38" fontId="57" fillId="17" borderId="41" xfId="3" applyNumberFormat="1" applyFont="1" applyFill="1" applyBorder="1" applyAlignment="1">
      <alignment horizontal="right" vertical="center"/>
    </xf>
    <xf numFmtId="38" fontId="57" fillId="17" borderId="75"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7" fillId="17" borderId="60"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7" fillId="17" borderId="128" xfId="0" applyNumberFormat="1" applyFont="1" applyFill="1" applyBorder="1" applyAlignment="1" applyProtection="1">
      <alignment horizontal="right"/>
    </xf>
    <xf numFmtId="0" fontId="66" fillId="16" borderId="17" xfId="0" applyFont="1" applyFill="1" applyBorder="1" applyAlignment="1">
      <alignment horizontal="left" vertical="center" wrapText="1"/>
    </xf>
    <xf numFmtId="49" fontId="66" fillId="16" borderId="26" xfId="0" applyNumberFormat="1" applyFont="1" applyFill="1" applyBorder="1" applyAlignment="1">
      <alignment horizontal="center" vertical="center"/>
    </xf>
    <xf numFmtId="38" fontId="57" fillId="16" borderId="26" xfId="0" applyNumberFormat="1" applyFont="1" applyFill="1" applyBorder="1" applyAlignment="1">
      <alignment horizontal="right"/>
    </xf>
    <xf numFmtId="38" fontId="57" fillId="16"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7" borderId="13" xfId="0" applyFont="1" applyFill="1" applyBorder="1" applyAlignment="1">
      <alignment horizontal="left" vertical="center" wrapText="1"/>
    </xf>
    <xf numFmtId="49" fontId="66" fillId="17"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7"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7"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49" fontId="6" fillId="0" borderId="158" xfId="17" applyNumberFormat="1" applyFont="1" applyBorder="1" applyAlignment="1" applyProtection="1">
      <alignment horizontal="center" vertical="center"/>
      <protection locked="0"/>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62" xfId="3" applyFont="1" applyBorder="1" applyProtection="1"/>
    <xf numFmtId="49" fontId="64" fillId="0" borderId="14"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26" xfId="0" applyNumberFormat="1" applyFont="1" applyFill="1" applyBorder="1" applyAlignment="1" applyProtection="1">
      <alignment horizontal="right"/>
    </xf>
    <xf numFmtId="38" fontId="9" fillId="0" borderId="158" xfId="17" applyNumberFormat="1" applyBorder="1" applyAlignment="1" applyProtection="1">
      <alignment horizontal="right" vertical="top"/>
      <protection locked="0"/>
    </xf>
    <xf numFmtId="49" fontId="8" fillId="0" borderId="158" xfId="17" applyNumberFormat="1" applyFont="1" applyBorder="1" applyAlignment="1" applyProtection="1">
      <alignment horizontal="center" vertical="top"/>
      <protection locked="0"/>
    </xf>
    <xf numFmtId="49" fontId="7" fillId="0" borderId="158" xfId="17" applyNumberFormat="1" applyFont="1" applyBorder="1" applyAlignment="1" applyProtection="1">
      <alignment horizontal="center" vertical="top"/>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4" borderId="0" xfId="18" applyFont="1" applyFill="1" applyAlignment="1">
      <alignment horizontal="centerContinuous" vertical="center"/>
    </xf>
    <xf numFmtId="0" fontId="102" fillId="24" borderId="0" xfId="18" applyFont="1" applyFill="1" applyAlignment="1">
      <alignment horizontal="centerContinuous"/>
    </xf>
    <xf numFmtId="0" fontId="90" fillId="0" borderId="138"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63"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5"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60" xfId="18" applyFont="1" applyBorder="1" applyAlignment="1">
      <alignment horizontal="left" vertical="center" wrapText="1"/>
    </xf>
    <xf numFmtId="0" fontId="106" fillId="0" borderId="161" xfId="18" applyFont="1" applyBorder="1" applyAlignment="1">
      <alignment horizontal="left" vertical="center" wrapText="1"/>
    </xf>
    <xf numFmtId="49" fontId="106" fillId="18"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3"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41" xfId="18" applyFont="1" applyBorder="1" applyAlignment="1">
      <alignment vertical="top"/>
    </xf>
    <xf numFmtId="0" fontId="50" fillId="0" borderId="142" xfId="18" applyFont="1" applyBorder="1" applyAlignment="1">
      <alignment vertical="top"/>
    </xf>
    <xf numFmtId="0" fontId="51" fillId="16" borderId="76" xfId="18" applyFont="1" applyFill="1" applyBorder="1" applyAlignment="1">
      <alignment vertical="top"/>
    </xf>
    <xf numFmtId="0" fontId="50" fillId="0" borderId="141" xfId="18" applyFont="1" applyBorder="1" applyAlignment="1">
      <alignment vertical="top" wrapText="1"/>
    </xf>
    <xf numFmtId="0" fontId="50" fillId="0" borderId="142"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3" borderId="46" xfId="0" applyFont="1" applyFill="1" applyBorder="1" applyAlignment="1" applyProtection="1">
      <alignment horizontal="left" vertical="center"/>
    </xf>
    <xf numFmtId="0" fontId="66" fillId="13" borderId="6" xfId="0" applyFont="1" applyFill="1" applyBorder="1" applyAlignment="1" applyProtection="1">
      <alignment horizontal="left" vertical="center"/>
    </xf>
    <xf numFmtId="0" fontId="64" fillId="13" borderId="7" xfId="0" applyFont="1" applyFill="1" applyBorder="1" applyAlignment="1" applyProtection="1">
      <alignment horizontal="left" vertical="center" indent="2"/>
    </xf>
    <xf numFmtId="0" fontId="67" fillId="13"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4" borderId="0" xfId="18" applyFont="1" applyFill="1" applyAlignment="1">
      <alignment horizontal="centerContinuous" vertical="center"/>
    </xf>
    <xf numFmtId="0" fontId="106" fillId="24" borderId="139" xfId="18" applyFont="1" applyFill="1" applyBorder="1" applyAlignment="1">
      <alignment horizontal="center" vertical="center" wrapText="1"/>
    </xf>
    <xf numFmtId="0" fontId="106" fillId="24" borderId="164" xfId="18" applyFont="1" applyFill="1" applyBorder="1" applyAlignment="1">
      <alignment horizontal="center" vertical="center" wrapText="1"/>
    </xf>
    <xf numFmtId="0" fontId="106" fillId="18" borderId="140" xfId="18" applyFont="1" applyFill="1" applyBorder="1" applyAlignment="1">
      <alignment horizontal="center" vertical="center" wrapText="1"/>
    </xf>
    <xf numFmtId="49" fontId="106" fillId="18" borderId="107" xfId="18" applyNumberFormat="1" applyFont="1" applyFill="1" applyBorder="1" applyAlignment="1">
      <alignment horizontal="center" vertical="center" wrapText="1"/>
    </xf>
    <xf numFmtId="0" fontId="51" fillId="18" borderId="108" xfId="18" applyFont="1" applyFill="1" applyBorder="1" applyAlignment="1">
      <alignment horizontal="center"/>
    </xf>
    <xf numFmtId="0" fontId="104" fillId="0" borderId="140" xfId="18" applyFont="1" applyFill="1" applyBorder="1" applyAlignment="1" applyProtection="1">
      <alignment horizontal="right"/>
    </xf>
    <xf numFmtId="0" fontId="67" fillId="24"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3" borderId="39" xfId="0" applyFont="1" applyFill="1" applyBorder="1"/>
    <xf numFmtId="0" fontId="57" fillId="13" borderId="23" xfId="0" applyFont="1" applyFill="1" applyBorder="1" applyAlignment="1">
      <alignment horizontal="left" vertical="top"/>
    </xf>
    <xf numFmtId="0" fontId="57" fillId="13" borderId="23" xfId="0" applyFont="1" applyFill="1" applyBorder="1" applyAlignment="1">
      <alignment vertical="top" wrapText="1"/>
    </xf>
    <xf numFmtId="0" fontId="66" fillId="13"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8" xfId="11" applyNumberFormat="1" applyFont="1" applyFill="1" applyBorder="1" applyAlignment="1" applyProtection="1">
      <alignment horizontal="right"/>
      <protection locked="0"/>
    </xf>
    <xf numFmtId="38" fontId="64" fillId="17" borderId="0" xfId="11" applyNumberFormat="1" applyFont="1" applyFill="1" applyBorder="1" applyAlignment="1" applyProtection="1">
      <alignment horizontal="right"/>
    </xf>
    <xf numFmtId="38" fontId="64" fillId="17" borderId="9" xfId="11" applyNumberFormat="1" applyFont="1" applyFill="1" applyBorder="1" applyAlignment="1" applyProtection="1">
      <alignment horizontal="right"/>
    </xf>
    <xf numFmtId="3" fontId="64" fillId="17" borderId="9" xfId="10" applyNumberFormat="1" applyFont="1" applyFill="1" applyBorder="1" applyAlignment="1" applyProtection="1">
      <alignment vertical="center"/>
    </xf>
    <xf numFmtId="3" fontId="64" fillId="17" borderId="6" xfId="10" applyNumberFormat="1" applyFont="1" applyFill="1" applyBorder="1" applyAlignment="1" applyProtection="1">
      <alignment vertical="center"/>
    </xf>
    <xf numFmtId="38" fontId="64" fillId="17" borderId="9" xfId="10" applyNumberFormat="1" applyFont="1" applyFill="1" applyBorder="1" applyAlignment="1" applyProtection="1">
      <alignment horizontal="right" vertical="center"/>
    </xf>
    <xf numFmtId="38" fontId="64" fillId="17" borderId="0" xfId="10" applyNumberFormat="1" applyFont="1" applyFill="1" applyAlignment="1">
      <alignment vertical="top"/>
    </xf>
    <xf numFmtId="38" fontId="64" fillId="17" borderId="6" xfId="10" applyNumberFormat="1" applyFont="1" applyFill="1" applyBorder="1" applyAlignment="1" applyProtection="1">
      <alignment horizontal="right" vertical="center"/>
    </xf>
    <xf numFmtId="38" fontId="64" fillId="17" borderId="6" xfId="10" applyNumberFormat="1" applyFont="1" applyFill="1" applyBorder="1" applyAlignment="1" applyProtection="1">
      <alignment horizontal="right"/>
    </xf>
    <xf numFmtId="38" fontId="64" fillId="17" borderId="0" xfId="10" applyNumberFormat="1" applyFont="1" applyFill="1" applyAlignment="1">
      <alignment horizontal="right"/>
    </xf>
    <xf numFmtId="38" fontId="64" fillId="17" borderId="9" xfId="10" applyNumberFormat="1" applyFont="1" applyFill="1" applyBorder="1" applyAlignment="1" applyProtection="1">
      <alignment horizontal="right"/>
    </xf>
    <xf numFmtId="38" fontId="64" fillId="17" borderId="6" xfId="10" applyNumberFormat="1" applyFont="1" applyFill="1" applyBorder="1" applyAlignment="1">
      <alignment horizontal="right"/>
    </xf>
    <xf numFmtId="38" fontId="64" fillId="17" borderId="148"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8" borderId="21" xfId="0" applyFont="1" applyFill="1" applyBorder="1" applyAlignment="1" applyProtection="1">
      <alignment vertical="center"/>
    </xf>
    <xf numFmtId="0" fontId="66" fillId="18" borderId="2" xfId="0" applyFont="1" applyFill="1" applyBorder="1" applyAlignment="1" applyProtection="1">
      <alignment vertical="center"/>
    </xf>
    <xf numFmtId="0" fontId="67" fillId="0" borderId="0" xfId="3" applyNumberFormat="1" applyFont="1" applyAlignment="1" applyProtection="1">
      <alignment horizontal="center"/>
    </xf>
    <xf numFmtId="0" fontId="59" fillId="0" borderId="0" xfId="3" applyNumberFormat="1" applyFont="1" applyAlignment="1" applyProtection="1">
      <alignment horizontal="center"/>
    </xf>
    <xf numFmtId="3" fontId="13" fillId="0" borderId="22" xfId="3" applyNumberFormat="1" applyFont="1" applyBorder="1" applyAlignment="1" applyProtection="1">
      <alignment horizontal="center"/>
      <protection locked="0"/>
    </xf>
    <xf numFmtId="1" fontId="13" fillId="0" borderId="22" xfId="3" applyNumberFormat="1" applyFont="1" applyBorder="1" applyAlignment="1" applyProtection="1">
      <alignment horizontal="center"/>
      <protection locked="0"/>
    </xf>
    <xf numFmtId="169" fontId="13" fillId="0" borderId="22" xfId="3" applyNumberFormat="1" applyFont="1" applyBorder="1" applyAlignment="1" applyProtection="1">
      <alignment horizontal="center"/>
      <protection locked="0"/>
    </xf>
    <xf numFmtId="3" fontId="13" fillId="0" borderId="22" xfId="3" applyNumberFormat="1" applyFont="1" applyBorder="1" applyAlignment="1" applyProtection="1">
      <alignment horizontal="left" vertical="center" wrapText="1"/>
      <protection locked="0"/>
    </xf>
    <xf numFmtId="3" fontId="13" fillId="0" borderId="8" xfId="3" applyNumberFormat="1" applyFont="1" applyBorder="1" applyAlignment="1" applyProtection="1">
      <alignment horizontal="center"/>
      <protection locked="0"/>
    </xf>
    <xf numFmtId="1" fontId="13" fillId="0" borderId="8" xfId="3" applyNumberFormat="1" applyFont="1" applyBorder="1" applyAlignment="1" applyProtection="1">
      <alignment horizontal="center"/>
      <protection locked="0"/>
    </xf>
    <xf numFmtId="169" fontId="13" fillId="0" borderId="8" xfId="3" applyNumberFormat="1" applyFont="1" applyBorder="1" applyAlignment="1" applyProtection="1">
      <alignment horizontal="center"/>
      <protection locked="0"/>
    </xf>
    <xf numFmtId="3" fontId="13" fillId="0" borderId="22" xfId="3" applyNumberFormat="1" applyFont="1" applyBorder="1" applyAlignment="1" applyProtection="1">
      <alignment horizontal="center"/>
      <protection locked="0"/>
    </xf>
    <xf numFmtId="1" fontId="13" fillId="0" borderId="22" xfId="3" applyNumberFormat="1" applyFont="1" applyBorder="1" applyAlignment="1" applyProtection="1">
      <alignment horizontal="center"/>
      <protection locked="0"/>
    </xf>
    <xf numFmtId="169" fontId="13" fillId="0" borderId="22" xfId="3" applyNumberFormat="1" applyFont="1" applyBorder="1" applyAlignment="1" applyProtection="1">
      <alignment horizontal="center"/>
      <protection locked="0"/>
    </xf>
    <xf numFmtId="3" fontId="13" fillId="0" borderId="22" xfId="3" applyNumberFormat="1" applyFont="1" applyBorder="1" applyAlignment="1" applyProtection="1">
      <alignment horizontal="left" vertical="center" wrapText="1"/>
      <protection locked="0"/>
    </xf>
    <xf numFmtId="3" fontId="13" fillId="0" borderId="8" xfId="3" applyNumberFormat="1" applyFont="1" applyBorder="1" applyAlignment="1" applyProtection="1">
      <alignment horizontal="center"/>
      <protection locked="0"/>
    </xf>
    <xf numFmtId="1" fontId="13" fillId="0" borderId="186" xfId="3" applyNumberFormat="1" applyFont="1" applyBorder="1" applyAlignment="1" applyProtection="1">
      <alignment horizontal="center"/>
      <protection locked="0"/>
    </xf>
    <xf numFmtId="169" fontId="13" fillId="0" borderId="186" xfId="3" applyNumberFormat="1" applyFont="1" applyBorder="1" applyAlignment="1" applyProtection="1">
      <alignment horizontal="center"/>
      <protection locked="0"/>
    </xf>
    <xf numFmtId="3" fontId="13" fillId="0" borderId="186" xfId="3" applyNumberFormat="1" applyFont="1" applyBorder="1" applyAlignment="1" applyProtection="1">
      <alignment horizontal="left" vertical="center" wrapText="1"/>
      <protection locked="0"/>
    </xf>
    <xf numFmtId="3" fontId="13" fillId="0" borderId="8" xfId="3" applyNumberFormat="1" applyFont="1" applyBorder="1" applyAlignment="1" applyProtection="1">
      <alignment horizontal="center"/>
      <protection locked="0"/>
    </xf>
    <xf numFmtId="1" fontId="13" fillId="0" borderId="8" xfId="3" applyNumberFormat="1" applyFont="1" applyBorder="1" applyAlignment="1" applyProtection="1">
      <alignment horizontal="center"/>
      <protection locked="0"/>
    </xf>
    <xf numFmtId="169" fontId="13" fillId="0" borderId="8" xfId="3" applyNumberFormat="1" applyFont="1" applyBorder="1" applyAlignment="1" applyProtection="1">
      <alignment horizontal="center"/>
      <protection locked="0"/>
    </xf>
    <xf numFmtId="3" fontId="13" fillId="0" borderId="186" xfId="3" applyNumberFormat="1" applyFont="1" applyBorder="1" applyAlignment="1" applyProtection="1">
      <alignment horizontal="center"/>
      <protection locked="0"/>
    </xf>
    <xf numFmtId="1" fontId="13" fillId="0" borderId="186" xfId="3" applyNumberFormat="1" applyFont="1" applyBorder="1" applyAlignment="1" applyProtection="1">
      <alignment horizontal="center"/>
      <protection locked="0"/>
    </xf>
    <xf numFmtId="169" fontId="13" fillId="0" borderId="186" xfId="3" applyNumberFormat="1" applyFont="1" applyBorder="1" applyAlignment="1" applyProtection="1">
      <alignment horizontal="center"/>
      <protection locked="0"/>
    </xf>
    <xf numFmtId="3" fontId="13" fillId="0" borderId="186" xfId="3" applyNumberFormat="1" applyFont="1" applyBorder="1" applyAlignment="1" applyProtection="1">
      <alignment horizontal="left" vertical="center" wrapText="1"/>
      <protection locked="0"/>
    </xf>
    <xf numFmtId="3" fontId="13" fillId="0" borderId="8" xfId="3" applyNumberFormat="1" applyFont="1" applyBorder="1" applyAlignment="1" applyProtection="1">
      <alignment horizontal="center"/>
      <protection locked="0"/>
    </xf>
    <xf numFmtId="3" fontId="13" fillId="0" borderId="186" xfId="3" applyNumberFormat="1" applyFont="1" applyBorder="1" applyAlignment="1" applyProtection="1">
      <alignment horizontal="center"/>
      <protection locked="0"/>
    </xf>
    <xf numFmtId="1" fontId="13" fillId="0" borderId="186" xfId="3" applyNumberFormat="1" applyFont="1" applyBorder="1" applyAlignment="1" applyProtection="1">
      <alignment horizontal="center"/>
      <protection locked="0"/>
    </xf>
    <xf numFmtId="169" fontId="13" fillId="0" borderId="186" xfId="3" applyNumberFormat="1" applyFont="1" applyBorder="1" applyAlignment="1" applyProtection="1">
      <alignment horizontal="center"/>
      <protection locked="0"/>
    </xf>
    <xf numFmtId="3" fontId="13" fillId="0" borderId="186" xfId="3" applyNumberFormat="1" applyFont="1" applyBorder="1" applyAlignment="1" applyProtection="1">
      <alignment horizontal="left" vertical="center" wrapText="1"/>
      <protection locked="0"/>
    </xf>
    <xf numFmtId="3" fontId="13" fillId="0" borderId="8" xfId="3" applyNumberFormat="1" applyFont="1" applyBorder="1" applyAlignment="1" applyProtection="1">
      <alignment horizontal="center"/>
      <protection locked="0"/>
    </xf>
    <xf numFmtId="1" fontId="13" fillId="0" borderId="8" xfId="3" applyNumberFormat="1" applyFont="1" applyBorder="1" applyAlignment="1" applyProtection="1">
      <alignment horizontal="center"/>
      <protection locked="0"/>
    </xf>
    <xf numFmtId="169" fontId="13" fillId="0" borderId="8" xfId="3" applyNumberFormat="1" applyFont="1" applyBorder="1" applyAlignment="1" applyProtection="1">
      <alignment horizontal="center"/>
      <protection locked="0"/>
    </xf>
    <xf numFmtId="3" fontId="13" fillId="0" borderId="186" xfId="3" applyNumberFormat="1" applyFont="1" applyBorder="1" applyAlignment="1" applyProtection="1">
      <alignment horizontal="left" vertical="center" wrapText="1"/>
      <protection locked="0"/>
    </xf>
    <xf numFmtId="3" fontId="13" fillId="0" borderId="186" xfId="3" applyNumberFormat="1" applyFont="1" applyBorder="1" applyAlignment="1" applyProtection="1">
      <alignment horizontal="center"/>
      <protection locked="0"/>
    </xf>
    <xf numFmtId="1" fontId="13" fillId="0" borderId="186" xfId="3" applyNumberFormat="1" applyFont="1" applyBorder="1" applyAlignment="1" applyProtection="1">
      <alignment horizontal="center"/>
      <protection locked="0"/>
    </xf>
    <xf numFmtId="169" fontId="13" fillId="0" borderId="186" xfId="3" applyNumberFormat="1" applyFont="1" applyBorder="1" applyAlignment="1" applyProtection="1">
      <alignment horizontal="center"/>
      <protection locked="0"/>
    </xf>
    <xf numFmtId="3" fontId="13" fillId="0" borderId="186" xfId="3" applyNumberFormat="1" applyFont="1" applyBorder="1" applyAlignment="1" applyProtection="1">
      <alignment horizontal="left" vertical="center" wrapText="1"/>
      <protection locked="0"/>
    </xf>
    <xf numFmtId="3" fontId="13" fillId="0" borderId="186" xfId="3" applyNumberFormat="1" applyFont="1" applyBorder="1" applyAlignment="1" applyProtection="1">
      <alignment horizontal="left" vertical="center" wrapText="1"/>
      <protection locked="0"/>
    </xf>
    <xf numFmtId="3" fontId="13" fillId="0" borderId="186" xfId="3" applyNumberFormat="1" applyFont="1" applyBorder="1" applyAlignment="1" applyProtection="1">
      <alignment horizontal="left" vertical="center" wrapText="1"/>
      <protection locked="0"/>
    </xf>
    <xf numFmtId="3" fontId="13" fillId="0" borderId="186" xfId="3" applyNumberFormat="1" applyFont="1" applyFill="1" applyBorder="1" applyAlignment="1" applyProtection="1">
      <alignment horizontal="center"/>
      <protection locked="0"/>
    </xf>
    <xf numFmtId="3" fontId="13" fillId="0" borderId="8" xfId="3" applyNumberFormat="1" applyFont="1" applyFill="1" applyBorder="1" applyAlignment="1" applyProtection="1">
      <alignment horizontal="center"/>
      <protection locked="0"/>
    </xf>
    <xf numFmtId="3" fontId="13" fillId="0" borderId="22" xfId="3" applyNumberFormat="1" applyFont="1" applyFill="1" applyBorder="1" applyAlignment="1" applyProtection="1">
      <alignment horizontal="center"/>
      <protection locked="0"/>
    </xf>
    <xf numFmtId="3" fontId="64" fillId="0" borderId="22" xfId="3" applyNumberFormat="1" applyFont="1" applyFill="1" applyBorder="1" applyAlignment="1" applyProtection="1">
      <alignment horizontal="center"/>
      <protection locked="0"/>
    </xf>
    <xf numFmtId="3" fontId="64" fillId="0" borderId="8" xfId="3" applyNumberFormat="1" applyFont="1" applyFill="1" applyBorder="1" applyAlignment="1" applyProtection="1">
      <alignment horizontal="center"/>
      <protection locked="0"/>
    </xf>
    <xf numFmtId="38" fontId="57" fillId="0" borderId="185" xfId="0" applyNumberFormat="1" applyFont="1" applyFill="1" applyBorder="1" applyAlignment="1" applyProtection="1">
      <alignment horizontal="right" vertical="center"/>
      <protection locked="0"/>
    </xf>
    <xf numFmtId="38" fontId="57" fillId="0" borderId="128" xfId="0" applyNumberFormat="1" applyFont="1" applyFill="1" applyBorder="1" applyAlignment="1" applyProtection="1">
      <alignment horizontal="right" vertical="center"/>
      <protection locked="0"/>
    </xf>
    <xf numFmtId="38" fontId="57" fillId="0" borderId="185" xfId="0" applyNumberFormat="1" applyFont="1" applyFill="1" applyBorder="1" applyAlignment="1" applyProtection="1">
      <alignment horizontal="right" vertical="center"/>
      <protection locked="0"/>
    </xf>
    <xf numFmtId="38" fontId="57" fillId="0" borderId="128" xfId="0" applyNumberFormat="1" applyFont="1" applyFill="1" applyBorder="1" applyAlignment="1" applyProtection="1">
      <alignment horizontal="right" vertical="center"/>
      <protection locked="0"/>
    </xf>
    <xf numFmtId="164" fontId="64" fillId="0" borderId="185" xfId="9" applyNumberFormat="1" applyFont="1" applyFill="1" applyBorder="1" applyAlignment="1" applyProtection="1">
      <alignment horizontal="left" vertical="center"/>
      <protection locked="0"/>
    </xf>
    <xf numFmtId="177" fontId="64" fillId="0" borderId="185" xfId="9" applyNumberFormat="1" applyFont="1" applyFill="1" applyBorder="1" applyAlignment="1" applyProtection="1">
      <alignment horizontal="right"/>
      <protection locked="0"/>
    </xf>
    <xf numFmtId="38" fontId="57" fillId="0" borderId="185" xfId="9" applyNumberFormat="1" applyFont="1" applyFill="1" applyBorder="1" applyAlignment="1" applyProtection="1">
      <alignment horizontal="right"/>
      <protection locked="0"/>
    </xf>
    <xf numFmtId="3" fontId="57" fillId="0" borderId="185" xfId="9" applyNumberFormat="1" applyFont="1" applyFill="1" applyBorder="1" applyAlignment="1" applyProtection="1">
      <alignment horizontal="right" vertical="center"/>
      <protection locked="0"/>
    </xf>
    <xf numFmtId="38" fontId="57" fillId="0" borderId="186" xfId="0" applyNumberFormat="1" applyFont="1" applyFill="1" applyBorder="1" applyAlignment="1" applyProtection="1">
      <alignment horizontal="right" vertical="center"/>
      <protection locked="0"/>
    </xf>
    <xf numFmtId="38" fontId="57" fillId="0" borderId="186" xfId="0" applyNumberFormat="1" applyFont="1" applyBorder="1" applyAlignment="1" applyProtection="1">
      <alignment horizontal="right" vertical="center"/>
      <protection locked="0"/>
    </xf>
    <xf numFmtId="38" fontId="57" fillId="0" borderId="186" xfId="0" applyNumberFormat="1" applyFont="1" applyBorder="1" applyAlignment="1" applyProtection="1">
      <alignment horizontal="right"/>
      <protection locked="0"/>
    </xf>
    <xf numFmtId="38" fontId="57" fillId="0" borderId="186" xfId="0" applyNumberFormat="1" applyFont="1" applyFill="1" applyBorder="1" applyAlignment="1" applyProtection="1">
      <alignment horizontal="right" vertical="center"/>
      <protection locked="0"/>
    </xf>
    <xf numFmtId="38" fontId="57" fillId="0" borderId="186" xfId="0" applyNumberFormat="1" applyFont="1" applyBorder="1" applyAlignment="1" applyProtection="1">
      <alignment horizontal="right" vertical="center"/>
      <protection locked="0"/>
    </xf>
    <xf numFmtId="38" fontId="57" fillId="0" borderId="186" xfId="0" applyNumberFormat="1" applyFont="1" applyFill="1" applyBorder="1" applyAlignment="1" applyProtection="1">
      <alignment horizontal="right" vertical="center"/>
      <protection locked="0"/>
    </xf>
    <xf numFmtId="38" fontId="57" fillId="0" borderId="186" xfId="0" applyNumberFormat="1" applyFont="1" applyFill="1" applyBorder="1" applyAlignment="1" applyProtection="1">
      <alignment horizontal="right"/>
      <protection locked="0"/>
    </xf>
    <xf numFmtId="38" fontId="57" fillId="0" borderId="186" xfId="0" applyNumberFormat="1" applyFont="1" applyFill="1" applyBorder="1" applyAlignment="1" applyProtection="1">
      <alignment horizontal="right" vertical="center"/>
      <protection locked="0"/>
    </xf>
    <xf numFmtId="0" fontId="0" fillId="0" borderId="0" xfId="0"/>
    <xf numFmtId="0" fontId="59" fillId="0" borderId="0" xfId="0" applyFont="1"/>
    <xf numFmtId="164" fontId="64" fillId="0" borderId="0" xfId="0" applyNumberFormat="1" applyFont="1"/>
    <xf numFmtId="0" fontId="0" fillId="0" borderId="0" xfId="0"/>
    <xf numFmtId="0" fontId="59" fillId="0" borderId="184" xfId="3" applyNumberFormat="1" applyFont="1" applyBorder="1" applyAlignment="1" applyProtection="1">
      <alignment horizontal="center" vertical="center"/>
      <protection locked="0"/>
    </xf>
    <xf numFmtId="0" fontId="64" fillId="0" borderId="0" xfId="3" applyNumberFormat="1" applyFont="1" applyBorder="1" applyAlignment="1" applyProtection="1">
      <alignment horizont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9" xfId="12" applyFont="1" applyBorder="1" applyAlignment="1" applyProtection="1">
      <alignment horizontal="center" vertical="center" wrapText="1"/>
    </xf>
    <xf numFmtId="0" fontId="137" fillId="0" borderId="127"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7" xfId="12" applyFont="1" applyBorder="1" applyAlignment="1" applyProtection="1">
      <alignment horizontal="left" vertical="center" indent="1"/>
      <protection locked="0"/>
    </xf>
    <xf numFmtId="0" fontId="15" fillId="0" borderId="127"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9"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6" xfId="12" applyNumberFormat="1" applyFont="1" applyBorder="1" applyAlignment="1" applyProtection="1">
      <alignment horizontal="left" vertical="center" indent="1"/>
      <protection locked="0"/>
    </xf>
    <xf numFmtId="0" fontId="15" fillId="0" borderId="129" xfId="12" applyNumberFormat="1" applyFont="1" applyBorder="1" applyAlignment="1" applyProtection="1">
      <alignment horizontal="left" vertical="center" indent="1"/>
      <protection locked="0"/>
    </xf>
    <xf numFmtId="0" fontId="15" fillId="0" borderId="127"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9" xfId="12" applyNumberFormat="1" applyFont="1" applyBorder="1" applyAlignment="1" applyProtection="1">
      <alignment horizontal="left" vertical="center" indent="1"/>
      <protection locked="0"/>
    </xf>
    <xf numFmtId="180" fontId="15" fillId="0" borderId="127" xfId="12" applyNumberFormat="1" applyFont="1" applyBorder="1" applyAlignment="1" applyProtection="1">
      <alignment horizontal="left" vertical="center" indent="1"/>
      <protection locked="0"/>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9" xfId="3" applyFont="1" applyBorder="1" applyAlignment="1" applyProtection="1">
      <alignment horizontal="left" vertical="top"/>
      <protection locked="0"/>
    </xf>
    <xf numFmtId="0" fontId="57" fillId="0" borderId="127" xfId="3" applyFont="1" applyBorder="1" applyAlignment="1" applyProtection="1">
      <alignment horizontal="left" vertical="top"/>
      <protection locked="0"/>
    </xf>
    <xf numFmtId="0" fontId="56" fillId="0" borderId="135"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9" borderId="0" xfId="0" applyFont="1" applyFill="1" applyBorder="1" applyAlignment="1" applyProtection="1">
      <alignment horizontal="center" vertical="center"/>
    </xf>
    <xf numFmtId="0" fontId="56" fillId="19"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9" xfId="0" applyFont="1" applyBorder="1" applyAlignment="1" applyProtection="1">
      <alignment horizontal="left" vertical="top" wrapText="1"/>
      <protection locked="0"/>
    </xf>
    <xf numFmtId="0" fontId="57" fillId="0" borderId="127"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7" xfId="0" applyFont="1" applyFill="1" applyBorder="1" applyAlignment="1" applyProtection="1">
      <alignment horizontal="center" vertical="center" wrapText="1"/>
    </xf>
    <xf numFmtId="3" fontId="66" fillId="24" borderId="13" xfId="0" applyNumberFormat="1" applyFont="1" applyFill="1" applyBorder="1" applyAlignment="1" applyProtection="1">
      <alignment horizontal="left" vertical="center"/>
    </xf>
    <xf numFmtId="3" fontId="66" fillId="24" borderId="14" xfId="0" applyNumberFormat="1" applyFont="1" applyFill="1" applyBorder="1" applyAlignment="1" applyProtection="1">
      <alignment horizontal="left" vertical="center"/>
    </xf>
    <xf numFmtId="164" fontId="66" fillId="24" borderId="49" xfId="0" applyNumberFormat="1" applyFont="1" applyFill="1" applyBorder="1" applyAlignment="1" applyProtection="1">
      <alignment horizontal="left" vertical="center"/>
    </xf>
    <xf numFmtId="164" fontId="66" fillId="24" borderId="31" xfId="0" applyNumberFormat="1" applyFont="1" applyFill="1" applyBorder="1" applyAlignment="1" applyProtection="1">
      <alignment horizontal="left" vertical="center"/>
    </xf>
    <xf numFmtId="0" fontId="66" fillId="24" borderId="34" xfId="0" applyFont="1" applyFill="1" applyBorder="1" applyAlignment="1" applyProtection="1">
      <alignment horizontal="left" vertical="center"/>
    </xf>
    <xf numFmtId="0" fontId="66" fillId="24" borderId="31" xfId="0" applyFont="1" applyFill="1" applyBorder="1" applyAlignment="1" applyProtection="1">
      <alignment horizontal="left" vertical="center"/>
    </xf>
    <xf numFmtId="164" fontId="66" fillId="24" borderId="13" xfId="0" applyNumberFormat="1" applyFont="1" applyFill="1" applyBorder="1" applyAlignment="1" applyProtection="1">
      <alignment horizontal="left" vertical="center"/>
    </xf>
    <xf numFmtId="164" fontId="66" fillId="24" borderId="14" xfId="0" applyNumberFormat="1" applyFont="1" applyFill="1" applyBorder="1" applyAlignment="1" applyProtection="1">
      <alignment horizontal="left" vertical="center"/>
    </xf>
    <xf numFmtId="164" fontId="66" fillId="17" borderId="36" xfId="0" applyNumberFormat="1" applyFont="1" applyFill="1" applyBorder="1" applyAlignment="1" applyProtection="1">
      <alignment horizontal="left" vertical="center" wrapText="1" indent="2"/>
    </xf>
    <xf numFmtId="164" fontId="66" fillId="17" borderId="30" xfId="0" applyNumberFormat="1" applyFont="1" applyFill="1" applyBorder="1" applyAlignment="1" applyProtection="1">
      <alignment horizontal="left" vertical="center" wrapText="1" indent="2"/>
    </xf>
    <xf numFmtId="0" fontId="66" fillId="17" borderId="52" xfId="0" applyFont="1" applyFill="1" applyBorder="1" applyAlignment="1" applyProtection="1">
      <alignment horizontal="left" vertical="center" indent="2"/>
    </xf>
    <xf numFmtId="0" fontId="66" fillId="17" borderId="53" xfId="0" applyFont="1" applyFill="1" applyBorder="1" applyAlignment="1" applyProtection="1">
      <alignment horizontal="left" vertical="center" indent="2"/>
    </xf>
    <xf numFmtId="0" fontId="66" fillId="17" borderId="35" xfId="0" applyFont="1" applyFill="1" applyBorder="1" applyAlignment="1" applyProtection="1">
      <alignment horizontal="left" vertical="center" indent="2"/>
    </xf>
    <xf numFmtId="0" fontId="66"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center" wrapText="1" indent="2"/>
    </xf>
    <xf numFmtId="0" fontId="59" fillId="17"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7" xfId="0" applyNumberFormat="1" applyFont="1" applyBorder="1" applyAlignment="1" applyProtection="1">
      <alignment horizontal="center" vertical="center" wrapText="1"/>
    </xf>
    <xf numFmtId="0" fontId="66" fillId="17" borderId="34" xfId="0" applyFont="1" applyFill="1" applyBorder="1" applyAlignment="1" applyProtection="1">
      <alignment horizontal="left" vertical="center" indent="1"/>
    </xf>
    <xf numFmtId="0" fontId="66" fillId="17"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6" borderId="13" xfId="0" applyNumberFormat="1" applyFont="1" applyFill="1" applyBorder="1" applyAlignment="1" applyProtection="1">
      <alignment horizontal="left" vertical="center" wrapText="1" indent="1"/>
    </xf>
    <xf numFmtId="164" fontId="66" fillId="26" borderId="14" xfId="0" applyNumberFormat="1" applyFont="1" applyFill="1" applyBorder="1" applyAlignment="1" applyProtection="1">
      <alignment horizontal="left" vertical="center" wrapText="1" indent="1"/>
    </xf>
    <xf numFmtId="164" fontId="66" fillId="15" borderId="13" xfId="0" applyNumberFormat="1" applyFont="1" applyFill="1" applyBorder="1" applyAlignment="1" applyProtection="1">
      <alignment horizontal="left" vertical="center" wrapText="1" indent="1"/>
    </xf>
    <xf numFmtId="164" fontId="66" fillId="15" borderId="14" xfId="0" applyNumberFormat="1" applyFont="1" applyFill="1" applyBorder="1" applyAlignment="1" applyProtection="1">
      <alignment horizontal="left" vertical="center" wrapText="1" indent="1"/>
    </xf>
    <xf numFmtId="164" fontId="66" fillId="18" borderId="13" xfId="0" applyNumberFormat="1" applyFont="1" applyFill="1" applyBorder="1" applyAlignment="1" applyProtection="1">
      <alignment horizontal="left" vertical="center" wrapText="1"/>
    </xf>
    <xf numFmtId="164" fontId="66" fillId="18" borderId="14" xfId="0" applyNumberFormat="1" applyFont="1" applyFill="1" applyBorder="1" applyAlignment="1" applyProtection="1">
      <alignment horizontal="left" vertical="center" wrapText="1"/>
    </xf>
    <xf numFmtId="49" fontId="66" fillId="24" borderId="13" xfId="0" applyNumberFormat="1" applyFont="1" applyFill="1" applyBorder="1" applyAlignment="1" applyProtection="1">
      <alignment horizontal="left" vertical="center"/>
    </xf>
    <xf numFmtId="49" fontId="66" fillId="24" borderId="14" xfId="0" applyNumberFormat="1" applyFont="1" applyFill="1" applyBorder="1" applyAlignment="1" applyProtection="1">
      <alignment horizontal="left" vertical="center"/>
    </xf>
    <xf numFmtId="0" fontId="66" fillId="24" borderId="13" xfId="0" applyFont="1" applyFill="1" applyBorder="1" applyAlignment="1" applyProtection="1">
      <alignment vertical="center"/>
    </xf>
    <xf numFmtId="0" fontId="66" fillId="24" borderId="14" xfId="0" applyFont="1" applyFill="1" applyBorder="1" applyAlignment="1" applyProtection="1">
      <alignment vertical="center"/>
    </xf>
    <xf numFmtId="164" fontId="66" fillId="17" borderId="13" xfId="0" applyNumberFormat="1" applyFont="1" applyFill="1" applyBorder="1" applyAlignment="1" applyProtection="1">
      <alignment horizontal="left" vertical="center" wrapText="1" indent="2"/>
    </xf>
    <xf numFmtId="164" fontId="66" fillId="17"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7" borderId="24" xfId="0" applyFont="1" applyFill="1" applyBorder="1" applyAlignment="1" applyProtection="1">
      <alignment horizontal="left" vertical="center" indent="1"/>
    </xf>
    <xf numFmtId="0" fontId="59" fillId="17" borderId="51" xfId="0" applyFont="1" applyFill="1" applyBorder="1" applyAlignment="1">
      <alignment horizontal="left" vertical="center" indent="1"/>
    </xf>
    <xf numFmtId="0" fontId="66" fillId="18" borderId="21" xfId="0" applyFont="1" applyFill="1" applyBorder="1" applyAlignment="1">
      <alignment horizontal="left" vertical="center" wrapText="1"/>
    </xf>
    <xf numFmtId="0" fontId="59" fillId="18" borderId="14" xfId="0" applyFont="1" applyFill="1" applyBorder="1" applyAlignment="1">
      <alignment horizontal="left" vertical="center" wrapText="1"/>
    </xf>
    <xf numFmtId="0" fontId="66" fillId="18" borderId="34" xfId="0" applyFont="1" applyFill="1" applyBorder="1" applyAlignment="1">
      <alignment vertical="top" wrapText="1"/>
    </xf>
    <xf numFmtId="0" fontId="59" fillId="18" borderId="31" xfId="0" applyFont="1" applyFill="1" applyBorder="1" applyAlignment="1">
      <alignment vertical="top" wrapText="1"/>
    </xf>
    <xf numFmtId="0" fontId="66" fillId="17" borderId="35" xfId="0" applyFont="1" applyFill="1" applyBorder="1" applyAlignment="1" applyProtection="1">
      <alignment horizontal="left" vertical="top" wrapText="1" indent="1"/>
    </xf>
    <xf numFmtId="0" fontId="59" fillId="17" borderId="30" xfId="0" applyFont="1" applyFill="1" applyBorder="1" applyAlignment="1">
      <alignment horizontal="left" vertical="top" wrapText="1" indent="1"/>
    </xf>
    <xf numFmtId="0" fontId="66" fillId="17" borderId="35" xfId="0" applyFont="1" applyFill="1" applyBorder="1" applyAlignment="1" applyProtection="1">
      <alignment horizontal="left" vertical="top" indent="1"/>
    </xf>
    <xf numFmtId="0" fontId="59" fillId="17" borderId="30" xfId="0" applyFont="1" applyFill="1" applyBorder="1" applyAlignment="1">
      <alignment horizontal="left" vertical="top" indent="1"/>
    </xf>
    <xf numFmtId="0" fontId="66" fillId="18" borderId="34" xfId="0" applyFont="1" applyFill="1" applyBorder="1" applyAlignment="1">
      <alignment vertical="center" wrapText="1"/>
    </xf>
    <xf numFmtId="0" fontId="59" fillId="18" borderId="31" xfId="0" applyFont="1" applyFill="1" applyBorder="1" applyAlignment="1">
      <alignment vertical="center" wrapText="1"/>
    </xf>
    <xf numFmtId="3" fontId="66" fillId="17" borderId="49" xfId="0" applyNumberFormat="1" applyFont="1" applyFill="1" applyBorder="1" applyAlignment="1">
      <alignment horizontal="left" vertical="top" indent="1"/>
    </xf>
    <xf numFmtId="3" fontId="66" fillId="17"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4" borderId="19" xfId="0" applyFont="1" applyFill="1" applyBorder="1" applyAlignment="1">
      <alignment horizontal="center" vertical="center"/>
    </xf>
    <xf numFmtId="0" fontId="59" fillId="24" borderId="11" xfId="0" applyFont="1" applyFill="1" applyBorder="1" applyAlignment="1">
      <alignment horizontal="center" vertical="center"/>
    </xf>
    <xf numFmtId="0" fontId="67" fillId="25" borderId="20" xfId="0" applyFont="1" applyFill="1" applyBorder="1" applyAlignment="1">
      <alignment horizontal="center" vertical="center"/>
    </xf>
    <xf numFmtId="0" fontId="67" fillId="25" borderId="11" xfId="0" applyFont="1" applyFill="1" applyBorder="1" applyAlignment="1">
      <alignment horizontal="center" vertical="center"/>
    </xf>
    <xf numFmtId="0" fontId="59" fillId="25" borderId="11" xfId="0" applyFont="1" applyFill="1" applyBorder="1" applyAlignment="1">
      <alignment horizontal="center" vertical="center"/>
    </xf>
    <xf numFmtId="0" fontId="67" fillId="24" borderId="107" xfId="0" applyFont="1" applyFill="1" applyBorder="1" applyAlignment="1">
      <alignment horizontal="center" vertical="center"/>
    </xf>
    <xf numFmtId="0" fontId="59" fillId="24" borderId="132" xfId="0" applyFont="1" applyFill="1" applyBorder="1" applyAlignment="1">
      <alignment horizontal="center" vertical="center"/>
    </xf>
    <xf numFmtId="0" fontId="67" fillId="24" borderId="20" xfId="0" applyFont="1" applyFill="1" applyBorder="1" applyAlignment="1">
      <alignment horizontal="center" vertical="center"/>
    </xf>
    <xf numFmtId="3" fontId="66" fillId="17" borderId="34" xfId="0" applyNumberFormat="1" applyFont="1" applyFill="1" applyBorder="1" applyAlignment="1">
      <alignment horizontal="left" vertical="top" wrapText="1" indent="1"/>
    </xf>
    <xf numFmtId="0" fontId="59" fillId="17" borderId="31" xfId="0" applyFont="1" applyFill="1" applyBorder="1" applyAlignment="1">
      <alignment horizontal="left" vertical="top" wrapText="1"/>
    </xf>
    <xf numFmtId="3" fontId="66" fillId="17" borderId="23" xfId="0" applyNumberFormat="1" applyFont="1" applyFill="1" applyBorder="1" applyAlignment="1">
      <alignment horizontal="left" vertical="top" wrapText="1" indent="1"/>
    </xf>
    <xf numFmtId="0" fontId="59" fillId="17" borderId="38" xfId="0" applyFont="1" applyFill="1" applyBorder="1" applyAlignment="1">
      <alignment horizontal="left" vertical="top" wrapText="1" indent="1"/>
    </xf>
    <xf numFmtId="3" fontId="66" fillId="17" borderId="24" xfId="0" applyNumberFormat="1" applyFont="1" applyFill="1" applyBorder="1" applyAlignment="1">
      <alignment horizontal="left" vertical="top" wrapText="1" indent="1"/>
    </xf>
    <xf numFmtId="0" fontId="64" fillId="17" borderId="51" xfId="0" applyFont="1" applyFill="1" applyBorder="1" applyAlignment="1">
      <alignment horizontal="left" vertical="top" wrapText="1" indent="1"/>
    </xf>
    <xf numFmtId="3" fontId="66" fillId="17" borderId="35" xfId="0" applyNumberFormat="1" applyFont="1" applyFill="1" applyBorder="1" applyAlignment="1">
      <alignment horizontal="left" vertical="top" wrapText="1" indent="1"/>
    </xf>
    <xf numFmtId="3" fontId="66" fillId="17" borderId="35" xfId="0" applyNumberFormat="1" applyFont="1" applyFill="1" applyBorder="1" applyAlignment="1">
      <alignment horizontal="left" vertical="top" indent="1"/>
    </xf>
    <xf numFmtId="0" fontId="64" fillId="17"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4" borderId="20" xfId="0" applyFont="1" applyFill="1" applyBorder="1" applyAlignment="1">
      <alignment horizontal="center" vertical="center" wrapText="1"/>
    </xf>
    <xf numFmtId="0" fontId="59" fillId="24" borderId="11" xfId="0" applyFont="1" applyFill="1" applyBorder="1" applyAlignment="1">
      <alignment horizontal="center" vertical="center" wrapText="1"/>
    </xf>
    <xf numFmtId="3" fontId="67" fillId="24" borderId="13" xfId="0" applyNumberFormat="1" applyFont="1" applyFill="1" applyBorder="1" applyAlignment="1">
      <alignment horizontal="center" vertical="center"/>
    </xf>
    <xf numFmtId="0" fontId="59" fillId="24" borderId="14" xfId="0" applyFont="1" applyFill="1" applyBorder="1" applyAlignment="1">
      <alignment horizontal="center" vertical="center"/>
    </xf>
    <xf numFmtId="0" fontId="67" fillId="24" borderId="21" xfId="0" applyFont="1" applyFill="1" applyBorder="1" applyAlignment="1">
      <alignment horizontal="center" vertical="center"/>
    </xf>
    <xf numFmtId="3" fontId="66" fillId="16" borderId="10" xfId="0" applyNumberFormat="1" applyFont="1" applyFill="1" applyBorder="1" applyAlignment="1" applyProtection="1">
      <alignment horizontal="center" vertical="center" wrapText="1"/>
    </xf>
    <xf numFmtId="3" fontId="66" fillId="16" borderId="127"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7" borderId="13" xfId="0" applyNumberFormat="1" applyFont="1" applyFill="1" applyBorder="1" applyAlignment="1" applyProtection="1">
      <alignment horizontal="left" vertical="center" wrapText="1" indent="1"/>
    </xf>
    <xf numFmtId="0" fontId="59" fillId="17"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7" borderId="13" xfId="0" applyNumberFormat="1" applyFont="1" applyFill="1" applyBorder="1" applyAlignment="1" applyProtection="1">
      <alignment horizontal="left" vertical="center" indent="1"/>
    </xf>
    <xf numFmtId="0" fontId="59" fillId="17" borderId="14" xfId="0" applyFont="1" applyFill="1" applyBorder="1" applyAlignment="1">
      <alignment horizontal="left" vertical="center" indent="1"/>
    </xf>
    <xf numFmtId="0" fontId="67" fillId="13" borderId="13" xfId="9" applyFont="1" applyFill="1" applyBorder="1" applyAlignment="1">
      <alignment horizontal="center" vertical="center"/>
    </xf>
    <xf numFmtId="0" fontId="59" fillId="13"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3"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3" borderId="46" xfId="0" applyFont="1" applyFill="1" applyBorder="1" applyAlignment="1" applyProtection="1">
      <alignment horizontal="left" vertical="center" wrapText="1"/>
    </xf>
    <xf numFmtId="0" fontId="59" fillId="13" borderId="6" xfId="0" applyFont="1" applyFill="1" applyBorder="1" applyAlignment="1">
      <alignment horizontal="left" wrapText="1"/>
    </xf>
    <xf numFmtId="0" fontId="59" fillId="13"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8" xfId="0" applyFont="1" applyBorder="1" applyAlignment="1" applyProtection="1">
      <alignment horizontal="left" vertical="center" wrapText="1" indent="1"/>
    </xf>
    <xf numFmtId="0" fontId="64" fillId="0" borderId="149"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7" borderId="54" xfId="0" applyFont="1" applyFill="1" applyBorder="1" applyAlignment="1" applyProtection="1">
      <alignment horizontal="left" vertical="center" indent="1"/>
    </xf>
    <xf numFmtId="0" fontId="66" fillId="17" borderId="57" xfId="0" applyFont="1" applyFill="1" applyBorder="1" applyAlignment="1" applyProtection="1">
      <alignment horizontal="left" vertical="center" indent="1"/>
    </xf>
    <xf numFmtId="0" fontId="66" fillId="17" borderId="61" xfId="0" applyFont="1" applyFill="1" applyBorder="1" applyAlignment="1" applyProtection="1">
      <alignment horizontal="left" vertical="center" indent="1"/>
    </xf>
    <xf numFmtId="0" fontId="66" fillId="17" borderId="148" xfId="0" applyFont="1" applyFill="1" applyBorder="1" applyAlignment="1" applyProtection="1">
      <alignment horizontal="left" vertical="center" indent="1"/>
    </xf>
    <xf numFmtId="0" fontId="66" fillId="17" borderId="147" xfId="0" applyFont="1" applyFill="1" applyBorder="1" applyAlignment="1" applyProtection="1">
      <alignment horizontal="left" vertical="center" indent="1"/>
    </xf>
    <xf numFmtId="0" fontId="66" fillId="3" borderId="148" xfId="0" applyFont="1" applyFill="1" applyBorder="1" applyAlignment="1" applyProtection="1">
      <alignment horizontal="left" vertical="center"/>
    </xf>
    <xf numFmtId="0" fontId="66" fillId="3" borderId="149"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4" borderId="147" xfId="0" applyFont="1" applyFill="1" applyBorder="1" applyAlignment="1" applyProtection="1">
      <alignment horizontal="left" vertical="center" indent="1"/>
    </xf>
    <xf numFmtId="0" fontId="67" fillId="24" borderId="148" xfId="0" applyFont="1" applyFill="1" applyBorder="1" applyAlignment="1" applyProtection="1">
      <alignment horizontal="left" vertical="center" indent="1"/>
    </xf>
    <xf numFmtId="0" fontId="67" fillId="24" borderId="149"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4" borderId="92" xfId="10" applyFont="1" applyFill="1" applyBorder="1" applyAlignment="1">
      <alignment horizontal="center" vertical="center" wrapText="1"/>
    </xf>
    <xf numFmtId="0" fontId="67" fillId="24" borderId="25" xfId="0" applyFont="1" applyFill="1" applyBorder="1" applyAlignment="1">
      <alignment horizontal="center" vertical="center" wrapText="1"/>
    </xf>
    <xf numFmtId="0" fontId="67" fillId="24" borderId="93" xfId="0" applyFont="1" applyFill="1" applyBorder="1" applyAlignment="1">
      <alignment horizontal="center" vertical="center" wrapText="1"/>
    </xf>
    <xf numFmtId="0" fontId="132" fillId="24" borderId="94" xfId="10" applyFont="1" applyFill="1" applyBorder="1" applyAlignment="1">
      <alignment horizontal="center" vertical="center"/>
    </xf>
    <xf numFmtId="0" fontId="57" fillId="24" borderId="47" xfId="0" applyFont="1" applyFill="1" applyBorder="1" applyAlignment="1">
      <alignment horizontal="center" vertical="center"/>
    </xf>
    <xf numFmtId="0" fontId="57" fillId="24"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7" applyFont="1" applyBorder="1" applyAlignment="1">
      <alignment horizontal="left" vertical="top" wrapText="1"/>
    </xf>
    <xf numFmtId="0" fontId="129" fillId="0" borderId="0" xfId="17" applyFont="1" applyBorder="1" applyAlignment="1">
      <alignment horizontal="left" vertical="top" wrapText="1"/>
    </xf>
    <xf numFmtId="0" fontId="129" fillId="0" borderId="97" xfId="17" applyFont="1" applyBorder="1" applyAlignment="1">
      <alignment horizontal="left" vertical="top" wrapText="1"/>
    </xf>
    <xf numFmtId="0" fontId="128" fillId="24" borderId="141" xfId="17" applyFont="1" applyFill="1" applyBorder="1" applyAlignment="1">
      <alignment horizontal="center" vertical="center"/>
    </xf>
    <xf numFmtId="0" fontId="128" fillId="24" borderId="142" xfId="17" applyFont="1" applyFill="1" applyBorder="1" applyAlignment="1">
      <alignment horizontal="center" vertical="center"/>
    </xf>
    <xf numFmtId="0" fontId="128" fillId="24" borderId="143" xfId="17" applyFont="1" applyFill="1" applyBorder="1" applyAlignment="1">
      <alignment horizontal="center" vertical="center"/>
    </xf>
    <xf numFmtId="0" fontId="128" fillId="24" borderId="98" xfId="17" applyFont="1" applyFill="1" applyBorder="1" applyAlignment="1">
      <alignment horizontal="center" vertical="center"/>
    </xf>
    <xf numFmtId="0" fontId="128" fillId="24" borderId="78" xfId="17" applyFont="1" applyFill="1" applyBorder="1" applyAlignment="1">
      <alignment horizontal="center" vertical="center"/>
    </xf>
    <xf numFmtId="0" fontId="128" fillId="24" borderId="99" xfId="17" applyFont="1" applyFill="1" applyBorder="1" applyAlignment="1">
      <alignment horizontal="center" vertical="center"/>
    </xf>
    <xf numFmtId="0" fontId="129" fillId="0" borderId="96" xfId="17" applyFont="1" applyBorder="1" applyAlignment="1">
      <alignment vertical="top" wrapText="1"/>
    </xf>
    <xf numFmtId="0" fontId="129" fillId="0" borderId="0" xfId="17" applyFont="1" applyBorder="1" applyAlignment="1">
      <alignment vertical="top" wrapText="1"/>
    </xf>
    <xf numFmtId="0" fontId="129" fillId="0" borderId="97" xfId="17" applyFont="1" applyBorder="1" applyAlignment="1">
      <alignment vertical="top" wrapText="1"/>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20" borderId="13" xfId="0" applyFont="1" applyFill="1" applyBorder="1" applyAlignment="1" applyProtection="1">
      <alignment horizontal="left" vertical="center" wrapText="1" indent="1"/>
    </xf>
    <xf numFmtId="0" fontId="59" fillId="20" borderId="21" xfId="0" applyFont="1" applyFill="1" applyBorder="1" applyAlignment="1">
      <alignment horizontal="left" vertical="center" wrapText="1" indent="1"/>
    </xf>
    <xf numFmtId="0" fontId="59" fillId="20" borderId="14" xfId="0" applyFont="1" applyFill="1" applyBorder="1" applyAlignment="1">
      <alignment horizontal="left" vertical="center" wrapText="1" indent="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51" fillId="0" borderId="142" xfId="18" applyFont="1" applyBorder="1" applyAlignment="1" applyProtection="1">
      <alignment horizontal="center" vertical="top" wrapText="1"/>
      <protection locked="0"/>
    </xf>
    <xf numFmtId="0" fontId="51" fillId="0" borderId="143"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4" borderId="0" xfId="18" applyFont="1" applyFill="1" applyAlignment="1">
      <alignment horizontal="center" vertical="center"/>
    </xf>
    <xf numFmtId="0" fontId="75" fillId="0" borderId="138"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6" fillId="0" borderId="142" xfId="18" applyFont="1" applyBorder="1" applyAlignment="1" applyProtection="1">
      <alignment horizontal="center" vertical="top" wrapText="1"/>
      <protection locked="0"/>
    </xf>
    <xf numFmtId="0" fontId="6" fillId="0" borderId="143" xfId="18" applyFont="1" applyBorder="1" applyAlignment="1" applyProtection="1">
      <alignment horizontal="center"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4" borderId="17" xfId="3" applyNumberFormat="1" applyFont="1" applyFill="1" applyBorder="1" applyAlignment="1">
      <alignment horizontal="left" vertical="top" wrapText="1"/>
    </xf>
    <xf numFmtId="0" fontId="57" fillId="24" borderId="0" xfId="3" applyFont="1" applyFill="1" applyBorder="1" applyAlignment="1">
      <alignment vertical="top"/>
    </xf>
    <xf numFmtId="0" fontId="57" fillId="24"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34" xfId="3" applyFont="1" applyBorder="1" applyAlignment="1">
      <alignment horizontal="center" vertical="center" wrapText="1"/>
    </xf>
    <xf numFmtId="0" fontId="75" fillId="0" borderId="134" xfId="3" applyNumberFormat="1" applyFont="1" applyBorder="1" applyAlignment="1">
      <alignment horizontal="center"/>
    </xf>
    <xf numFmtId="0" fontId="59" fillId="0" borderId="135" xfId="3" applyNumberFormat="1" applyFont="1" applyBorder="1" applyAlignment="1" applyProtection="1">
      <alignment horizontal="center"/>
      <protection locked="0"/>
    </xf>
    <xf numFmtId="171" fontId="59" fillId="0" borderId="135" xfId="3" applyNumberFormat="1" applyFont="1" applyBorder="1" applyAlignment="1" applyProtection="1">
      <alignment horizontal="center"/>
      <protection locked="0"/>
    </xf>
    <xf numFmtId="0" fontId="59" fillId="0" borderId="135" xfId="3" applyNumberFormat="1" applyFont="1" applyBorder="1" applyAlignment="1" applyProtection="1">
      <alignment horizontal="center" vertical="center"/>
      <protection locked="0"/>
    </xf>
    <xf numFmtId="0" fontId="85" fillId="0" borderId="0" xfId="0" applyFont="1" applyAlignment="1">
      <alignment vertical="top" wrapText="1"/>
    </xf>
    <xf numFmtId="0" fontId="67" fillId="13" borderId="13" xfId="3" applyFont="1" applyFill="1" applyBorder="1" applyAlignment="1">
      <alignment horizontal="center" vertical="center" wrapText="1"/>
    </xf>
    <xf numFmtId="0" fontId="67" fillId="13" borderId="21" xfId="3" applyFont="1" applyFill="1" applyBorder="1" applyAlignment="1">
      <alignment horizontal="center" vertical="center" wrapText="1"/>
    </xf>
    <xf numFmtId="0" fontId="67" fillId="13" borderId="14" xfId="3" applyFont="1" applyFill="1" applyBorder="1" applyAlignment="1">
      <alignment horizontal="center" vertical="center" wrapText="1"/>
    </xf>
    <xf numFmtId="0" fontId="59" fillId="0" borderId="0" xfId="3" applyFont="1" applyBorder="1" applyAlignment="1">
      <alignment wrapText="1"/>
    </xf>
    <xf numFmtId="0" fontId="111" fillId="0" borderId="113"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1" fillId="0" borderId="117"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3" borderId="126" xfId="0" applyFont="1" applyFill="1" applyBorder="1" applyAlignment="1">
      <alignment horizontal="center" vertical="center"/>
    </xf>
    <xf numFmtId="0" fontId="114" fillId="13" borderId="129" xfId="0" applyFont="1" applyFill="1" applyBorder="1" applyAlignment="1">
      <alignment horizontal="center" vertical="center"/>
    </xf>
    <xf numFmtId="0" fontId="114" fillId="13" borderId="154" xfId="0" applyFont="1" applyFill="1" applyBorder="1" applyAlignment="1">
      <alignment horizontal="center" vertical="center"/>
    </xf>
    <xf numFmtId="164" fontId="114" fillId="13" borderId="17" xfId="0" applyNumberFormat="1" applyFont="1" applyFill="1" applyBorder="1" applyAlignment="1">
      <alignment horizontal="center" vertical="center"/>
    </xf>
    <xf numFmtId="164" fontId="114" fillId="13" borderId="0" xfId="0" applyNumberFormat="1" applyFont="1" applyFill="1" applyBorder="1" applyAlignment="1">
      <alignment horizontal="center" vertical="center"/>
    </xf>
    <xf numFmtId="164" fontId="114" fillId="13" borderId="63" xfId="0" applyNumberFormat="1" applyFont="1" applyFill="1" applyBorder="1" applyAlignment="1">
      <alignment horizontal="center" vertical="center"/>
    </xf>
    <xf numFmtId="164" fontId="63" fillId="13" borderId="126" xfId="0" applyNumberFormat="1" applyFont="1" applyFill="1" applyBorder="1" applyAlignment="1">
      <alignment horizontal="center" vertical="top"/>
    </xf>
    <xf numFmtId="164" fontId="115" fillId="13" borderId="129" xfId="0" applyNumberFormat="1" applyFont="1" applyFill="1" applyBorder="1" applyAlignment="1">
      <alignment horizontal="center" vertical="top"/>
    </xf>
    <xf numFmtId="164" fontId="115" fillId="13" borderId="154"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9" xfId="0" applyNumberFormat="1" applyFont="1" applyBorder="1" applyAlignment="1">
      <alignment horizontal="left" vertical="center" wrapText="1"/>
    </xf>
    <xf numFmtId="0" fontId="59" fillId="0" borderId="127"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7" xfId="3" applyNumberFormat="1" applyFont="1" applyBorder="1" applyProtection="1"/>
    <xf numFmtId="0" fontId="57" fillId="0" borderId="148"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8" xfId="3" applyNumberFormat="1" applyFont="1" applyBorder="1" applyAlignment="1" applyProtection="1">
      <alignment horizontal="left" indent="1"/>
      <protection locked="0"/>
    </xf>
    <xf numFmtId="0" fontId="67" fillId="0" borderId="148" xfId="3" applyFont="1" applyBorder="1" applyAlignment="1" applyProtection="1">
      <alignment horizontal="left" indent="1"/>
      <protection locked="0"/>
    </xf>
    <xf numFmtId="0" fontId="67" fillId="0" borderId="149" xfId="3" applyFont="1" applyBorder="1" applyAlignment="1" applyProtection="1">
      <alignment horizontal="left" indent="1"/>
      <protection locked="0"/>
    </xf>
    <xf numFmtId="0" fontId="59" fillId="0" borderId="0" xfId="3" applyFont="1" applyAlignment="1">
      <alignment horizontal="center" vertical="center"/>
    </xf>
    <xf numFmtId="0" fontId="67" fillId="0" borderId="50" xfId="3" applyNumberFormat="1" applyFont="1" applyBorder="1" applyAlignment="1" applyProtection="1">
      <alignment horizontal="left" wrapText="1" indent="1"/>
    </xf>
    <xf numFmtId="0" fontId="67" fillId="0" borderId="9" xfId="3" applyFont="1" applyBorder="1" applyAlignment="1" applyProtection="1">
      <alignment horizontal="left" wrapText="1" indent="1"/>
    </xf>
    <xf numFmtId="0" fontId="67" fillId="0" borderId="59" xfId="3" applyFont="1" applyBorder="1" applyAlignment="1" applyProtection="1">
      <alignment horizontal="left" wrapText="1"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165" fontId="67" fillId="0" borderId="0" xfId="3" applyNumberFormat="1" applyFont="1" applyAlignment="1" applyProtection="1">
      <alignment horizontal="center" vertic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50" xfId="3" applyNumberFormat="1" applyFont="1" applyBorder="1" applyAlignment="1" applyProtection="1">
      <protection locked="0"/>
    </xf>
    <xf numFmtId="0" fontId="67" fillId="0" borderId="151" xfId="3" applyFont="1" applyBorder="1" applyAlignment="1" applyProtection="1">
      <protection locked="0"/>
    </xf>
    <xf numFmtId="0" fontId="64" fillId="0" borderId="0" xfId="3" applyFont="1" applyBorder="1" applyAlignment="1" applyProtection="1">
      <alignment horizontal="left" vertical="top" wrapText="1"/>
    </xf>
    <xf numFmtId="0" fontId="67" fillId="0" borderId="0" xfId="3" applyNumberFormat="1" applyFont="1" applyAlignment="1">
      <alignment horizont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150"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51"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50" xfId="3" applyFont="1" applyBorder="1" applyAlignment="1" applyProtection="1">
      <alignment horizontal="center"/>
    </xf>
    <xf numFmtId="0" fontId="64" fillId="0" borderId="76" xfId="3" applyFont="1" applyBorder="1" applyAlignment="1" applyProtection="1">
      <alignment horizontal="center"/>
    </xf>
    <xf numFmtId="0" fontId="64" fillId="0" borderId="151" xfId="3" applyFont="1" applyBorder="1" applyAlignment="1" applyProtection="1">
      <alignment horizontal="center"/>
    </xf>
    <xf numFmtId="38" fontId="64" fillId="0" borderId="150"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51" xfId="3" applyNumberFormat="1" applyFont="1" applyBorder="1" applyAlignment="1" applyProtection="1">
      <alignment horizontal="right" vertical="center"/>
      <protection locked="0"/>
    </xf>
    <xf numFmtId="0" fontId="66" fillId="0" borderId="150"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51"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50" xfId="3" applyNumberFormat="1" applyFont="1" applyBorder="1" applyProtection="1">
      <protection locked="0"/>
    </xf>
    <xf numFmtId="6" fontId="64" fillId="0" borderId="151"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5"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3410">
    <cellStyle name="1" xfId="27"/>
    <cellStyle name="10" xfId="28"/>
    <cellStyle name="12" xfId="26"/>
    <cellStyle name="12 10" xfId="250"/>
    <cellStyle name="12 11" xfId="251"/>
    <cellStyle name="12 12" xfId="252"/>
    <cellStyle name="12 13" xfId="253"/>
    <cellStyle name="12 14" xfId="254"/>
    <cellStyle name="12 15" xfId="255"/>
    <cellStyle name="12 16" xfId="256"/>
    <cellStyle name="12 17" xfId="257"/>
    <cellStyle name="12 18" xfId="258"/>
    <cellStyle name="12 19" xfId="259"/>
    <cellStyle name="12 2" xfId="29"/>
    <cellStyle name="12 20" xfId="260"/>
    <cellStyle name="12 21" xfId="261"/>
    <cellStyle name="12 22" xfId="262"/>
    <cellStyle name="12 23" xfId="263"/>
    <cellStyle name="12 24" xfId="264"/>
    <cellStyle name="12 25" xfId="265"/>
    <cellStyle name="12 26" xfId="266"/>
    <cellStyle name="12 27" xfId="267"/>
    <cellStyle name="12 28" xfId="268"/>
    <cellStyle name="12 29" xfId="269"/>
    <cellStyle name="12 3" xfId="31"/>
    <cellStyle name="12 30" xfId="270"/>
    <cellStyle name="12 31" xfId="271"/>
    <cellStyle name="12 32" xfId="272"/>
    <cellStyle name="12 33" xfId="273"/>
    <cellStyle name="12 34" xfId="274"/>
    <cellStyle name="12 35" xfId="275"/>
    <cellStyle name="12 36" xfId="276"/>
    <cellStyle name="12 37" xfId="277"/>
    <cellStyle name="12 38" xfId="278"/>
    <cellStyle name="12 38 2" xfId="2926"/>
    <cellStyle name="12 38 3" xfId="3353"/>
    <cellStyle name="12 4" xfId="32"/>
    <cellStyle name="12 5" xfId="33"/>
    <cellStyle name="12 6" xfId="34"/>
    <cellStyle name="12 7" xfId="35"/>
    <cellStyle name="12 8" xfId="36"/>
    <cellStyle name="12 9" xfId="39"/>
    <cellStyle name="12 9 2" xfId="280"/>
    <cellStyle name="12 9 2 2" xfId="2928"/>
    <cellStyle name="12 9 2 3" xfId="3354"/>
    <cellStyle name="12 9 3" xfId="279"/>
    <cellStyle name="12 9 4" xfId="2880"/>
    <cellStyle name="2" xfId="37"/>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4" xfId="40"/>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6" xfId="42"/>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8" xfId="44"/>
    <cellStyle name="9" xfId="45"/>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4" xfId="1229"/>
    <cellStyle name="Accent1 2 5" xfId="1230"/>
    <cellStyle name="Accent1 2 6" xfId="1231"/>
    <cellStyle name="Accent1 3" xfId="50"/>
    <cellStyle name="Accent1 3 2" xfId="1233"/>
    <cellStyle name="Accent1 3 3" xfId="1234"/>
    <cellStyle name="Accent1 3 4" xfId="1235"/>
    <cellStyle name="Accent1 3 5" xfId="1236"/>
    <cellStyle name="Accent1 3 6" xfId="1237"/>
    <cellStyle name="Accent1 3 7" xfId="1238"/>
    <cellStyle name="Accent1 3 8" xfId="1232"/>
    <cellStyle name="Accent1 4" xfId="51"/>
    <cellStyle name="Accent1 4 2" xfId="1240"/>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3" xfId="1247"/>
    <cellStyle name="Accent1 5 4" xfId="1248"/>
    <cellStyle name="Accent1 5 5" xfId="1249"/>
    <cellStyle name="Accent1 5 6" xfId="1250"/>
    <cellStyle name="Accent1 6" xfId="53"/>
    <cellStyle name="Accent1 6 2" xfId="1251"/>
    <cellStyle name="Accent1 6 3" xfId="1252"/>
    <cellStyle name="Accent1 6 4" xfId="1253"/>
    <cellStyle name="Accent1 6 5" xfId="1254"/>
    <cellStyle name="Accent1 6 6" xfId="1255"/>
    <cellStyle name="Accent1 7" xfId="54"/>
    <cellStyle name="Accent1 7 2" xfId="1256"/>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4" xfId="1283"/>
    <cellStyle name="Accent2 2 5" xfId="1284"/>
    <cellStyle name="Accent2 2 6" xfId="1285"/>
    <cellStyle name="Accent2 3" xfId="59"/>
    <cellStyle name="Accent2 3 2" xfId="1287"/>
    <cellStyle name="Accent2 3 3" xfId="1288"/>
    <cellStyle name="Accent2 3 4" xfId="1289"/>
    <cellStyle name="Accent2 3 5" xfId="1290"/>
    <cellStyle name="Accent2 3 6" xfId="1291"/>
    <cellStyle name="Accent2 3 7" xfId="1292"/>
    <cellStyle name="Accent2 3 8" xfId="1286"/>
    <cellStyle name="Accent2 4" xfId="60"/>
    <cellStyle name="Accent2 4 2" xfId="1294"/>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3" xfId="1301"/>
    <cellStyle name="Accent2 5 4" xfId="1302"/>
    <cellStyle name="Accent2 5 5" xfId="1303"/>
    <cellStyle name="Accent2 5 6" xfId="1304"/>
    <cellStyle name="Accent2 6" xfId="62"/>
    <cellStyle name="Accent2 6 2" xfId="1305"/>
    <cellStyle name="Accent2 6 3" xfId="1306"/>
    <cellStyle name="Accent2 6 4" xfId="1307"/>
    <cellStyle name="Accent2 6 5" xfId="1308"/>
    <cellStyle name="Accent2 6 6" xfId="1309"/>
    <cellStyle name="Accent2 7" xfId="63"/>
    <cellStyle name="Accent2 7 2" xfId="1310"/>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4" xfId="1337"/>
    <cellStyle name="Accent3 2 5" xfId="1338"/>
    <cellStyle name="Accent3 2 6" xfId="1339"/>
    <cellStyle name="Accent3 3" xfId="68"/>
    <cellStyle name="Accent3 3 2" xfId="1341"/>
    <cellStyle name="Accent3 3 3" xfId="1342"/>
    <cellStyle name="Accent3 3 4" xfId="1343"/>
    <cellStyle name="Accent3 3 5" xfId="1344"/>
    <cellStyle name="Accent3 3 6" xfId="1345"/>
    <cellStyle name="Accent3 3 7" xfId="1346"/>
    <cellStyle name="Accent3 3 8" xfId="1340"/>
    <cellStyle name="Accent3 4" xfId="69"/>
    <cellStyle name="Accent3 4 2" xfId="1348"/>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3" xfId="1355"/>
    <cellStyle name="Accent3 5 4" xfId="1356"/>
    <cellStyle name="Accent3 5 5" xfId="1357"/>
    <cellStyle name="Accent3 5 6" xfId="1358"/>
    <cellStyle name="Accent3 6" xfId="71"/>
    <cellStyle name="Accent3 6 2" xfId="1359"/>
    <cellStyle name="Accent3 6 3" xfId="1360"/>
    <cellStyle name="Accent3 6 4" xfId="1361"/>
    <cellStyle name="Accent3 6 5" xfId="1362"/>
    <cellStyle name="Accent3 6 6" xfId="1363"/>
    <cellStyle name="Accent3 7" xfId="72"/>
    <cellStyle name="Accent3 7 2" xfId="1364"/>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4" xfId="1391"/>
    <cellStyle name="Accent4 2 5" xfId="1392"/>
    <cellStyle name="Accent4 2 6" xfId="1393"/>
    <cellStyle name="Accent4 3" xfId="77"/>
    <cellStyle name="Accent4 3 2" xfId="1395"/>
    <cellStyle name="Accent4 3 3" xfId="1396"/>
    <cellStyle name="Accent4 3 4" xfId="1397"/>
    <cellStyle name="Accent4 3 5" xfId="1398"/>
    <cellStyle name="Accent4 3 6" xfId="1399"/>
    <cellStyle name="Accent4 3 7" xfId="1400"/>
    <cellStyle name="Accent4 3 8" xfId="1394"/>
    <cellStyle name="Accent4 4" xfId="78"/>
    <cellStyle name="Accent4 4 2" xfId="1402"/>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3" xfId="1409"/>
    <cellStyle name="Accent4 5 4" xfId="1410"/>
    <cellStyle name="Accent4 5 5" xfId="1411"/>
    <cellStyle name="Accent4 5 6" xfId="1412"/>
    <cellStyle name="Accent4 6" xfId="80"/>
    <cellStyle name="Accent4 6 2" xfId="1413"/>
    <cellStyle name="Accent4 6 3" xfId="1414"/>
    <cellStyle name="Accent4 6 4" xfId="1415"/>
    <cellStyle name="Accent4 6 5" xfId="1416"/>
    <cellStyle name="Accent4 6 6" xfId="1417"/>
    <cellStyle name="Accent4 7" xfId="81"/>
    <cellStyle name="Accent4 7 2" xfId="1418"/>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4" xfId="1445"/>
    <cellStyle name="Accent5 2 5" xfId="1446"/>
    <cellStyle name="Accent5 2 6" xfId="1447"/>
    <cellStyle name="Accent5 3" xfId="86"/>
    <cellStyle name="Accent5 3 2" xfId="1449"/>
    <cellStyle name="Accent5 3 3" xfId="1450"/>
    <cellStyle name="Accent5 3 4" xfId="1451"/>
    <cellStyle name="Accent5 3 5" xfId="1452"/>
    <cellStyle name="Accent5 3 6" xfId="1453"/>
    <cellStyle name="Accent5 3 7" xfId="1454"/>
    <cellStyle name="Accent5 3 8" xfId="1448"/>
    <cellStyle name="Accent5 4" xfId="87"/>
    <cellStyle name="Accent5 4 2" xfId="1456"/>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3" xfId="1463"/>
    <cellStyle name="Accent5 5 4" xfId="1464"/>
    <cellStyle name="Accent5 5 5" xfId="1465"/>
    <cellStyle name="Accent5 5 6" xfId="1466"/>
    <cellStyle name="Accent5 6" xfId="89"/>
    <cellStyle name="Accent5 6 2" xfId="1467"/>
    <cellStyle name="Accent5 6 3" xfId="1468"/>
    <cellStyle name="Accent5 6 4" xfId="1469"/>
    <cellStyle name="Accent5 6 5" xfId="1470"/>
    <cellStyle name="Accent5 6 6" xfId="1471"/>
    <cellStyle name="Accent5 7" xfId="90"/>
    <cellStyle name="Accent5 7 2" xfId="1472"/>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4" xfId="1499"/>
    <cellStyle name="Accent6 2 5" xfId="1500"/>
    <cellStyle name="Accent6 2 6" xfId="1501"/>
    <cellStyle name="Accent6 3" xfId="95"/>
    <cellStyle name="Accent6 3 2" xfId="1503"/>
    <cellStyle name="Accent6 3 3" xfId="1504"/>
    <cellStyle name="Accent6 3 4" xfId="1505"/>
    <cellStyle name="Accent6 3 5" xfId="1506"/>
    <cellStyle name="Accent6 3 6" xfId="1507"/>
    <cellStyle name="Accent6 3 7" xfId="1508"/>
    <cellStyle name="Accent6 3 8" xfId="1502"/>
    <cellStyle name="Accent6 4" xfId="96"/>
    <cellStyle name="Accent6 4 2" xfId="1510"/>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3" xfId="1517"/>
    <cellStyle name="Accent6 5 4" xfId="1518"/>
    <cellStyle name="Accent6 5 5" xfId="1519"/>
    <cellStyle name="Accent6 5 6" xfId="1520"/>
    <cellStyle name="Accent6 6" xfId="98"/>
    <cellStyle name="Accent6 6 2" xfId="1521"/>
    <cellStyle name="Accent6 6 3" xfId="1522"/>
    <cellStyle name="Accent6 6 4" xfId="1523"/>
    <cellStyle name="Accent6 6 5" xfId="1524"/>
    <cellStyle name="Accent6 6 6" xfId="1525"/>
    <cellStyle name="Accent6 7" xfId="99"/>
    <cellStyle name="Accent6 7 2" xfId="1526"/>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4" xfId="1553"/>
    <cellStyle name="Bad 2 5" xfId="1554"/>
    <cellStyle name="Bad 2 6" xfId="1555"/>
    <cellStyle name="Bad 3" xfId="101"/>
    <cellStyle name="Bad 3 2" xfId="1557"/>
    <cellStyle name="Bad 3 3" xfId="1558"/>
    <cellStyle name="Bad 3 4" xfId="1559"/>
    <cellStyle name="Bad 3 5" xfId="1560"/>
    <cellStyle name="Bad 3 6" xfId="1561"/>
    <cellStyle name="Bad 3 7" xfId="1562"/>
    <cellStyle name="Bad 3 8" xfId="1556"/>
    <cellStyle name="Bad 4" xfId="102"/>
    <cellStyle name="Bad 4 2" xfId="1564"/>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ttom bold border" xfId="107"/>
    <cellStyle name="Bottom single border" xfId="108"/>
    <cellStyle name="Calculation 10 2" xfId="1595"/>
    <cellStyle name="Calculation 10 2 2" xfId="2598"/>
    <cellStyle name="Calculation 10 2 2 2" xfId="3092"/>
    <cellStyle name="Calculation 10 3" xfId="1596"/>
    <cellStyle name="Calculation 10 3 2" xfId="2599"/>
    <cellStyle name="Calculation 10 3 2 2" xfId="3091"/>
    <cellStyle name="Calculation 10 4" xfId="1597"/>
    <cellStyle name="Calculation 10 4 2" xfId="2600"/>
    <cellStyle name="Calculation 10 4 2 2" xfId="3090"/>
    <cellStyle name="Calculation 10 5" xfId="1598"/>
    <cellStyle name="Calculation 10 5 2" xfId="2601"/>
    <cellStyle name="Calculation 10 5 2 2" xfId="3089"/>
    <cellStyle name="Calculation 10 6" xfId="1599"/>
    <cellStyle name="Calculation 10 6 2" xfId="2602"/>
    <cellStyle name="Calculation 10 6 2 2" xfId="3088"/>
    <cellStyle name="Calculation 11 2" xfId="1600"/>
    <cellStyle name="Calculation 11 2 2" xfId="2603"/>
    <cellStyle name="Calculation 11 2 2 2" xfId="3087"/>
    <cellStyle name="Calculation 11 3" xfId="1601"/>
    <cellStyle name="Calculation 11 3 2" xfId="2604"/>
    <cellStyle name="Calculation 11 3 2 2" xfId="3086"/>
    <cellStyle name="Calculation 11 4" xfId="1602"/>
    <cellStyle name="Calculation 11 4 2" xfId="2605"/>
    <cellStyle name="Calculation 11 4 2 2" xfId="3085"/>
    <cellStyle name="Calculation 11 5" xfId="1603"/>
    <cellStyle name="Calculation 11 5 2" xfId="2606"/>
    <cellStyle name="Calculation 11 5 2 2" xfId="3084"/>
    <cellStyle name="Calculation 11 6" xfId="1604"/>
    <cellStyle name="Calculation 11 6 2" xfId="2607"/>
    <cellStyle name="Calculation 11 6 2 2" xfId="3083"/>
    <cellStyle name="Calculation 2" xfId="109"/>
    <cellStyle name="Calculation 2 2" xfId="1605"/>
    <cellStyle name="Calculation 2 2 2" xfId="2608"/>
    <cellStyle name="Calculation 2 2 2 2" xfId="3082"/>
    <cellStyle name="Calculation 2 3" xfId="1606"/>
    <cellStyle name="Calculation 2 3 2" xfId="2609"/>
    <cellStyle name="Calculation 2 3 2 2" xfId="3081"/>
    <cellStyle name="Calculation 2 4" xfId="1607"/>
    <cellStyle name="Calculation 2 4 2" xfId="2610"/>
    <cellStyle name="Calculation 2 4 2 2" xfId="3080"/>
    <cellStyle name="Calculation 2 5" xfId="1608"/>
    <cellStyle name="Calculation 2 5 2" xfId="2611"/>
    <cellStyle name="Calculation 2 5 2 2" xfId="3079"/>
    <cellStyle name="Calculation 2 6" xfId="1609"/>
    <cellStyle name="Calculation 2 6 2" xfId="2612"/>
    <cellStyle name="Calculation 2 6 2 2" xfId="3078"/>
    <cellStyle name="Calculation 2 7" xfId="2549"/>
    <cellStyle name="Calculation 2 7 2" xfId="3141"/>
    <cellStyle name="Calculation 3" xfId="110"/>
    <cellStyle name="Calculation 3 2" xfId="1611"/>
    <cellStyle name="Calculation 3 2 2" xfId="2614"/>
    <cellStyle name="Calculation 3 2 2 2" xfId="3076"/>
    <cellStyle name="Calculation 3 3" xfId="1612"/>
    <cellStyle name="Calculation 3 3 2" xfId="2615"/>
    <cellStyle name="Calculation 3 3 2 2" xfId="3075"/>
    <cellStyle name="Calculation 3 4" xfId="1613"/>
    <cellStyle name="Calculation 3 4 2" xfId="2616"/>
    <cellStyle name="Calculation 3 4 2 2" xfId="3074"/>
    <cellStyle name="Calculation 3 5" xfId="1614"/>
    <cellStyle name="Calculation 3 5 2" xfId="2617"/>
    <cellStyle name="Calculation 3 5 2 2" xfId="3073"/>
    <cellStyle name="Calculation 3 6" xfId="1615"/>
    <cellStyle name="Calculation 3 6 2" xfId="2618"/>
    <cellStyle name="Calculation 3 6 2 2" xfId="3072"/>
    <cellStyle name="Calculation 3 7" xfId="1616"/>
    <cellStyle name="Calculation 3 7 2" xfId="2619"/>
    <cellStyle name="Calculation 3 7 2 2" xfId="3071"/>
    <cellStyle name="Calculation 3 8" xfId="1610"/>
    <cellStyle name="Calculation 3 8 2" xfId="2613"/>
    <cellStyle name="Calculation 3 8 2 2" xfId="3077"/>
    <cellStyle name="Calculation 3 9" xfId="2550"/>
    <cellStyle name="Calculation 3 9 2" xfId="3140"/>
    <cellStyle name="Calculation 4" xfId="111"/>
    <cellStyle name="Calculation 4 2" xfId="1618"/>
    <cellStyle name="Calculation 4 2 2" xfId="2621"/>
    <cellStyle name="Calculation 4 2 2 2" xfId="3069"/>
    <cellStyle name="Calculation 4 3" xfId="1619"/>
    <cellStyle name="Calculation 4 3 2" xfId="2622"/>
    <cellStyle name="Calculation 4 3 2 2" xfId="3068"/>
    <cellStyle name="Calculation 4 4" xfId="1620"/>
    <cellStyle name="Calculation 4 4 2" xfId="2623"/>
    <cellStyle name="Calculation 4 4 2 2" xfId="3067"/>
    <cellStyle name="Calculation 4 5" xfId="1621"/>
    <cellStyle name="Calculation 4 5 2" xfId="2624"/>
    <cellStyle name="Calculation 4 5 2 2" xfId="3066"/>
    <cellStyle name="Calculation 4 6" xfId="1622"/>
    <cellStyle name="Calculation 4 6 2" xfId="2625"/>
    <cellStyle name="Calculation 4 6 2 2" xfId="3065"/>
    <cellStyle name="Calculation 4 7" xfId="1623"/>
    <cellStyle name="Calculation 4 7 2" xfId="2626"/>
    <cellStyle name="Calculation 4 7 2 2" xfId="3064"/>
    <cellStyle name="Calculation 4 8" xfId="1617"/>
    <cellStyle name="Calculation 4 8 2" xfId="2620"/>
    <cellStyle name="Calculation 4 8 2 2" xfId="3070"/>
    <cellStyle name="Calculation 4 9" xfId="2551"/>
    <cellStyle name="Calculation 4 9 2" xfId="3139"/>
    <cellStyle name="Calculation 5" xfId="112"/>
    <cellStyle name="Calculation 5 2" xfId="1624"/>
    <cellStyle name="Calculation 5 2 2" xfId="2627"/>
    <cellStyle name="Calculation 5 2 2 2" xfId="3063"/>
    <cellStyle name="Calculation 5 3" xfId="1625"/>
    <cellStyle name="Calculation 5 3 2" xfId="2628"/>
    <cellStyle name="Calculation 5 3 2 2" xfId="3062"/>
    <cellStyle name="Calculation 5 4" xfId="1626"/>
    <cellStyle name="Calculation 5 4 2" xfId="2629"/>
    <cellStyle name="Calculation 5 4 2 2" xfId="3061"/>
    <cellStyle name="Calculation 5 5" xfId="1627"/>
    <cellStyle name="Calculation 5 5 2" xfId="2630"/>
    <cellStyle name="Calculation 5 5 2 2" xfId="3060"/>
    <cellStyle name="Calculation 5 6" xfId="1628"/>
    <cellStyle name="Calculation 5 6 2" xfId="2631"/>
    <cellStyle name="Calculation 5 6 2 2" xfId="3059"/>
    <cellStyle name="Calculation 5 7" xfId="2552"/>
    <cellStyle name="Calculation 5 7 2" xfId="3138"/>
    <cellStyle name="Calculation 6" xfId="113"/>
    <cellStyle name="Calculation 6 2" xfId="1629"/>
    <cellStyle name="Calculation 6 2 2" xfId="2632"/>
    <cellStyle name="Calculation 6 2 2 2" xfId="3058"/>
    <cellStyle name="Calculation 6 3" xfId="1630"/>
    <cellStyle name="Calculation 6 3 2" xfId="2633"/>
    <cellStyle name="Calculation 6 3 2 2" xfId="3057"/>
    <cellStyle name="Calculation 6 4" xfId="1631"/>
    <cellStyle name="Calculation 6 4 2" xfId="2634"/>
    <cellStyle name="Calculation 6 4 2 2" xfId="3056"/>
    <cellStyle name="Calculation 6 5" xfId="1632"/>
    <cellStyle name="Calculation 6 5 2" xfId="2635"/>
    <cellStyle name="Calculation 6 5 2 2" xfId="3055"/>
    <cellStyle name="Calculation 6 6" xfId="1633"/>
    <cellStyle name="Calculation 6 6 2" xfId="2636"/>
    <cellStyle name="Calculation 6 6 2 2" xfId="3054"/>
    <cellStyle name="Calculation 6 7" xfId="2553"/>
    <cellStyle name="Calculation 6 7 2" xfId="3137"/>
    <cellStyle name="Calculation 7" xfId="114"/>
    <cellStyle name="Calculation 7 2" xfId="1634"/>
    <cellStyle name="Calculation 7 2 2" xfId="2637"/>
    <cellStyle name="Calculation 7 2 2 2" xfId="3053"/>
    <cellStyle name="Calculation 7 3" xfId="1635"/>
    <cellStyle name="Calculation 7 3 2" xfId="2638"/>
    <cellStyle name="Calculation 7 3 2 2" xfId="3052"/>
    <cellStyle name="Calculation 7 4" xfId="1636"/>
    <cellStyle name="Calculation 7 4 2" xfId="2639"/>
    <cellStyle name="Calculation 7 4 2 2" xfId="3051"/>
    <cellStyle name="Calculation 7 5" xfId="1637"/>
    <cellStyle name="Calculation 7 5 2" xfId="2640"/>
    <cellStyle name="Calculation 7 5 2 2" xfId="3050"/>
    <cellStyle name="Calculation 7 6" xfId="1638"/>
    <cellStyle name="Calculation 7 6 2" xfId="2641"/>
    <cellStyle name="Calculation 7 6 2 2" xfId="3049"/>
    <cellStyle name="Calculation 7 7" xfId="2554"/>
    <cellStyle name="Calculation 7 7 2" xfId="3136"/>
    <cellStyle name="Calculation 8 2" xfId="1639"/>
    <cellStyle name="Calculation 8 2 2" xfId="2642"/>
    <cellStyle name="Calculation 8 2 2 2" xfId="3048"/>
    <cellStyle name="Calculation 8 3" xfId="1640"/>
    <cellStyle name="Calculation 8 3 2" xfId="2643"/>
    <cellStyle name="Calculation 8 3 2 2" xfId="3047"/>
    <cellStyle name="Calculation 8 4" xfId="1641"/>
    <cellStyle name="Calculation 8 4 2" xfId="2644"/>
    <cellStyle name="Calculation 8 4 2 2" xfId="3046"/>
    <cellStyle name="Calculation 8 5" xfId="1642"/>
    <cellStyle name="Calculation 8 5 2" xfId="2645"/>
    <cellStyle name="Calculation 8 5 2 2" xfId="3045"/>
    <cellStyle name="Calculation 8 6" xfId="1643"/>
    <cellStyle name="Calculation 8 6 2" xfId="2646"/>
    <cellStyle name="Calculation 8 6 2 2" xfId="3044"/>
    <cellStyle name="Calculation 9 2" xfId="1644"/>
    <cellStyle name="Calculation 9 2 2" xfId="2647"/>
    <cellStyle name="Calculation 9 2 2 2" xfId="3043"/>
    <cellStyle name="Calculation 9 3" xfId="1645"/>
    <cellStyle name="Calculation 9 3 2" xfId="2648"/>
    <cellStyle name="Calculation 9 3 2 2" xfId="3042"/>
    <cellStyle name="Calculation 9 4" xfId="1646"/>
    <cellStyle name="Calculation 9 4 2" xfId="2649"/>
    <cellStyle name="Calculation 9 4 2 2" xfId="3041"/>
    <cellStyle name="Calculation 9 5" xfId="1647"/>
    <cellStyle name="Calculation 9 5 2" xfId="2650"/>
    <cellStyle name="Calculation 9 5 2 2" xfId="3040"/>
    <cellStyle name="Calculation 9 6" xfId="1648"/>
    <cellStyle name="Calculation 9 6 2" xfId="2651"/>
    <cellStyle name="Calculation 9 6 2 2" xfId="3039"/>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4" xfId="1661"/>
    <cellStyle name="Check Cell 2 5" xfId="1662"/>
    <cellStyle name="Check Cell 2 6" xfId="16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8" xfId="1664"/>
    <cellStyle name="Check Cell 4" xfId="117"/>
    <cellStyle name="Check Cell 4 2" xfId="1672"/>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8" xfId="1703"/>
    <cellStyle name="Comma 19" xfId="1704"/>
    <cellStyle name="Comma 19 2" xfId="1705"/>
    <cellStyle name="Comma 2" xfId="123"/>
    <cellStyle name="Comma 2 2" xfId="124"/>
    <cellStyle name="Comma 2 3" xfId="125"/>
    <cellStyle name="Comma 2 3 2" xfId="1706"/>
    <cellStyle name="Comma 2 4" xfId="126"/>
    <cellStyle name="Comma 2 4 2" xfId="2530"/>
    <cellStyle name="Comma 2 4 3" xfId="2882"/>
    <cellStyle name="Comma 20" xfId="1707"/>
    <cellStyle name="Comma 20 2" xfId="1708"/>
    <cellStyle name="Comma 21" xfId="1709"/>
    <cellStyle name="Comma 21 2" xfId="1710"/>
    <cellStyle name="Comma 22" xfId="1711"/>
    <cellStyle name="Comma 22 2" xfId="1712"/>
    <cellStyle name="Comma 23" xfId="1713"/>
    <cellStyle name="Comma 23 2" xfId="1714"/>
    <cellStyle name="Comma 24" xfId="1715"/>
    <cellStyle name="Comma 24 2" xfId="1716"/>
    <cellStyle name="Comma 27" xfId="1717"/>
    <cellStyle name="Comma 27 2" xfId="1718"/>
    <cellStyle name="Comma 28" xfId="1719"/>
    <cellStyle name="Comma 28 2" xfId="1720"/>
    <cellStyle name="Comma 3" xfId="127"/>
    <cellStyle name="Comma 3 10" xfId="3351"/>
    <cellStyle name="Comma 3 2" xfId="128"/>
    <cellStyle name="Comma 3 3" xfId="129"/>
    <cellStyle name="Comma 3 3 2" xfId="2529"/>
    <cellStyle name="Comma 3 3 3" xfId="2884"/>
    <cellStyle name="Comma 3 4" xfId="1721"/>
    <cellStyle name="Comma 3 4 2" xfId="2845"/>
    <cellStyle name="Comma 3 4 2 2" xfId="3377"/>
    <cellStyle name="Comma 3 4 3" xfId="3260"/>
    <cellStyle name="Comma 3 4 3 2" xfId="3400"/>
    <cellStyle name="Comma 3 4 4" xfId="3328"/>
    <cellStyle name="Comma 3 4 5" xfId="3355"/>
    <cellStyle name="Comma 3 5" xfId="2526"/>
    <cellStyle name="Comma 3 5 2" xfId="2849"/>
    <cellStyle name="Comma 3 5 2 2" xfId="3381"/>
    <cellStyle name="Comma 3 5 3" xfId="3275"/>
    <cellStyle name="Comma 3 5 3 2" xfId="3404"/>
    <cellStyle name="Comma 3 5 4" xfId="3332"/>
    <cellStyle name="Comma 3 5 5" xfId="3364"/>
    <cellStyle name="Comma 3 6" xfId="2535"/>
    <cellStyle name="Comma 3 6 2" xfId="2853"/>
    <cellStyle name="Comma 3 6 2 2" xfId="3385"/>
    <cellStyle name="Comma 3 6 3" xfId="3279"/>
    <cellStyle name="Comma 3 6 3 2" xfId="3408"/>
    <cellStyle name="Comma 3 6 4" xfId="3336"/>
    <cellStyle name="Comma 3 6 5" xfId="3368"/>
    <cellStyle name="Comma 3 7" xfId="2843"/>
    <cellStyle name="Comma 3 7 2" xfId="3375"/>
    <cellStyle name="Comma 3 8" xfId="2883"/>
    <cellStyle name="Comma 3 8 2" xfId="3398"/>
    <cellStyle name="Comma 3 9" xfId="3326"/>
    <cellStyle name="Comma 30" xfId="1722"/>
    <cellStyle name="Comma 30 2" xfId="1723"/>
    <cellStyle name="Comma 36" xfId="1724"/>
    <cellStyle name="Comma 36 2" xfId="1725"/>
    <cellStyle name="Comma 39 2" xfId="1726"/>
    <cellStyle name="Comma 4" xfId="130"/>
    <cellStyle name="Comma 4 2" xfId="131"/>
    <cellStyle name="Comma 4 3" xfId="1727"/>
    <cellStyle name="Comma 5" xfId="2856"/>
    <cellStyle name="Comma 5 2" xfId="3388"/>
    <cellStyle name="Comma 58 2" xfId="1728"/>
    <cellStyle name="Comma0" xfId="132"/>
    <cellStyle name="Comma0 2" xfId="2528"/>
    <cellStyle name="Comma0 3" xfId="2885"/>
    <cellStyle name="Currency 18" xfId="1729"/>
    <cellStyle name="Currency 18 2" xfId="1730"/>
    <cellStyle name="Currency 19" xfId="1731"/>
    <cellStyle name="Currency 19 2" xfId="1732"/>
    <cellStyle name="Currency 2" xfId="133"/>
    <cellStyle name="Currency 2 2" xfId="134"/>
    <cellStyle name="Currency 2 3" xfId="135"/>
    <cellStyle name="Currency 2 3 2" xfId="1734"/>
    <cellStyle name="Currency 2 3 2 2" xfId="3261"/>
    <cellStyle name="Currency 2 3 2 3" xfId="3356"/>
    <cellStyle name="Currency 2 3 3" xfId="1733"/>
    <cellStyle name="Currency 2 3 4" xfId="2886"/>
    <cellStyle name="Currency 2 4" xfId="1735"/>
    <cellStyle name="Currency 2 4 2" xfId="3262"/>
    <cellStyle name="Currency 2 4 3" xfId="3357"/>
    <cellStyle name="Currency 20" xfId="1736"/>
    <cellStyle name="Currency 20 2" xfId="1737"/>
    <cellStyle name="Currency 21" xfId="1738"/>
    <cellStyle name="Currency 21 2" xfId="1739"/>
    <cellStyle name="Currency 22" xfId="1740"/>
    <cellStyle name="Currency 22 2" xfId="1741"/>
    <cellStyle name="Currency 23" xfId="1742"/>
    <cellStyle name="Currency 23 2" xfId="1743"/>
    <cellStyle name="Currency 24" xfId="1744"/>
    <cellStyle name="Currency 24 2" xfId="1745"/>
    <cellStyle name="Currency 27" xfId="1746"/>
    <cellStyle name="Currency 27 2" xfId="1747"/>
    <cellStyle name="Currency 28" xfId="1748"/>
    <cellStyle name="Currency 28 2" xfId="1749"/>
    <cellStyle name="Currency 3" xfId="136"/>
    <cellStyle name="Currency 3 2" xfId="1750"/>
    <cellStyle name="Currency 36" xfId="1751"/>
    <cellStyle name="Currency 36 2" xfId="1752"/>
    <cellStyle name="Currency 39 2" xfId="1753"/>
    <cellStyle name="Currency 43 2" xfId="1754"/>
    <cellStyle name="Currency0" xfId="137"/>
    <cellStyle name="Currency0 2" xfId="2527"/>
    <cellStyle name="Currency0 3" xfId="2887"/>
    <cellStyle name="Date" xfId="138"/>
    <cellStyle name="Decimal 2 (e.g. 1,000.00)" xfId="139"/>
    <cellStyle name="Double Underline" xfId="140"/>
    <cellStyle name="Double Underscore" xfId="141"/>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4" xfId="1819"/>
    <cellStyle name="Good 2 5" xfId="1820"/>
    <cellStyle name="Good 2 6" xfId="1821"/>
    <cellStyle name="Good 3" xfId="154"/>
    <cellStyle name="Good 3 2" xfId="1823"/>
    <cellStyle name="Good 3 3" xfId="1824"/>
    <cellStyle name="Good 3 4" xfId="1825"/>
    <cellStyle name="Good 3 5" xfId="1826"/>
    <cellStyle name="Good 3 6" xfId="1827"/>
    <cellStyle name="Good 3 7" xfId="1828"/>
    <cellStyle name="Good 3 8" xfId="1822"/>
    <cellStyle name="Good 4" xfId="155"/>
    <cellStyle name="Good 4 2" xfId="1830"/>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4" xfId="1873"/>
    <cellStyle name="Heading 1 2 5" xfId="1874"/>
    <cellStyle name="Heading 1 2 6" xfId="1875"/>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8" xfId="1876"/>
    <cellStyle name="Heading 1 4" xfId="161"/>
    <cellStyle name="Heading 1 4 2" xfId="1884"/>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4" xfId="1927"/>
    <cellStyle name="Heading 2 2 5" xfId="1928"/>
    <cellStyle name="Heading 2 2 6" xfId="1929"/>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8" xfId="1930"/>
    <cellStyle name="Heading 2 4" xfId="167"/>
    <cellStyle name="Heading 2 4 2" xfId="1938"/>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4" xfId="1981"/>
    <cellStyle name="Heading 3 2 5" xfId="1982"/>
    <cellStyle name="Heading 3 2 6" xfId="1983"/>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8" xfId="1984"/>
    <cellStyle name="Heading 3 4" xfId="173"/>
    <cellStyle name="Heading 3 4 2" xfId="1992"/>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4" xfId="2035"/>
    <cellStyle name="Heading 4 2 5" xfId="2036"/>
    <cellStyle name="Heading 4 2 6" xfId="2037"/>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8" xfId="2038"/>
    <cellStyle name="Heading 4 4" xfId="179"/>
    <cellStyle name="Heading 4 4 2" xfId="2046"/>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2" xfId="15"/>
    <cellStyle name="Hyperlink 2 2" xfId="186"/>
    <cellStyle name="Hyperlink 2 2 2" xfId="187"/>
    <cellStyle name="Hyperlink 2 2 3" xfId="2077"/>
    <cellStyle name="Hyperlink 2 2 3 2" xfId="3263"/>
    <cellStyle name="Hyperlink 2 2 3 3" xfId="3358"/>
    <cellStyle name="Hyperlink 2 2 4" xfId="2888"/>
    <cellStyle name="Hyperlink 2 3" xfId="2078"/>
    <cellStyle name="Hyperlink 2 4" xfId="2079"/>
    <cellStyle name="Hyperlink 2 4 2" xfId="3264"/>
    <cellStyle name="Hyperlink 2 4 3" xfId="3359"/>
    <cellStyle name="Hyperlink 2 5" xfId="185"/>
    <cellStyle name="Hyperlink 2 6" xfId="2857"/>
    <cellStyle name="Hyperlink 3" xfId="188"/>
    <cellStyle name="Hyperlink 3 2" xfId="189"/>
    <cellStyle name="Hyperlink 3 3" xfId="2080"/>
    <cellStyle name="Hyperlink 30" xfId="2081"/>
    <cellStyle name="In 000s (Convert to 000s)" xfId="190"/>
    <cellStyle name="Input 10 2" xfId="2082"/>
    <cellStyle name="Input 10 2 2" xfId="2652"/>
    <cellStyle name="Input 10 2 2 2" xfId="3038"/>
    <cellStyle name="Input 10 3" xfId="2083"/>
    <cellStyle name="Input 10 3 2" xfId="2653"/>
    <cellStyle name="Input 10 3 2 2" xfId="3037"/>
    <cellStyle name="Input 10 4" xfId="2084"/>
    <cellStyle name="Input 10 4 2" xfId="2654"/>
    <cellStyle name="Input 10 4 2 2" xfId="3036"/>
    <cellStyle name="Input 10 5" xfId="2085"/>
    <cellStyle name="Input 10 5 2" xfId="2655"/>
    <cellStyle name="Input 10 5 2 2" xfId="3035"/>
    <cellStyle name="Input 10 6" xfId="2086"/>
    <cellStyle name="Input 10 6 2" xfId="2656"/>
    <cellStyle name="Input 10 6 2 2" xfId="3034"/>
    <cellStyle name="Input 11 2" xfId="2087"/>
    <cellStyle name="Input 11 2 2" xfId="2657"/>
    <cellStyle name="Input 11 2 2 2" xfId="3033"/>
    <cellStyle name="Input 11 3" xfId="2088"/>
    <cellStyle name="Input 11 3 2" xfId="2658"/>
    <cellStyle name="Input 11 3 2 2" xfId="3032"/>
    <cellStyle name="Input 11 4" xfId="2089"/>
    <cellStyle name="Input 11 4 2" xfId="2659"/>
    <cellStyle name="Input 11 4 2 2" xfId="3031"/>
    <cellStyle name="Input 11 5" xfId="2090"/>
    <cellStyle name="Input 11 5 2" xfId="2660"/>
    <cellStyle name="Input 11 5 2 2" xfId="3030"/>
    <cellStyle name="Input 11 6" xfId="2091"/>
    <cellStyle name="Input 11 6 2" xfId="2661"/>
    <cellStyle name="Input 11 6 2 2" xfId="3029"/>
    <cellStyle name="Input 2" xfId="191"/>
    <cellStyle name="Input 2 2" xfId="2092"/>
    <cellStyle name="Input 2 2 2" xfId="2662"/>
    <cellStyle name="Input 2 2 2 2" xfId="3028"/>
    <cellStyle name="Input 2 3" xfId="2093"/>
    <cellStyle name="Input 2 3 2" xfId="2663"/>
    <cellStyle name="Input 2 3 2 2" xfId="3027"/>
    <cellStyle name="Input 2 4" xfId="2094"/>
    <cellStyle name="Input 2 4 2" xfId="2664"/>
    <cellStyle name="Input 2 4 2 2" xfId="3026"/>
    <cellStyle name="Input 2 5" xfId="2095"/>
    <cellStyle name="Input 2 5 2" xfId="2665"/>
    <cellStyle name="Input 2 5 2 2" xfId="3025"/>
    <cellStyle name="Input 2 6" xfId="2096"/>
    <cellStyle name="Input 2 6 2" xfId="2666"/>
    <cellStyle name="Input 2 6 2 2" xfId="3024"/>
    <cellStyle name="Input 2 7" xfId="2555"/>
    <cellStyle name="Input 2 7 2" xfId="3135"/>
    <cellStyle name="Input 3" xfId="192"/>
    <cellStyle name="Input 3 2" xfId="2098"/>
    <cellStyle name="Input 3 2 2" xfId="2668"/>
    <cellStyle name="Input 3 2 2 2" xfId="3022"/>
    <cellStyle name="Input 3 3" xfId="2099"/>
    <cellStyle name="Input 3 3 2" xfId="2669"/>
    <cellStyle name="Input 3 3 2 2" xfId="3021"/>
    <cellStyle name="Input 3 4" xfId="2100"/>
    <cellStyle name="Input 3 4 2" xfId="2670"/>
    <cellStyle name="Input 3 4 2 2" xfId="3020"/>
    <cellStyle name="Input 3 5" xfId="2101"/>
    <cellStyle name="Input 3 5 2" xfId="2671"/>
    <cellStyle name="Input 3 5 2 2" xfId="3019"/>
    <cellStyle name="Input 3 6" xfId="2102"/>
    <cellStyle name="Input 3 6 2" xfId="2672"/>
    <cellStyle name="Input 3 6 2 2" xfId="3018"/>
    <cellStyle name="Input 3 7" xfId="2103"/>
    <cellStyle name="Input 3 7 2" xfId="2673"/>
    <cellStyle name="Input 3 7 2 2" xfId="3017"/>
    <cellStyle name="Input 3 8" xfId="2097"/>
    <cellStyle name="Input 3 8 2" xfId="2667"/>
    <cellStyle name="Input 3 8 2 2" xfId="3023"/>
    <cellStyle name="Input 3 9" xfId="2556"/>
    <cellStyle name="Input 3 9 2" xfId="3134"/>
    <cellStyle name="Input 4" xfId="193"/>
    <cellStyle name="Input 4 2" xfId="2105"/>
    <cellStyle name="Input 4 2 2" xfId="2675"/>
    <cellStyle name="Input 4 2 2 2" xfId="3015"/>
    <cellStyle name="Input 4 3" xfId="2106"/>
    <cellStyle name="Input 4 3 2" xfId="2676"/>
    <cellStyle name="Input 4 3 2 2" xfId="3014"/>
    <cellStyle name="Input 4 4" xfId="2107"/>
    <cellStyle name="Input 4 4 2" xfId="2677"/>
    <cellStyle name="Input 4 4 2 2" xfId="3013"/>
    <cellStyle name="Input 4 5" xfId="2108"/>
    <cellStyle name="Input 4 5 2" xfId="2678"/>
    <cellStyle name="Input 4 5 2 2" xfId="3012"/>
    <cellStyle name="Input 4 6" xfId="2109"/>
    <cellStyle name="Input 4 6 2" xfId="2679"/>
    <cellStyle name="Input 4 6 2 2" xfId="3011"/>
    <cellStyle name="Input 4 7" xfId="2110"/>
    <cellStyle name="Input 4 7 2" xfId="2680"/>
    <cellStyle name="Input 4 7 2 2" xfId="3010"/>
    <cellStyle name="Input 4 8" xfId="2104"/>
    <cellStyle name="Input 4 8 2" xfId="2674"/>
    <cellStyle name="Input 4 8 2 2" xfId="3016"/>
    <cellStyle name="Input 4 9" xfId="2557"/>
    <cellStyle name="Input 4 9 2" xfId="3133"/>
    <cellStyle name="Input 5" xfId="194"/>
    <cellStyle name="Input 5 2" xfId="2111"/>
    <cellStyle name="Input 5 2 2" xfId="2681"/>
    <cellStyle name="Input 5 2 2 2" xfId="3009"/>
    <cellStyle name="Input 5 3" xfId="2112"/>
    <cellStyle name="Input 5 3 2" xfId="2682"/>
    <cellStyle name="Input 5 3 2 2" xfId="3008"/>
    <cellStyle name="Input 5 4" xfId="2113"/>
    <cellStyle name="Input 5 4 2" xfId="2683"/>
    <cellStyle name="Input 5 4 2 2" xfId="3007"/>
    <cellStyle name="Input 5 5" xfId="2114"/>
    <cellStyle name="Input 5 5 2" xfId="2684"/>
    <cellStyle name="Input 5 5 2 2" xfId="3006"/>
    <cellStyle name="Input 5 6" xfId="2115"/>
    <cellStyle name="Input 5 6 2" xfId="2685"/>
    <cellStyle name="Input 5 6 2 2" xfId="3005"/>
    <cellStyle name="Input 5 7" xfId="2558"/>
    <cellStyle name="Input 5 7 2" xfId="3132"/>
    <cellStyle name="Input 6" xfId="195"/>
    <cellStyle name="Input 6 2" xfId="2116"/>
    <cellStyle name="Input 6 2 2" xfId="2686"/>
    <cellStyle name="Input 6 2 2 2" xfId="3004"/>
    <cellStyle name="Input 6 3" xfId="2117"/>
    <cellStyle name="Input 6 3 2" xfId="2687"/>
    <cellStyle name="Input 6 3 2 2" xfId="3003"/>
    <cellStyle name="Input 6 4" xfId="2118"/>
    <cellStyle name="Input 6 4 2" xfId="2688"/>
    <cellStyle name="Input 6 4 2 2" xfId="3002"/>
    <cellStyle name="Input 6 5" xfId="2119"/>
    <cellStyle name="Input 6 5 2" xfId="2689"/>
    <cellStyle name="Input 6 5 2 2" xfId="3001"/>
    <cellStyle name="Input 6 6" xfId="2120"/>
    <cellStyle name="Input 6 6 2" xfId="2690"/>
    <cellStyle name="Input 6 6 2 2" xfId="3000"/>
    <cellStyle name="Input 6 7" xfId="2559"/>
    <cellStyle name="Input 6 7 2" xfId="3131"/>
    <cellStyle name="Input 7" xfId="196"/>
    <cellStyle name="Input 7 2" xfId="2121"/>
    <cellStyle name="Input 7 2 2" xfId="2691"/>
    <cellStyle name="Input 7 2 2 2" xfId="2999"/>
    <cellStyle name="Input 7 3" xfId="2122"/>
    <cellStyle name="Input 7 3 2" xfId="2692"/>
    <cellStyle name="Input 7 3 2 2" xfId="2998"/>
    <cellStyle name="Input 7 4" xfId="2123"/>
    <cellStyle name="Input 7 4 2" xfId="2693"/>
    <cellStyle name="Input 7 4 2 2" xfId="2997"/>
    <cellStyle name="Input 7 5" xfId="2124"/>
    <cellStyle name="Input 7 5 2" xfId="2694"/>
    <cellStyle name="Input 7 5 2 2" xfId="2996"/>
    <cellStyle name="Input 7 6" xfId="2125"/>
    <cellStyle name="Input 7 6 2" xfId="2695"/>
    <cellStyle name="Input 7 6 2 2" xfId="2995"/>
    <cellStyle name="Input 7 7" xfId="2560"/>
    <cellStyle name="Input 7 7 2" xfId="3130"/>
    <cellStyle name="Input 8 2" xfId="2126"/>
    <cellStyle name="Input 8 2 2" xfId="2696"/>
    <cellStyle name="Input 8 2 2 2" xfId="2994"/>
    <cellStyle name="Input 8 3" xfId="2127"/>
    <cellStyle name="Input 8 3 2" xfId="2697"/>
    <cellStyle name="Input 8 3 2 2" xfId="2993"/>
    <cellStyle name="Input 8 4" xfId="2128"/>
    <cellStyle name="Input 8 4 2" xfId="2698"/>
    <cellStyle name="Input 8 4 2 2" xfId="2992"/>
    <cellStyle name="Input 8 5" xfId="2129"/>
    <cellStyle name="Input 8 5 2" xfId="2699"/>
    <cellStyle name="Input 8 5 2 2" xfId="2991"/>
    <cellStyle name="Input 8 6" xfId="2130"/>
    <cellStyle name="Input 8 6 2" xfId="2700"/>
    <cellStyle name="Input 8 6 2 2" xfId="2990"/>
    <cellStyle name="Input 9 2" xfId="2131"/>
    <cellStyle name="Input 9 2 2" xfId="2701"/>
    <cellStyle name="Input 9 2 2 2" xfId="2989"/>
    <cellStyle name="Input 9 3" xfId="2132"/>
    <cellStyle name="Input 9 3 2" xfId="2702"/>
    <cellStyle name="Input 9 3 2 2" xfId="2988"/>
    <cellStyle name="Input 9 4" xfId="2133"/>
    <cellStyle name="Input 9 4 2" xfId="2703"/>
    <cellStyle name="Input 9 4 2 2" xfId="2987"/>
    <cellStyle name="Input 9 5" xfId="2134"/>
    <cellStyle name="Input 9 5 2" xfId="2704"/>
    <cellStyle name="Input 9 5 2 2" xfId="2986"/>
    <cellStyle name="Input 9 6" xfId="2135"/>
    <cellStyle name="Input 9 6 2" xfId="2705"/>
    <cellStyle name="Input 9 6 2 2" xfId="2985"/>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4" xfId="2148"/>
    <cellStyle name="Linked Cell 2 5" xfId="2149"/>
    <cellStyle name="Linked Cell 2 6" xfId="2150"/>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8" xfId="2151"/>
    <cellStyle name="Linked Cell 4" xfId="199"/>
    <cellStyle name="Linked Cell 4 2" xfId="2159"/>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4" xfId="2202"/>
    <cellStyle name="Neutral 2 5" xfId="2203"/>
    <cellStyle name="Neutral 2 6" xfId="2204"/>
    <cellStyle name="Neutral 3" xfId="204"/>
    <cellStyle name="Neutral 3 2" xfId="2206"/>
    <cellStyle name="Neutral 3 3" xfId="2207"/>
    <cellStyle name="Neutral 3 4" xfId="2208"/>
    <cellStyle name="Neutral 3 5" xfId="2209"/>
    <cellStyle name="Neutral 3 6" xfId="2210"/>
    <cellStyle name="Neutral 3 7" xfId="2211"/>
    <cellStyle name="Neutral 3 8" xfId="2205"/>
    <cellStyle name="Neutral 4" xfId="205"/>
    <cellStyle name="Neutral 4 2" xfId="2213"/>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2" xfId="2244"/>
    <cellStyle name="Normal 11 2" xfId="2245"/>
    <cellStyle name="Normal 2" xfId="3"/>
    <cellStyle name="Normal 2 2" xfId="210"/>
    <cellStyle name="Normal 2 2 2" xfId="2247"/>
    <cellStyle name="Normal 2 2 2 2" xfId="3265"/>
    <cellStyle name="Normal 2 2 2 3" xfId="3360"/>
    <cellStyle name="Normal 2 2 3" xfId="2246"/>
    <cellStyle name="Normal 2 2 4" xfId="2889"/>
    <cellStyle name="Normal 2 3" xfId="2248"/>
    <cellStyle name="Normal 2 4" xfId="2249"/>
    <cellStyle name="Normal 2 5" xfId="2250"/>
    <cellStyle name="Normal 2 6" xfId="2251"/>
    <cellStyle name="Normal 3" xfId="4"/>
    <cellStyle name="Normal 3 10" xfId="2838"/>
    <cellStyle name="Normal 3 10 2" xfId="3370"/>
    <cellStyle name="Normal 3 11" xfId="2858"/>
    <cellStyle name="Normal 3 11 2" xfId="3389"/>
    <cellStyle name="Normal 3 12" xfId="19"/>
    <cellStyle name="Normal 3 12 2" xfId="3343"/>
    <cellStyle name="Normal 3 13" xfId="2860"/>
    <cellStyle name="Normal 3 13 2" xfId="3390"/>
    <cellStyle name="Normal 3 14" xfId="3318"/>
    <cellStyle name="Normal 3 15" xfId="3338"/>
    <cellStyle name="Normal 3 2" xfId="14"/>
    <cellStyle name="Normal 3 2 10" xfId="3339"/>
    <cellStyle name="Normal 3 2 2" xfId="18"/>
    <cellStyle name="Normal 3 2 2 2" xfId="211"/>
    <cellStyle name="Normal 3 2 2 3" xfId="3342"/>
    <cellStyle name="Normal 3 2 3" xfId="2524"/>
    <cellStyle name="Normal 3 2 3 2" xfId="2848"/>
    <cellStyle name="Normal 3 2 3 2 2" xfId="3380"/>
    <cellStyle name="Normal 3 2 3 3" xfId="3274"/>
    <cellStyle name="Normal 3 2 3 3 2" xfId="3403"/>
    <cellStyle name="Normal 3 2 3 4" xfId="3331"/>
    <cellStyle name="Normal 3 2 3 5" xfId="3363"/>
    <cellStyle name="Normal 3 2 4" xfId="30"/>
    <cellStyle name="Normal 3 2 4 2" xfId="2842"/>
    <cellStyle name="Normal 3 2 4 2 2" xfId="3374"/>
    <cellStyle name="Normal 3 2 4 3" xfId="2871"/>
    <cellStyle name="Normal 3 2 4 3 2" xfId="3397"/>
    <cellStyle name="Normal 3 2 4 4" xfId="3325"/>
    <cellStyle name="Normal 3 2 4 5" xfId="3350"/>
    <cellStyle name="Normal 3 2 5" xfId="23"/>
    <cellStyle name="Normal 3 2 5 2" xfId="2864"/>
    <cellStyle name="Normal 3 2 5 2 2" xfId="3394"/>
    <cellStyle name="Normal 3 2 5 3" xfId="3322"/>
    <cellStyle name="Normal 3 2 5 4" xfId="3347"/>
    <cellStyle name="Normal 3 2 6" xfId="2839"/>
    <cellStyle name="Normal 3 2 6 2" xfId="3371"/>
    <cellStyle name="Normal 3 2 7" xfId="20"/>
    <cellStyle name="Normal 3 2 7 2" xfId="3344"/>
    <cellStyle name="Normal 3 2 8" xfId="2861"/>
    <cellStyle name="Normal 3 2 8 2" xfId="3391"/>
    <cellStyle name="Normal 3 2 9" xfId="3319"/>
    <cellStyle name="Normal 3 3" xfId="212"/>
    <cellStyle name="Normal 3 3 2" xfId="213"/>
    <cellStyle name="Normal 3 3 2 2" xfId="2525"/>
    <cellStyle name="Normal 3 3 2 3" xfId="2890"/>
    <cellStyle name="Normal 3 3 3" xfId="2252"/>
    <cellStyle name="Normal 3 4" xfId="2253"/>
    <cellStyle name="Normal 3 4 2" xfId="2846"/>
    <cellStyle name="Normal 3 4 2 2" xfId="3378"/>
    <cellStyle name="Normal 3 4 3" xfId="3266"/>
    <cellStyle name="Normal 3 4 3 2" xfId="3401"/>
    <cellStyle name="Normal 3 4 4" xfId="3329"/>
    <cellStyle name="Normal 3 4 5" xfId="3361"/>
    <cellStyle name="Normal 3 5" xfId="2531"/>
    <cellStyle name="Normal 3 5 2" xfId="2850"/>
    <cellStyle name="Normal 3 5 2 2" xfId="3382"/>
    <cellStyle name="Normal 3 5 3" xfId="3276"/>
    <cellStyle name="Normal 3 5 3 2" xfId="3405"/>
    <cellStyle name="Normal 3 5 4" xfId="3333"/>
    <cellStyle name="Normal 3 5 5" xfId="3365"/>
    <cellStyle name="Normal 3 6" xfId="2534"/>
    <cellStyle name="Normal 3 6 2" xfId="2852"/>
    <cellStyle name="Normal 3 6 2 2" xfId="3384"/>
    <cellStyle name="Normal 3 6 3" xfId="3278"/>
    <cellStyle name="Normal 3 6 3 2" xfId="3407"/>
    <cellStyle name="Normal 3 6 4" xfId="3335"/>
    <cellStyle name="Normal 3 6 5" xfId="3367"/>
    <cellStyle name="Normal 3 7" xfId="25"/>
    <cellStyle name="Normal 3 7 2" xfId="2841"/>
    <cellStyle name="Normal 3 7 2 2" xfId="3373"/>
    <cellStyle name="Normal 3 7 3" xfId="2866"/>
    <cellStyle name="Normal 3 7 3 2" xfId="3396"/>
    <cellStyle name="Normal 3 7 4" xfId="3324"/>
    <cellStyle name="Normal 3 7 5" xfId="3349"/>
    <cellStyle name="Normal 3 8" xfId="24"/>
    <cellStyle name="Normal 3 8 2" xfId="2840"/>
    <cellStyle name="Normal 3 8 2 2" xfId="3372"/>
    <cellStyle name="Normal 3 8 3" xfId="2865"/>
    <cellStyle name="Normal 3 8 3 2" xfId="3395"/>
    <cellStyle name="Normal 3 8 4" xfId="3323"/>
    <cellStyle name="Normal 3 8 5" xfId="3348"/>
    <cellStyle name="Normal 3 9" xfId="22"/>
    <cellStyle name="Normal 3 9 2" xfId="2863"/>
    <cellStyle name="Normal 3 9 2 2" xfId="3393"/>
    <cellStyle name="Normal 3 9 3" xfId="3321"/>
    <cellStyle name="Normal 3 9 4" xfId="3346"/>
    <cellStyle name="Normal 4" xfId="16"/>
    <cellStyle name="Normal 4 10" xfId="3320"/>
    <cellStyle name="Normal 4 11" xfId="3340"/>
    <cellStyle name="Normal 4 2" xfId="2254"/>
    <cellStyle name="Normal 4 2 2" xfId="2847"/>
    <cellStyle name="Normal 4 2 2 2" xfId="3379"/>
    <cellStyle name="Normal 4 2 3" xfId="3267"/>
    <cellStyle name="Normal 4 2 3 2" xfId="3402"/>
    <cellStyle name="Normal 4 2 4" xfId="3330"/>
    <cellStyle name="Normal 4 2 5" xfId="3362"/>
    <cellStyle name="Normal 4 3" xfId="2532"/>
    <cellStyle name="Normal 4 3 2" xfId="2851"/>
    <cellStyle name="Normal 4 3 2 2" xfId="3383"/>
    <cellStyle name="Normal 4 3 3" xfId="3277"/>
    <cellStyle name="Normal 4 3 3 2" xfId="3406"/>
    <cellStyle name="Normal 4 3 4" xfId="3334"/>
    <cellStyle name="Normal 4 3 5" xfId="3366"/>
    <cellStyle name="Normal 4 4" xfId="2536"/>
    <cellStyle name="Normal 4 4 2" xfId="2854"/>
    <cellStyle name="Normal 4 4 2 2" xfId="3386"/>
    <cellStyle name="Normal 4 4 3" xfId="3280"/>
    <cellStyle name="Normal 4 4 3 2" xfId="3409"/>
    <cellStyle name="Normal 4 4 4" xfId="3337"/>
    <cellStyle name="Normal 4 4 5" xfId="3369"/>
    <cellStyle name="Normal 4 5" xfId="214"/>
    <cellStyle name="Normal 4 5 2" xfId="2891"/>
    <cellStyle name="Normal 4 5 2 2" xfId="3399"/>
    <cellStyle name="Normal 4 5 3" xfId="3327"/>
    <cellStyle name="Normal 4 5 4" xfId="3352"/>
    <cellStyle name="Normal 4 6" xfId="2844"/>
    <cellStyle name="Normal 4 6 2" xfId="3376"/>
    <cellStyle name="Normal 4 7" xfId="2859"/>
    <cellStyle name="Normal 4 8" xfId="21"/>
    <cellStyle name="Normal 4 8 2" xfId="3345"/>
    <cellStyle name="Normal 4 9" xfId="2862"/>
    <cellStyle name="Normal 4 9 2" xfId="3392"/>
    <cellStyle name="Normal 5" xfId="17"/>
    <cellStyle name="Normal 5 2" xfId="2255"/>
    <cellStyle name="Normal 5 3" xfId="215"/>
    <cellStyle name="Normal 5 4" xfId="3341"/>
    <cellStyle name="Normal 6" xfId="2533"/>
    <cellStyle name="Normal 6 2" xfId="2256"/>
    <cellStyle name="Normal 7" xfId="2855"/>
    <cellStyle name="Normal 7 2" xfId="2257"/>
    <cellStyle name="Normal 7 3" xfId="3387"/>
    <cellStyle name="Normal 8 2" xfId="2258"/>
    <cellStyle name="Normal 9 2" xfId="225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2 2 2" xfId="2984"/>
    <cellStyle name="Note 10 3" xfId="2261"/>
    <cellStyle name="Note 10 3 2" xfId="2707"/>
    <cellStyle name="Note 10 3 2 2" xfId="2983"/>
    <cellStyle name="Note 10 4" xfId="2262"/>
    <cellStyle name="Note 10 4 2" xfId="2708"/>
    <cellStyle name="Note 10 4 2 2" xfId="2982"/>
    <cellStyle name="Note 10 5" xfId="2263"/>
    <cellStyle name="Note 10 5 2" xfId="2709"/>
    <cellStyle name="Note 10 5 2 2" xfId="2981"/>
    <cellStyle name="Note 10 6" xfId="2264"/>
    <cellStyle name="Note 10 6 2" xfId="2710"/>
    <cellStyle name="Note 10 6 2 2" xfId="2980"/>
    <cellStyle name="Note 11 2" xfId="2265"/>
    <cellStyle name="Note 11 2 2" xfId="2711"/>
    <cellStyle name="Note 11 2 2 2" xfId="2979"/>
    <cellStyle name="Note 11 3" xfId="2266"/>
    <cellStyle name="Note 11 3 2" xfId="2712"/>
    <cellStyle name="Note 11 3 2 2" xfId="2978"/>
    <cellStyle name="Note 11 4" xfId="2267"/>
    <cellStyle name="Note 11 4 2" xfId="2713"/>
    <cellStyle name="Note 11 4 2 2" xfId="2977"/>
    <cellStyle name="Note 11 5" xfId="2268"/>
    <cellStyle name="Note 11 5 2" xfId="2714"/>
    <cellStyle name="Note 11 5 2 2" xfId="2976"/>
    <cellStyle name="Note 11 6" xfId="2269"/>
    <cellStyle name="Note 11 6 2" xfId="2715"/>
    <cellStyle name="Note 11 6 2 2" xfId="2975"/>
    <cellStyle name="Note 2" xfId="216"/>
    <cellStyle name="Note 2 2" xfId="2270"/>
    <cellStyle name="Note 2 2 2" xfId="2716"/>
    <cellStyle name="Note 2 2 2 2" xfId="2974"/>
    <cellStyle name="Note 2 3" xfId="2271"/>
    <cellStyle name="Note 2 3 2" xfId="2717"/>
    <cellStyle name="Note 2 3 2 2" xfId="2973"/>
    <cellStyle name="Note 2 4" xfId="2272"/>
    <cellStyle name="Note 2 4 2" xfId="2718"/>
    <cellStyle name="Note 2 4 2 2" xfId="2972"/>
    <cellStyle name="Note 2 5" xfId="2273"/>
    <cellStyle name="Note 2 5 2" xfId="2719"/>
    <cellStyle name="Note 2 5 2 2" xfId="2971"/>
    <cellStyle name="Note 2 6" xfId="2274"/>
    <cellStyle name="Note 2 6 2" xfId="2720"/>
    <cellStyle name="Note 2 6 2 2" xfId="2970"/>
    <cellStyle name="Note 2 7" xfId="2561"/>
    <cellStyle name="Note 2 7 2" xfId="3129"/>
    <cellStyle name="Note 3" xfId="217"/>
    <cellStyle name="Note 3 2" xfId="2276"/>
    <cellStyle name="Note 3 2 2" xfId="2722"/>
    <cellStyle name="Note 3 2 2 2" xfId="2968"/>
    <cellStyle name="Note 3 3" xfId="2277"/>
    <cellStyle name="Note 3 3 2" xfId="2723"/>
    <cellStyle name="Note 3 3 2 2" xfId="2967"/>
    <cellStyle name="Note 3 4" xfId="2278"/>
    <cellStyle name="Note 3 4 2" xfId="2724"/>
    <cellStyle name="Note 3 4 2 2" xfId="2966"/>
    <cellStyle name="Note 3 5" xfId="2279"/>
    <cellStyle name="Note 3 5 2" xfId="2725"/>
    <cellStyle name="Note 3 5 2 2" xfId="2965"/>
    <cellStyle name="Note 3 6" xfId="2280"/>
    <cellStyle name="Note 3 6 2" xfId="2726"/>
    <cellStyle name="Note 3 6 2 2" xfId="2964"/>
    <cellStyle name="Note 3 7" xfId="2281"/>
    <cellStyle name="Note 3 7 2" xfId="2727"/>
    <cellStyle name="Note 3 7 2 2" xfId="2963"/>
    <cellStyle name="Note 3 8" xfId="2275"/>
    <cellStyle name="Note 3 8 2" xfId="2721"/>
    <cellStyle name="Note 3 8 2 2" xfId="2969"/>
    <cellStyle name="Note 3 9" xfId="2562"/>
    <cellStyle name="Note 3 9 2" xfId="3128"/>
    <cellStyle name="Note 4" xfId="218"/>
    <cellStyle name="Note 4 2" xfId="2283"/>
    <cellStyle name="Note 4 2 2" xfId="2729"/>
    <cellStyle name="Note 4 2 2 2" xfId="2961"/>
    <cellStyle name="Note 4 3" xfId="2284"/>
    <cellStyle name="Note 4 3 2" xfId="2730"/>
    <cellStyle name="Note 4 3 2 2" xfId="2960"/>
    <cellStyle name="Note 4 4" xfId="2285"/>
    <cellStyle name="Note 4 4 2" xfId="2731"/>
    <cellStyle name="Note 4 4 2 2" xfId="2959"/>
    <cellStyle name="Note 4 5" xfId="2286"/>
    <cellStyle name="Note 4 5 2" xfId="2732"/>
    <cellStyle name="Note 4 5 2 2" xfId="2958"/>
    <cellStyle name="Note 4 6" xfId="2287"/>
    <cellStyle name="Note 4 6 2" xfId="2733"/>
    <cellStyle name="Note 4 6 2 2" xfId="2957"/>
    <cellStyle name="Note 4 7" xfId="2288"/>
    <cellStyle name="Note 4 7 2" xfId="2734"/>
    <cellStyle name="Note 4 7 2 2" xfId="2956"/>
    <cellStyle name="Note 4 8" xfId="2282"/>
    <cellStyle name="Note 4 8 2" xfId="2728"/>
    <cellStyle name="Note 4 8 2 2" xfId="2962"/>
    <cellStyle name="Note 4 9" xfId="2563"/>
    <cellStyle name="Note 4 9 2" xfId="3127"/>
    <cellStyle name="Note 5" xfId="219"/>
    <cellStyle name="Note 5 2" xfId="2289"/>
    <cellStyle name="Note 5 2 2" xfId="2735"/>
    <cellStyle name="Note 5 2 2 2" xfId="2955"/>
    <cellStyle name="Note 5 3" xfId="2290"/>
    <cellStyle name="Note 5 3 2" xfId="2736"/>
    <cellStyle name="Note 5 3 2 2" xfId="2954"/>
    <cellStyle name="Note 5 4" xfId="2291"/>
    <cellStyle name="Note 5 4 2" xfId="2737"/>
    <cellStyle name="Note 5 4 2 2" xfId="2953"/>
    <cellStyle name="Note 5 5" xfId="2292"/>
    <cellStyle name="Note 5 5 2" xfId="2738"/>
    <cellStyle name="Note 5 5 2 2" xfId="2952"/>
    <cellStyle name="Note 5 6" xfId="2293"/>
    <cellStyle name="Note 5 6 2" xfId="2739"/>
    <cellStyle name="Note 5 6 2 2" xfId="2951"/>
    <cellStyle name="Note 5 7" xfId="2564"/>
    <cellStyle name="Note 5 7 2" xfId="3126"/>
    <cellStyle name="Note 6" xfId="220"/>
    <cellStyle name="Note 6 2" xfId="2294"/>
    <cellStyle name="Note 6 2 2" xfId="2740"/>
    <cellStyle name="Note 6 2 2 2" xfId="2950"/>
    <cellStyle name="Note 6 3" xfId="2295"/>
    <cellStyle name="Note 6 3 2" xfId="2741"/>
    <cellStyle name="Note 6 3 2 2" xfId="2949"/>
    <cellStyle name="Note 6 4" xfId="2296"/>
    <cellStyle name="Note 6 4 2" xfId="2742"/>
    <cellStyle name="Note 6 4 2 2" xfId="2948"/>
    <cellStyle name="Note 6 5" xfId="2297"/>
    <cellStyle name="Note 6 5 2" xfId="2743"/>
    <cellStyle name="Note 6 5 2 2" xfId="2947"/>
    <cellStyle name="Note 6 6" xfId="2298"/>
    <cellStyle name="Note 6 6 2" xfId="2744"/>
    <cellStyle name="Note 6 6 2 2" xfId="2946"/>
    <cellStyle name="Note 6 7" xfId="2565"/>
    <cellStyle name="Note 6 7 2" xfId="3125"/>
    <cellStyle name="Note 7" xfId="221"/>
    <cellStyle name="Note 7 2" xfId="2299"/>
    <cellStyle name="Note 7 2 2" xfId="2745"/>
    <cellStyle name="Note 7 2 2 2" xfId="2945"/>
    <cellStyle name="Note 7 3" xfId="2300"/>
    <cellStyle name="Note 7 3 2" xfId="2746"/>
    <cellStyle name="Note 7 3 2 2" xfId="2944"/>
    <cellStyle name="Note 7 4" xfId="2301"/>
    <cellStyle name="Note 7 4 2" xfId="2747"/>
    <cellStyle name="Note 7 4 2 2" xfId="2943"/>
    <cellStyle name="Note 7 5" xfId="2302"/>
    <cellStyle name="Note 7 5 2" xfId="2748"/>
    <cellStyle name="Note 7 5 2 2" xfId="2942"/>
    <cellStyle name="Note 7 6" xfId="2303"/>
    <cellStyle name="Note 7 6 2" xfId="2749"/>
    <cellStyle name="Note 7 6 2 2" xfId="2941"/>
    <cellStyle name="Note 7 7" xfId="2566"/>
    <cellStyle name="Note 7 7 2" xfId="3124"/>
    <cellStyle name="Note 8 2" xfId="2304"/>
    <cellStyle name="Note 8 2 2" xfId="2750"/>
    <cellStyle name="Note 8 2 2 2" xfId="2940"/>
    <cellStyle name="Note 8 3" xfId="2305"/>
    <cellStyle name="Note 8 3 2" xfId="2751"/>
    <cellStyle name="Note 8 3 2 2" xfId="2939"/>
    <cellStyle name="Note 8 4" xfId="2306"/>
    <cellStyle name="Note 8 4 2" xfId="2752"/>
    <cellStyle name="Note 8 4 2 2" xfId="2938"/>
    <cellStyle name="Note 8 5" xfId="2307"/>
    <cellStyle name="Note 8 5 2" xfId="2753"/>
    <cellStyle name="Note 8 5 2 2" xfId="2937"/>
    <cellStyle name="Note 8 6" xfId="2308"/>
    <cellStyle name="Note 8 6 2" xfId="2754"/>
    <cellStyle name="Note 8 6 2 2" xfId="2936"/>
    <cellStyle name="Note 9 2" xfId="2309"/>
    <cellStyle name="Note 9 2 2" xfId="2755"/>
    <cellStyle name="Note 9 2 2 2" xfId="2935"/>
    <cellStyle name="Note 9 3" xfId="2310"/>
    <cellStyle name="Note 9 3 2" xfId="2756"/>
    <cellStyle name="Note 9 3 2 2" xfId="2934"/>
    <cellStyle name="Note 9 4" xfId="2311"/>
    <cellStyle name="Note 9 4 2" xfId="2757"/>
    <cellStyle name="Note 9 4 2 2" xfId="2933"/>
    <cellStyle name="Note 9 5" xfId="2312"/>
    <cellStyle name="Note 9 5 2" xfId="2758"/>
    <cellStyle name="Note 9 5 2 2" xfId="2932"/>
    <cellStyle name="Note 9 6" xfId="2313"/>
    <cellStyle name="Note 9 6 2" xfId="2759"/>
    <cellStyle name="Note 9 6 2 2" xfId="2931"/>
    <cellStyle name="Number" xfId="222"/>
    <cellStyle name="Output 10 2" xfId="2314"/>
    <cellStyle name="Output 10 2 2" xfId="2547"/>
    <cellStyle name="Output 10 2 2 2" xfId="3143"/>
    <cellStyle name="Output 10 2 3" xfId="3259"/>
    <cellStyle name="Output 10 3" xfId="2315"/>
    <cellStyle name="Output 10 3 2" xfId="2596"/>
    <cellStyle name="Output 10 3 2 2" xfId="3094"/>
    <cellStyle name="Output 10 3 3" xfId="3258"/>
    <cellStyle name="Output 10 4" xfId="2316"/>
    <cellStyle name="Output 10 4 2" xfId="2597"/>
    <cellStyle name="Output 10 4 2 2" xfId="3093"/>
    <cellStyle name="Output 10 4 3" xfId="3257"/>
    <cellStyle name="Output 10 5" xfId="2317"/>
    <cellStyle name="Output 10 5 2" xfId="2548"/>
    <cellStyle name="Output 10 5 2 2" xfId="3142"/>
    <cellStyle name="Output 10 5 3" xfId="3256"/>
    <cellStyle name="Output 10 6" xfId="2318"/>
    <cellStyle name="Output 10 6 2" xfId="2546"/>
    <cellStyle name="Output 10 6 2 2" xfId="3144"/>
    <cellStyle name="Output 10 6 3" xfId="3255"/>
    <cellStyle name="Output 11 2" xfId="2319"/>
    <cellStyle name="Output 11 2 2" xfId="2545"/>
    <cellStyle name="Output 11 2 2 2" xfId="3145"/>
    <cellStyle name="Output 11 2 3" xfId="3254"/>
    <cellStyle name="Output 11 3" xfId="2320"/>
    <cellStyle name="Output 11 3 2" xfId="2544"/>
    <cellStyle name="Output 11 3 2 2" xfId="3146"/>
    <cellStyle name="Output 11 3 3" xfId="3253"/>
    <cellStyle name="Output 11 4" xfId="2321"/>
    <cellStyle name="Output 11 4 2" xfId="2543"/>
    <cellStyle name="Output 11 4 2 2" xfId="3147"/>
    <cellStyle name="Output 11 4 3" xfId="3252"/>
    <cellStyle name="Output 11 5" xfId="2322"/>
    <cellStyle name="Output 11 5 2" xfId="2542"/>
    <cellStyle name="Output 11 5 2 2" xfId="3148"/>
    <cellStyle name="Output 11 5 3" xfId="3251"/>
    <cellStyle name="Output 11 6" xfId="2323"/>
    <cellStyle name="Output 11 6 2" xfId="2595"/>
    <cellStyle name="Output 11 6 2 2" xfId="3095"/>
    <cellStyle name="Output 11 6 3" xfId="3250"/>
    <cellStyle name="Output 2" xfId="223"/>
    <cellStyle name="Output 2 2" xfId="2324"/>
    <cellStyle name="Output 2 2 2" xfId="2594"/>
    <cellStyle name="Output 2 2 2 2" xfId="3096"/>
    <cellStyle name="Output 2 2 3" xfId="3249"/>
    <cellStyle name="Output 2 3" xfId="2325"/>
    <cellStyle name="Output 2 3 2" xfId="2593"/>
    <cellStyle name="Output 2 3 2 2" xfId="3097"/>
    <cellStyle name="Output 2 3 3" xfId="3248"/>
    <cellStyle name="Output 2 4" xfId="2326"/>
    <cellStyle name="Output 2 4 2" xfId="2592"/>
    <cellStyle name="Output 2 4 2 2" xfId="3098"/>
    <cellStyle name="Output 2 4 3" xfId="3247"/>
    <cellStyle name="Output 2 5" xfId="2327"/>
    <cellStyle name="Output 2 5 2" xfId="2591"/>
    <cellStyle name="Output 2 5 2 2" xfId="3099"/>
    <cellStyle name="Output 2 5 3" xfId="3246"/>
    <cellStyle name="Output 2 6" xfId="2328"/>
    <cellStyle name="Output 2 6 2" xfId="2590"/>
    <cellStyle name="Output 2 6 2 2" xfId="3100"/>
    <cellStyle name="Output 2 6 3" xfId="3245"/>
    <cellStyle name="Output 2 7" xfId="2772"/>
    <cellStyle name="Output 2 7 2" xfId="2922"/>
    <cellStyle name="Output 2 8" xfId="3273"/>
    <cellStyle name="Output 3" xfId="224"/>
    <cellStyle name="Output 3 10" xfId="3272"/>
    <cellStyle name="Output 3 2" xfId="2330"/>
    <cellStyle name="Output 3 2 2" xfId="2588"/>
    <cellStyle name="Output 3 2 2 2" xfId="3102"/>
    <cellStyle name="Output 3 2 3" xfId="3243"/>
    <cellStyle name="Output 3 3" xfId="2331"/>
    <cellStyle name="Output 3 3 2" xfId="2587"/>
    <cellStyle name="Output 3 3 2 2" xfId="3103"/>
    <cellStyle name="Output 3 3 3" xfId="3242"/>
    <cellStyle name="Output 3 4" xfId="2332"/>
    <cellStyle name="Output 3 4 2" xfId="2541"/>
    <cellStyle name="Output 3 4 2 2" xfId="3149"/>
    <cellStyle name="Output 3 4 3" xfId="3241"/>
    <cellStyle name="Output 3 5" xfId="2333"/>
    <cellStyle name="Output 3 5 2" xfId="2586"/>
    <cellStyle name="Output 3 5 2 2" xfId="3104"/>
    <cellStyle name="Output 3 5 3" xfId="3240"/>
    <cellStyle name="Output 3 6" xfId="2334"/>
    <cellStyle name="Output 3 6 2" xfId="2585"/>
    <cellStyle name="Output 3 6 2 2" xfId="3105"/>
    <cellStyle name="Output 3 6 3" xfId="3239"/>
    <cellStyle name="Output 3 7" xfId="2335"/>
    <cellStyle name="Output 3 7 2" xfId="2584"/>
    <cellStyle name="Output 3 7 2 2" xfId="3106"/>
    <cellStyle name="Output 3 7 3" xfId="3238"/>
    <cellStyle name="Output 3 8" xfId="2329"/>
    <cellStyle name="Output 3 8 2" xfId="2589"/>
    <cellStyle name="Output 3 8 2 2" xfId="3101"/>
    <cellStyle name="Output 3 8 3" xfId="3244"/>
    <cellStyle name="Output 3 9" xfId="2771"/>
    <cellStyle name="Output 3 9 2" xfId="2923"/>
    <cellStyle name="Output 4" xfId="225"/>
    <cellStyle name="Output 4 10" xfId="3271"/>
    <cellStyle name="Output 4 2" xfId="2337"/>
    <cellStyle name="Output 4 2 2" xfId="2582"/>
    <cellStyle name="Output 4 2 2 2" xfId="3108"/>
    <cellStyle name="Output 4 2 3" xfId="3236"/>
    <cellStyle name="Output 4 3" xfId="2338"/>
    <cellStyle name="Output 4 3 2" xfId="2581"/>
    <cellStyle name="Output 4 3 2 2" xfId="3109"/>
    <cellStyle name="Output 4 3 3" xfId="3235"/>
    <cellStyle name="Output 4 4" xfId="2339"/>
    <cellStyle name="Output 4 4 2" xfId="2580"/>
    <cellStyle name="Output 4 4 2 2" xfId="3110"/>
    <cellStyle name="Output 4 4 3" xfId="3234"/>
    <cellStyle name="Output 4 5" xfId="2340"/>
    <cellStyle name="Output 4 5 2" xfId="2579"/>
    <cellStyle name="Output 4 5 2 2" xfId="3111"/>
    <cellStyle name="Output 4 5 3" xfId="3233"/>
    <cellStyle name="Output 4 6" xfId="2341"/>
    <cellStyle name="Output 4 6 2" xfId="2578"/>
    <cellStyle name="Output 4 6 2 2" xfId="3112"/>
    <cellStyle name="Output 4 6 3" xfId="3232"/>
    <cellStyle name="Output 4 7" xfId="2342"/>
    <cellStyle name="Output 4 7 2" xfId="2577"/>
    <cellStyle name="Output 4 7 2 2" xfId="3113"/>
    <cellStyle name="Output 4 7 3" xfId="3231"/>
    <cellStyle name="Output 4 8" xfId="2336"/>
    <cellStyle name="Output 4 8 2" xfId="2583"/>
    <cellStyle name="Output 4 8 2 2" xfId="3107"/>
    <cellStyle name="Output 4 8 3" xfId="3237"/>
    <cellStyle name="Output 4 9" xfId="2770"/>
    <cellStyle name="Output 4 9 2" xfId="2924"/>
    <cellStyle name="Output 5" xfId="226"/>
    <cellStyle name="Output 5 2" xfId="2343"/>
    <cellStyle name="Output 5 2 2" xfId="2540"/>
    <cellStyle name="Output 5 2 2 2" xfId="3150"/>
    <cellStyle name="Output 5 2 3" xfId="3230"/>
    <cellStyle name="Output 5 3" xfId="2344"/>
    <cellStyle name="Output 5 3 2" xfId="2576"/>
    <cellStyle name="Output 5 3 2 2" xfId="3114"/>
    <cellStyle name="Output 5 3 3" xfId="3229"/>
    <cellStyle name="Output 5 4" xfId="2345"/>
    <cellStyle name="Output 5 4 2" xfId="2575"/>
    <cellStyle name="Output 5 4 2 2" xfId="3115"/>
    <cellStyle name="Output 5 4 3" xfId="3228"/>
    <cellStyle name="Output 5 5" xfId="2346"/>
    <cellStyle name="Output 5 5 2" xfId="2574"/>
    <cellStyle name="Output 5 5 2 2" xfId="3116"/>
    <cellStyle name="Output 5 5 3" xfId="3227"/>
    <cellStyle name="Output 5 6" xfId="2347"/>
    <cellStyle name="Output 5 6 2" xfId="2573"/>
    <cellStyle name="Output 5 6 2 2" xfId="3117"/>
    <cellStyle name="Output 5 6 3" xfId="3226"/>
    <cellStyle name="Output 5 7" xfId="2769"/>
    <cellStyle name="Output 5 7 2" xfId="2925"/>
    <cellStyle name="Output 5 8" xfId="3270"/>
    <cellStyle name="Output 6" xfId="227"/>
    <cellStyle name="Output 6 2" xfId="2348"/>
    <cellStyle name="Output 6 2 2" xfId="2572"/>
    <cellStyle name="Output 6 2 2 2" xfId="3118"/>
    <cellStyle name="Output 6 2 3" xfId="3225"/>
    <cellStyle name="Output 6 3" xfId="2349"/>
    <cellStyle name="Output 6 3 2" xfId="2571"/>
    <cellStyle name="Output 6 3 2 2" xfId="3119"/>
    <cellStyle name="Output 6 3 3" xfId="3224"/>
    <cellStyle name="Output 6 4" xfId="2350"/>
    <cellStyle name="Output 6 4 2" xfId="2570"/>
    <cellStyle name="Output 6 4 2 2" xfId="3120"/>
    <cellStyle name="Output 6 4 3" xfId="3223"/>
    <cellStyle name="Output 6 5" xfId="2351"/>
    <cellStyle name="Output 6 5 2" xfId="2569"/>
    <cellStyle name="Output 6 5 2 2" xfId="3121"/>
    <cellStyle name="Output 6 5 3" xfId="3222"/>
    <cellStyle name="Output 6 6" xfId="2352"/>
    <cellStyle name="Output 6 6 2" xfId="2568"/>
    <cellStyle name="Output 6 6 2 2" xfId="3122"/>
    <cellStyle name="Output 6 6 3" xfId="3221"/>
    <cellStyle name="Output 6 7" xfId="2768"/>
    <cellStyle name="Output 6 7 2" xfId="2873"/>
    <cellStyle name="Output 6 8" xfId="3269"/>
    <cellStyle name="Output 7" xfId="228"/>
    <cellStyle name="Output 7 2" xfId="2353"/>
    <cellStyle name="Output 7 2 2" xfId="2567"/>
    <cellStyle name="Output 7 2 2 2" xfId="3123"/>
    <cellStyle name="Output 7 2 3" xfId="3220"/>
    <cellStyle name="Output 7 3" xfId="2354"/>
    <cellStyle name="Output 7 3 2" xfId="2537"/>
    <cellStyle name="Output 7 3 2 2" xfId="3153"/>
    <cellStyle name="Output 7 3 3" xfId="3219"/>
    <cellStyle name="Output 7 4" xfId="2355"/>
    <cellStyle name="Output 7 4 2" xfId="2539"/>
    <cellStyle name="Output 7 4 2 2" xfId="3151"/>
    <cellStyle name="Output 7 4 3" xfId="3218"/>
    <cellStyle name="Output 7 5" xfId="2356"/>
    <cellStyle name="Output 7 5 2" xfId="2538"/>
    <cellStyle name="Output 7 5 2 2" xfId="3152"/>
    <cellStyle name="Output 7 5 3" xfId="3217"/>
    <cellStyle name="Output 7 6" xfId="2357"/>
    <cellStyle name="Output 7 6 2" xfId="2773"/>
    <cellStyle name="Output 7 6 2 2" xfId="2921"/>
    <cellStyle name="Output 7 6 3" xfId="3216"/>
    <cellStyle name="Output 7 7" xfId="2767"/>
    <cellStyle name="Output 7 7 2" xfId="2874"/>
    <cellStyle name="Output 7 8" xfId="3268"/>
    <cellStyle name="Output 8 2" xfId="2358"/>
    <cellStyle name="Output 8 2 2" xfId="2774"/>
    <cellStyle name="Output 8 2 2 2" xfId="2920"/>
    <cellStyle name="Output 8 2 3" xfId="3215"/>
    <cellStyle name="Output 8 3" xfId="2359"/>
    <cellStyle name="Output 8 3 2" xfId="2775"/>
    <cellStyle name="Output 8 3 2 2" xfId="2919"/>
    <cellStyle name="Output 8 3 3" xfId="3214"/>
    <cellStyle name="Output 8 4" xfId="2360"/>
    <cellStyle name="Output 8 4 2" xfId="2776"/>
    <cellStyle name="Output 8 4 2 2" xfId="2918"/>
    <cellStyle name="Output 8 4 3" xfId="3213"/>
    <cellStyle name="Output 8 5" xfId="2361"/>
    <cellStyle name="Output 8 5 2" xfId="2777"/>
    <cellStyle name="Output 8 5 2 2" xfId="2872"/>
    <cellStyle name="Output 8 5 3" xfId="3212"/>
    <cellStyle name="Output 8 6" xfId="2362"/>
    <cellStyle name="Output 8 6 2" xfId="2778"/>
    <cellStyle name="Output 8 6 2 2" xfId="2917"/>
    <cellStyle name="Output 8 6 3" xfId="3211"/>
    <cellStyle name="Output 9 2" xfId="2363"/>
    <cellStyle name="Output 9 2 2" xfId="2779"/>
    <cellStyle name="Output 9 2 2 2" xfId="2916"/>
    <cellStyle name="Output 9 2 3" xfId="3210"/>
    <cellStyle name="Output 9 3" xfId="2364"/>
    <cellStyle name="Output 9 3 2" xfId="2780"/>
    <cellStyle name="Output 9 3 2 2" xfId="2915"/>
    <cellStyle name="Output 9 3 3" xfId="3209"/>
    <cellStyle name="Output 9 4" xfId="2365"/>
    <cellStyle name="Output 9 4 2" xfId="2781"/>
    <cellStyle name="Output 9 4 2 2" xfId="2914"/>
    <cellStyle name="Output 9 4 3" xfId="3208"/>
    <cellStyle name="Output 9 5" xfId="2366"/>
    <cellStyle name="Output 9 5 2" xfId="2782"/>
    <cellStyle name="Output 9 5 2 2" xfId="2913"/>
    <cellStyle name="Output 9 5 3" xfId="3207"/>
    <cellStyle name="Output 9 6" xfId="2367"/>
    <cellStyle name="Output 9 6 2" xfId="2783"/>
    <cellStyle name="Output 9 6 2 2" xfId="2912"/>
    <cellStyle name="Output 9 6 3" xfId="3206"/>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Double Border" xfId="236"/>
    <cellStyle name="Top Single Border" xfId="237"/>
    <cellStyle name="Top Single Border 2" xfId="2766"/>
    <cellStyle name="Top Single Border 2 2" xfId="2875"/>
    <cellStyle name="Top Single Border 3" xfId="2897"/>
    <cellStyle name="Total 10 2" xfId="2420"/>
    <cellStyle name="Total 10 2 2" xfId="2784"/>
    <cellStyle name="Total 10 2 2 2" xfId="2911"/>
    <cellStyle name="Total 10 2 3" xfId="3205"/>
    <cellStyle name="Total 10 3" xfId="2421"/>
    <cellStyle name="Total 10 3 2" xfId="2785"/>
    <cellStyle name="Total 10 3 2 2" xfId="2910"/>
    <cellStyle name="Total 10 3 3" xfId="3204"/>
    <cellStyle name="Total 10 4" xfId="2422"/>
    <cellStyle name="Total 10 4 2" xfId="2786"/>
    <cellStyle name="Total 10 4 2 2" xfId="2909"/>
    <cellStyle name="Total 10 4 3" xfId="3203"/>
    <cellStyle name="Total 10 5" xfId="2423"/>
    <cellStyle name="Total 10 5 2" xfId="2787"/>
    <cellStyle name="Total 10 5 2 2" xfId="2908"/>
    <cellStyle name="Total 10 5 3" xfId="3202"/>
    <cellStyle name="Total 10 6" xfId="2424"/>
    <cellStyle name="Total 10 6 2" xfId="2788"/>
    <cellStyle name="Total 10 6 2 2" xfId="2870"/>
    <cellStyle name="Total 10 6 3" xfId="3201"/>
    <cellStyle name="Total 11 2" xfId="2425"/>
    <cellStyle name="Total 11 2 2" xfId="2789"/>
    <cellStyle name="Total 11 2 2 2" xfId="2907"/>
    <cellStyle name="Total 11 2 3" xfId="3200"/>
    <cellStyle name="Total 11 3" xfId="2426"/>
    <cellStyle name="Total 11 3 2" xfId="2790"/>
    <cellStyle name="Total 11 3 2 2" xfId="2906"/>
    <cellStyle name="Total 11 3 3" xfId="3199"/>
    <cellStyle name="Total 11 4" xfId="2427"/>
    <cellStyle name="Total 11 4 2" xfId="2791"/>
    <cellStyle name="Total 11 4 2 2" xfId="2905"/>
    <cellStyle name="Total 11 4 3" xfId="3198"/>
    <cellStyle name="Total 11 5" xfId="2428"/>
    <cellStyle name="Total 11 5 2" xfId="2792"/>
    <cellStyle name="Total 11 5 2 2" xfId="2904"/>
    <cellStyle name="Total 11 5 3" xfId="3197"/>
    <cellStyle name="Total 11 6" xfId="2429"/>
    <cellStyle name="Total 11 6 2" xfId="2793"/>
    <cellStyle name="Total 11 6 2 2" xfId="2903"/>
    <cellStyle name="Total 11 6 3" xfId="3196"/>
    <cellStyle name="Total 2" xfId="238"/>
    <cellStyle name="Total 2 2" xfId="2430"/>
    <cellStyle name="Total 2 2 2" xfId="2794"/>
    <cellStyle name="Total 2 2 2 2" xfId="2902"/>
    <cellStyle name="Total 2 2 3" xfId="3195"/>
    <cellStyle name="Total 2 3" xfId="2431"/>
    <cellStyle name="Total 2 3 2" xfId="2795"/>
    <cellStyle name="Total 2 3 2 2" xfId="2901"/>
    <cellStyle name="Total 2 3 3" xfId="3194"/>
    <cellStyle name="Total 2 4" xfId="2432"/>
    <cellStyle name="Total 2 4 2" xfId="2796"/>
    <cellStyle name="Total 2 4 2 2" xfId="2900"/>
    <cellStyle name="Total 2 4 3" xfId="3193"/>
    <cellStyle name="Total 2 5" xfId="2433"/>
    <cellStyle name="Total 2 5 2" xfId="2797"/>
    <cellStyle name="Total 2 5 2 2" xfId="2899"/>
    <cellStyle name="Total 2 5 3" xfId="3192"/>
    <cellStyle name="Total 2 6" xfId="2434"/>
    <cellStyle name="Total 2 6 2" xfId="2798"/>
    <cellStyle name="Total 2 6 2 2" xfId="2898"/>
    <cellStyle name="Total 2 6 3" xfId="3191"/>
    <cellStyle name="Total 2 7" xfId="2765"/>
    <cellStyle name="Total 2 7 2" xfId="2876"/>
    <cellStyle name="Total 2 8" xfId="2896"/>
    <cellStyle name="Total 3" xfId="239"/>
    <cellStyle name="Total 3 10" xfId="2895"/>
    <cellStyle name="Total 3 2" xfId="2436"/>
    <cellStyle name="Total 3 2 2" xfId="2800"/>
    <cellStyle name="Total 3 2 2 2" xfId="2869"/>
    <cellStyle name="Total 3 2 3" xfId="3189"/>
    <cellStyle name="Total 3 3" xfId="2437"/>
    <cellStyle name="Total 3 3 2" xfId="2801"/>
    <cellStyle name="Total 3 3 2 2" xfId="2868"/>
    <cellStyle name="Total 3 3 3" xfId="3188"/>
    <cellStyle name="Total 3 4" xfId="2438"/>
    <cellStyle name="Total 3 4 2" xfId="2802"/>
    <cellStyle name="Total 3 4 2 2" xfId="3282"/>
    <cellStyle name="Total 3 4 3" xfId="3187"/>
    <cellStyle name="Total 3 5" xfId="2439"/>
    <cellStyle name="Total 3 5 2" xfId="2803"/>
    <cellStyle name="Total 3 5 2 2" xfId="3283"/>
    <cellStyle name="Total 3 5 3" xfId="3186"/>
    <cellStyle name="Total 3 6" xfId="2440"/>
    <cellStyle name="Total 3 6 2" xfId="2804"/>
    <cellStyle name="Total 3 6 2 2" xfId="3284"/>
    <cellStyle name="Total 3 6 3" xfId="3185"/>
    <cellStyle name="Total 3 7" xfId="2441"/>
    <cellStyle name="Total 3 7 2" xfId="2805"/>
    <cellStyle name="Total 3 7 2 2" xfId="3285"/>
    <cellStyle name="Total 3 7 3" xfId="3184"/>
    <cellStyle name="Total 3 8" xfId="2435"/>
    <cellStyle name="Total 3 8 2" xfId="2799"/>
    <cellStyle name="Total 3 8 2 2" xfId="2867"/>
    <cellStyle name="Total 3 8 3" xfId="3190"/>
    <cellStyle name="Total 3 9" xfId="2764"/>
    <cellStyle name="Total 3 9 2" xfId="2877"/>
    <cellStyle name="Total 4" xfId="240"/>
    <cellStyle name="Total 4 10" xfId="2894"/>
    <cellStyle name="Total 4 2" xfId="2443"/>
    <cellStyle name="Total 4 2 2" xfId="2807"/>
    <cellStyle name="Total 4 2 2 2" xfId="3287"/>
    <cellStyle name="Total 4 2 3" xfId="3182"/>
    <cellStyle name="Total 4 3" xfId="2444"/>
    <cellStyle name="Total 4 3 2" xfId="2808"/>
    <cellStyle name="Total 4 3 2 2" xfId="3288"/>
    <cellStyle name="Total 4 3 3" xfId="3181"/>
    <cellStyle name="Total 4 4" xfId="2445"/>
    <cellStyle name="Total 4 4 2" xfId="2809"/>
    <cellStyle name="Total 4 4 2 2" xfId="3289"/>
    <cellStyle name="Total 4 4 3" xfId="3180"/>
    <cellStyle name="Total 4 5" xfId="2446"/>
    <cellStyle name="Total 4 5 2" xfId="2810"/>
    <cellStyle name="Total 4 5 2 2" xfId="3290"/>
    <cellStyle name="Total 4 5 3" xfId="3179"/>
    <cellStyle name="Total 4 6" xfId="2447"/>
    <cellStyle name="Total 4 6 2" xfId="2811"/>
    <cellStyle name="Total 4 6 2 2" xfId="3291"/>
    <cellStyle name="Total 4 6 3" xfId="3178"/>
    <cellStyle name="Total 4 7" xfId="2448"/>
    <cellStyle name="Total 4 7 2" xfId="2812"/>
    <cellStyle name="Total 4 7 2 2" xfId="3292"/>
    <cellStyle name="Total 4 7 3" xfId="2881"/>
    <cellStyle name="Total 4 8" xfId="2442"/>
    <cellStyle name="Total 4 8 2" xfId="2806"/>
    <cellStyle name="Total 4 8 2 2" xfId="3286"/>
    <cellStyle name="Total 4 8 3" xfId="3183"/>
    <cellStyle name="Total 4 9" xfId="2763"/>
    <cellStyle name="Total 4 9 2" xfId="2927"/>
    <cellStyle name="Total 5" xfId="241"/>
    <cellStyle name="Total 5 2" xfId="2449"/>
    <cellStyle name="Total 5 2 2" xfId="2813"/>
    <cellStyle name="Total 5 2 2 2" xfId="3293"/>
    <cellStyle name="Total 5 2 3" xfId="2879"/>
    <cellStyle name="Total 5 3" xfId="2450"/>
    <cellStyle name="Total 5 3 2" xfId="2814"/>
    <cellStyle name="Total 5 3 2 2" xfId="3294"/>
    <cellStyle name="Total 5 3 3" xfId="3177"/>
    <cellStyle name="Total 5 4" xfId="2451"/>
    <cellStyle name="Total 5 4 2" xfId="2815"/>
    <cellStyle name="Total 5 4 2 2" xfId="3295"/>
    <cellStyle name="Total 5 4 3" xfId="3176"/>
    <cellStyle name="Total 5 5" xfId="2452"/>
    <cellStyle name="Total 5 5 2" xfId="2816"/>
    <cellStyle name="Total 5 5 2 2" xfId="3296"/>
    <cellStyle name="Total 5 5 3" xfId="3175"/>
    <cellStyle name="Total 5 6" xfId="2453"/>
    <cellStyle name="Total 5 6 2" xfId="2817"/>
    <cellStyle name="Total 5 6 2 2" xfId="3297"/>
    <cellStyle name="Total 5 6 3" xfId="3174"/>
    <cellStyle name="Total 5 7" xfId="2762"/>
    <cellStyle name="Total 5 7 2" xfId="2878"/>
    <cellStyle name="Total 5 8" xfId="2893"/>
    <cellStyle name="Total 6" xfId="242"/>
    <cellStyle name="Total 6 2" xfId="2454"/>
    <cellStyle name="Total 6 2 2" xfId="2818"/>
    <cellStyle name="Total 6 2 2 2" xfId="3298"/>
    <cellStyle name="Total 6 2 3" xfId="3173"/>
    <cellStyle name="Total 6 3" xfId="2455"/>
    <cellStyle name="Total 6 3 2" xfId="2819"/>
    <cellStyle name="Total 6 3 2 2" xfId="3299"/>
    <cellStyle name="Total 6 3 3" xfId="3172"/>
    <cellStyle name="Total 6 4" xfId="2456"/>
    <cellStyle name="Total 6 4 2" xfId="2820"/>
    <cellStyle name="Total 6 4 2 2" xfId="3300"/>
    <cellStyle name="Total 6 4 3" xfId="3171"/>
    <cellStyle name="Total 6 5" xfId="2457"/>
    <cellStyle name="Total 6 5 2" xfId="2821"/>
    <cellStyle name="Total 6 5 2 2" xfId="3301"/>
    <cellStyle name="Total 6 5 3" xfId="3170"/>
    <cellStyle name="Total 6 6" xfId="2458"/>
    <cellStyle name="Total 6 6 2" xfId="2822"/>
    <cellStyle name="Total 6 6 2 2" xfId="3302"/>
    <cellStyle name="Total 6 6 3" xfId="3169"/>
    <cellStyle name="Total 6 7" xfId="2761"/>
    <cellStyle name="Total 6 7 2" xfId="2929"/>
    <cellStyle name="Total 6 8" xfId="2892"/>
    <cellStyle name="Total 7" xfId="243"/>
    <cellStyle name="Total 7 2" xfId="2459"/>
    <cellStyle name="Total 7 2 2" xfId="2823"/>
    <cellStyle name="Total 7 2 2 2" xfId="3303"/>
    <cellStyle name="Total 7 2 3" xfId="3168"/>
    <cellStyle name="Total 7 3" xfId="2460"/>
    <cellStyle name="Total 7 3 2" xfId="2824"/>
    <cellStyle name="Total 7 3 2 2" xfId="3304"/>
    <cellStyle name="Total 7 3 3" xfId="3167"/>
    <cellStyle name="Total 7 4" xfId="2461"/>
    <cellStyle name="Total 7 4 2" xfId="2825"/>
    <cellStyle name="Total 7 4 2 2" xfId="3305"/>
    <cellStyle name="Total 7 4 3" xfId="3166"/>
    <cellStyle name="Total 7 5" xfId="2462"/>
    <cellStyle name="Total 7 5 2" xfId="2826"/>
    <cellStyle name="Total 7 5 2 2" xfId="3306"/>
    <cellStyle name="Total 7 5 3" xfId="3165"/>
    <cellStyle name="Total 7 6" xfId="2463"/>
    <cellStyle name="Total 7 6 2" xfId="2827"/>
    <cellStyle name="Total 7 6 2 2" xfId="3307"/>
    <cellStyle name="Total 7 6 3" xfId="3164"/>
    <cellStyle name="Total 7 7" xfId="2760"/>
    <cellStyle name="Total 7 7 2" xfId="2930"/>
    <cellStyle name="Total 7 8" xfId="3281"/>
    <cellStyle name="Total 8 2" xfId="2464"/>
    <cellStyle name="Total 8 2 2" xfId="2828"/>
    <cellStyle name="Total 8 2 2 2" xfId="3308"/>
    <cellStyle name="Total 8 2 3" xfId="3163"/>
    <cellStyle name="Total 8 3" xfId="2465"/>
    <cellStyle name="Total 8 3 2" xfId="2829"/>
    <cellStyle name="Total 8 3 2 2" xfId="3309"/>
    <cellStyle name="Total 8 3 3" xfId="3162"/>
    <cellStyle name="Total 8 4" xfId="2466"/>
    <cellStyle name="Total 8 4 2" xfId="2830"/>
    <cellStyle name="Total 8 4 2 2" xfId="3310"/>
    <cellStyle name="Total 8 4 3" xfId="3161"/>
    <cellStyle name="Total 8 5" xfId="2467"/>
    <cellStyle name="Total 8 5 2" xfId="2831"/>
    <cellStyle name="Total 8 5 2 2" xfId="3311"/>
    <cellStyle name="Total 8 5 3" xfId="3160"/>
    <cellStyle name="Total 8 6" xfId="2468"/>
    <cellStyle name="Total 8 6 2" xfId="2832"/>
    <cellStyle name="Total 8 6 2 2" xfId="3312"/>
    <cellStyle name="Total 8 6 3" xfId="3159"/>
    <cellStyle name="Total 9 2" xfId="2469"/>
    <cellStyle name="Total 9 2 2" xfId="2833"/>
    <cellStyle name="Total 9 2 2 2" xfId="3313"/>
    <cellStyle name="Total 9 2 3" xfId="3158"/>
    <cellStyle name="Total 9 3" xfId="2470"/>
    <cellStyle name="Total 9 3 2" xfId="2834"/>
    <cellStyle name="Total 9 3 2 2" xfId="3314"/>
    <cellStyle name="Total 9 3 3" xfId="3157"/>
    <cellStyle name="Total 9 4" xfId="2471"/>
    <cellStyle name="Total 9 4 2" xfId="2835"/>
    <cellStyle name="Total 9 4 2 2" xfId="3315"/>
    <cellStyle name="Total 9 4 3" xfId="3156"/>
    <cellStyle name="Total 9 5" xfId="2472"/>
    <cellStyle name="Total 9 5 2" xfId="2836"/>
    <cellStyle name="Total 9 5 2 2" xfId="3316"/>
    <cellStyle name="Total 9 5 3" xfId="3155"/>
    <cellStyle name="Total 9 6" xfId="2473"/>
    <cellStyle name="Total 9 6 2" xfId="2837"/>
    <cellStyle name="Total 9 6 2 2" xfId="3317"/>
    <cellStyle name="Total 9 6 3" xfId="3154"/>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3" xfId="245"/>
    <cellStyle name="Warning Text 3 2" xfId="2489"/>
    <cellStyle name="Warning Text 3 3" xfId="2490"/>
    <cellStyle name="Warning Text 3 4" xfId="2491"/>
    <cellStyle name="Warning Text 3 5" xfId="2492"/>
    <cellStyle name="Warning Text 3 6" xfId="2493"/>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CC"/>
      <color rgb="FFFDDFC7"/>
      <color rgb="FFFF9966"/>
      <color rgb="FFDDDDDD"/>
      <color rgb="FFFFCC99"/>
      <color rgb="FF0000FF"/>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567B71CA-2C79-4193-A4F4-C66442555E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B48"/>
  <sheetViews>
    <sheetView showGridLines="0" tabSelected="1" topLeftCell="A7"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59" t="s">
        <v>425</v>
      </c>
      <c r="J1" s="2060"/>
      <c r="K1" s="2060"/>
      <c r="L1" s="2060"/>
      <c r="M1" s="2060"/>
      <c r="N1" s="2060"/>
      <c r="O1" s="2060"/>
      <c r="P1" s="2060"/>
      <c r="Q1" s="2060"/>
      <c r="R1" s="2060"/>
      <c r="S1" s="2060"/>
    </row>
    <row r="2" spans="1:28" ht="12" customHeight="1" x14ac:dyDescent="0.2">
      <c r="A2" s="47" t="s">
        <v>1684</v>
      </c>
      <c r="D2" s="48"/>
      <c r="I2" s="2061" t="s">
        <v>1036</v>
      </c>
      <c r="J2" s="2060"/>
      <c r="K2" s="2060"/>
      <c r="L2" s="2060"/>
      <c r="M2" s="2060"/>
      <c r="N2" s="2060"/>
      <c r="O2" s="2060"/>
      <c r="P2" s="2060"/>
      <c r="Q2" s="2060"/>
      <c r="R2" s="2060"/>
      <c r="S2" s="2060"/>
    </row>
    <row r="3" spans="1:28" ht="12" customHeight="1" x14ac:dyDescent="0.2">
      <c r="A3" s="155" t="s">
        <v>1685</v>
      </c>
      <c r="B3" s="156"/>
      <c r="C3" s="156"/>
      <c r="D3" s="157"/>
      <c r="I3" s="2061" t="s">
        <v>54</v>
      </c>
      <c r="J3" s="2060"/>
      <c r="K3" s="2060"/>
      <c r="L3" s="2060"/>
      <c r="M3" s="2060"/>
      <c r="N3" s="2060"/>
      <c r="O3" s="2060"/>
      <c r="P3" s="2060"/>
      <c r="Q3" s="2060"/>
      <c r="R3" s="2060"/>
      <c r="S3" s="2060"/>
    </row>
    <row r="4" spans="1:28" ht="12" customHeight="1" x14ac:dyDescent="0.2">
      <c r="A4" s="37"/>
      <c r="I4" s="2061" t="s">
        <v>545</v>
      </c>
      <c r="J4" s="2060"/>
      <c r="K4" s="2060"/>
      <c r="L4" s="2060"/>
      <c r="M4" s="2060"/>
      <c r="N4" s="2060"/>
      <c r="O4" s="2060"/>
      <c r="P4" s="2060"/>
      <c r="Q4" s="2060"/>
      <c r="R4" s="2060"/>
      <c r="S4" s="2060"/>
    </row>
    <row r="5" spans="1:28" ht="14.1" customHeight="1" x14ac:dyDescent="0.2">
      <c r="B5" s="104" t="s">
        <v>2076</v>
      </c>
      <c r="C5" s="26" t="s">
        <v>966</v>
      </c>
      <c r="D5" s="84"/>
      <c r="E5" s="84"/>
      <c r="H5" s="38"/>
      <c r="I5" s="2069" t="s">
        <v>701</v>
      </c>
      <c r="J5" s="2068"/>
      <c r="K5" s="2068"/>
      <c r="L5" s="2068"/>
      <c r="M5" s="2068"/>
      <c r="N5" s="2068"/>
      <c r="O5" s="2068"/>
      <c r="P5" s="2068"/>
      <c r="Q5" s="2068"/>
      <c r="R5" s="2068"/>
      <c r="S5" s="2068"/>
    </row>
    <row r="6" spans="1:28" ht="14.1" customHeight="1" x14ac:dyDescent="0.2">
      <c r="B6" s="104"/>
      <c r="C6" s="26" t="s">
        <v>967</v>
      </c>
      <c r="D6" s="84"/>
      <c r="E6" s="84"/>
      <c r="I6" s="2067" t="s">
        <v>938</v>
      </c>
      <c r="J6" s="2068"/>
      <c r="K6" s="2068"/>
      <c r="L6" s="2068"/>
      <c r="M6" s="2068"/>
      <c r="N6" s="2068"/>
      <c r="O6" s="2068"/>
      <c r="P6" s="2068"/>
      <c r="Q6" s="2068"/>
      <c r="R6" s="2068"/>
      <c r="S6" s="2068"/>
    </row>
    <row r="7" spans="1:28" ht="12.2" customHeight="1" x14ac:dyDescent="0.2">
      <c r="I7" s="2062">
        <v>43281</v>
      </c>
      <c r="J7" s="2063"/>
      <c r="K7" s="2063"/>
      <c r="L7" s="2063"/>
      <c r="M7" s="2063"/>
      <c r="N7" s="2063"/>
      <c r="O7" s="2063"/>
      <c r="P7" s="2063"/>
      <c r="Q7" s="2063"/>
      <c r="R7" s="2063"/>
      <c r="S7" s="206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4" t="s">
        <v>695</v>
      </c>
      <c r="J9" s="2065"/>
      <c r="K9" s="2065"/>
      <c r="L9" s="2065"/>
      <c r="M9" s="2065"/>
      <c r="N9" s="2065"/>
      <c r="O9" s="2065"/>
      <c r="P9" s="2065"/>
      <c r="Q9" s="2065"/>
      <c r="R9" s="2065"/>
      <c r="S9" s="2066"/>
      <c r="T9" s="2080" t="s">
        <v>554</v>
      </c>
      <c r="U9" s="2081"/>
      <c r="V9" s="2081"/>
      <c r="W9" s="2081"/>
      <c r="X9" s="2081"/>
      <c r="Y9" s="2081"/>
      <c r="Z9" s="2081"/>
      <c r="AA9" s="2082"/>
    </row>
    <row r="10" spans="1:28" ht="13.5" customHeight="1" x14ac:dyDescent="0.2">
      <c r="A10" s="2087" t="s">
        <v>696</v>
      </c>
      <c r="B10" s="2088"/>
      <c r="C10" s="2088"/>
      <c r="D10" s="2088"/>
      <c r="E10" s="2088"/>
      <c r="F10" s="2088"/>
      <c r="G10" s="2088"/>
      <c r="H10" s="2089"/>
      <c r="I10" s="29"/>
      <c r="J10" s="30"/>
      <c r="K10" s="28"/>
      <c r="R10" s="30"/>
      <c r="S10" s="30"/>
      <c r="T10" s="2083"/>
      <c r="U10" s="2068"/>
      <c r="V10" s="2068"/>
      <c r="W10" s="2068"/>
      <c r="X10" s="2068"/>
      <c r="Y10" s="2068"/>
      <c r="Z10" s="2068"/>
      <c r="AA10" s="2074"/>
    </row>
    <row r="11" spans="1:28" ht="14.25" customHeight="1" x14ac:dyDescent="0.2">
      <c r="A11" s="2090" t="s">
        <v>1012</v>
      </c>
      <c r="B11" s="2091"/>
      <c r="C11" s="2091"/>
      <c r="D11" s="2091"/>
      <c r="E11" s="2091"/>
      <c r="F11" s="2091"/>
      <c r="G11" s="2091"/>
      <c r="H11" s="2092"/>
      <c r="I11" s="27"/>
      <c r="J11" s="74"/>
      <c r="K11" s="27"/>
      <c r="O11" s="148" t="s">
        <v>2076</v>
      </c>
      <c r="P11" s="100" t="s">
        <v>210</v>
      </c>
      <c r="Q11" s="30"/>
      <c r="R11" s="28"/>
      <c r="S11" s="27"/>
      <c r="T11" s="2084"/>
      <c r="U11" s="2085"/>
      <c r="V11" s="2085"/>
      <c r="W11" s="2085"/>
      <c r="X11" s="2085"/>
      <c r="Y11" s="2085"/>
      <c r="Z11" s="2085"/>
      <c r="AA11" s="208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94">
        <v>44063156016</v>
      </c>
      <c r="B13" s="2095"/>
      <c r="C13" s="2095"/>
      <c r="D13" s="2095"/>
      <c r="E13" s="2095"/>
      <c r="F13" s="2095"/>
      <c r="G13" s="2095"/>
      <c r="H13" s="2096"/>
      <c r="I13" s="31"/>
      <c r="J13" s="30"/>
      <c r="K13" s="28"/>
      <c r="L13" s="30"/>
      <c r="M13" s="30"/>
      <c r="N13" s="30"/>
      <c r="O13" s="30"/>
      <c r="P13" s="30"/>
      <c r="Q13" s="30"/>
      <c r="R13" s="30"/>
      <c r="S13" s="30"/>
      <c r="T13" s="2099" t="s">
        <v>2080</v>
      </c>
      <c r="U13" s="2100"/>
      <c r="V13" s="2100"/>
      <c r="W13" s="2100"/>
      <c r="X13" s="2100"/>
      <c r="Y13" s="2101"/>
      <c r="Z13" s="2101"/>
      <c r="AA13" s="210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93" t="s">
        <v>2077</v>
      </c>
      <c r="B15" s="2097"/>
      <c r="C15" s="2097"/>
      <c r="D15" s="2097"/>
      <c r="E15" s="2097"/>
      <c r="F15" s="2097"/>
      <c r="G15" s="2097"/>
      <c r="H15" s="2098"/>
      <c r="T15" s="2103" t="s">
        <v>2139</v>
      </c>
      <c r="U15" s="2047"/>
      <c r="V15" s="2047"/>
      <c r="W15" s="2047"/>
      <c r="X15" s="2047"/>
      <c r="Y15" s="2104"/>
      <c r="Z15" s="2104"/>
      <c r="AA15" s="210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53" t="s">
        <v>2203</v>
      </c>
      <c r="B17" s="2054"/>
      <c r="C17" s="2054"/>
      <c r="D17" s="2054"/>
      <c r="E17" s="2054"/>
      <c r="F17" s="2054"/>
      <c r="G17" s="2054"/>
      <c r="H17" s="2079"/>
      <c r="T17" s="2110" t="s">
        <v>2075</v>
      </c>
      <c r="U17" s="2111"/>
      <c r="V17" s="2111"/>
      <c r="W17" s="2111"/>
      <c r="X17" s="2111"/>
      <c r="Y17" s="2111"/>
      <c r="Z17" s="2111"/>
      <c r="AA17" s="2112"/>
    </row>
    <row r="18" spans="1:27" ht="13.5" customHeight="1" x14ac:dyDescent="0.2">
      <c r="A18" s="85" t="s">
        <v>551</v>
      </c>
      <c r="B18" s="76"/>
      <c r="C18" s="72"/>
      <c r="D18" s="76"/>
      <c r="E18" s="76"/>
      <c r="F18" s="76"/>
      <c r="G18" s="76"/>
      <c r="H18" s="56"/>
      <c r="I18" s="207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93" t="s">
        <v>2078</v>
      </c>
      <c r="B19" s="2039"/>
      <c r="C19" s="2039"/>
      <c r="D19" s="2039"/>
      <c r="E19" s="2039"/>
      <c r="F19" s="2039"/>
      <c r="G19" s="2039"/>
      <c r="H19" s="2019"/>
      <c r="I19" s="30"/>
      <c r="J19" s="99"/>
      <c r="K19" s="40"/>
      <c r="L19" s="38"/>
      <c r="M19" s="112" t="s">
        <v>333</v>
      </c>
      <c r="P19" s="27"/>
      <c r="Q19" s="27"/>
      <c r="R19" s="27"/>
      <c r="S19" s="31"/>
      <c r="T19" s="2093" t="s">
        <v>2077</v>
      </c>
      <c r="U19" s="2018"/>
      <c r="V19" s="2018"/>
      <c r="W19" s="2019"/>
      <c r="X19" s="2108" t="s">
        <v>2081</v>
      </c>
      <c r="Y19" s="2109"/>
      <c r="Z19" s="2106">
        <v>60050</v>
      </c>
      <c r="AA19" s="210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7" t="s">
        <v>2077</v>
      </c>
      <c r="B21" s="2018"/>
      <c r="C21" s="2018"/>
      <c r="D21" s="2018"/>
      <c r="E21" s="2018"/>
      <c r="F21" s="2018"/>
      <c r="G21" s="2018"/>
      <c r="H21" s="2019"/>
      <c r="I21" s="2073" t="s">
        <v>699</v>
      </c>
      <c r="J21" s="2068"/>
      <c r="K21" s="2068"/>
      <c r="L21" s="2068"/>
      <c r="M21" s="2068"/>
      <c r="N21" s="2068"/>
      <c r="O21" s="2068"/>
      <c r="P21" s="2068"/>
      <c r="Q21" s="2068"/>
      <c r="R21" s="2068"/>
      <c r="S21" s="2074"/>
      <c r="T21" s="2117" t="s">
        <v>2082</v>
      </c>
      <c r="U21" s="2118"/>
      <c r="V21" s="2118"/>
      <c r="W21" s="2118"/>
      <c r="X21" s="2123" t="s">
        <v>2083</v>
      </c>
      <c r="Y21" s="2124"/>
      <c r="Z21" s="2124"/>
      <c r="AA21" s="2125"/>
    </row>
    <row r="22" spans="1:27" ht="13.5" customHeight="1" x14ac:dyDescent="0.2">
      <c r="A22" s="87" t="s">
        <v>552</v>
      </c>
      <c r="B22" s="59"/>
      <c r="C22" s="59"/>
      <c r="D22" s="59"/>
      <c r="E22" s="59"/>
      <c r="F22" s="59"/>
      <c r="G22" s="59"/>
      <c r="H22" s="60"/>
      <c r="I22" s="2075" t="s">
        <v>1504</v>
      </c>
      <c r="J22" s="2076"/>
      <c r="K22" s="2076"/>
      <c r="L22" s="2076"/>
      <c r="M22" s="2076"/>
      <c r="N22" s="2076"/>
      <c r="O22" s="2076"/>
      <c r="P22" s="2076"/>
      <c r="Q22" s="2076"/>
      <c r="R22" s="2076"/>
      <c r="S22" s="2077"/>
      <c r="T22" s="85" t="s">
        <v>1596</v>
      </c>
      <c r="U22" s="51"/>
      <c r="V22" s="72"/>
      <c r="W22" s="51"/>
      <c r="X22" s="160" t="s">
        <v>1385</v>
      </c>
      <c r="Z22" s="45"/>
      <c r="AA22" s="46"/>
    </row>
    <row r="23" spans="1:27" ht="13.5" customHeight="1" x14ac:dyDescent="0.2">
      <c r="A23" s="2070" t="s">
        <v>2079</v>
      </c>
      <c r="B23" s="2071"/>
      <c r="C23" s="2071"/>
      <c r="D23" s="2071"/>
      <c r="E23" s="2071"/>
      <c r="F23" s="2071"/>
      <c r="G23" s="2071"/>
      <c r="H23" s="2072"/>
      <c r="T23" s="2053" t="s">
        <v>2140</v>
      </c>
      <c r="U23" s="2116"/>
      <c r="V23" s="2116"/>
      <c r="W23" s="2116"/>
      <c r="X23" s="2120">
        <v>43434</v>
      </c>
      <c r="Y23" s="2121"/>
      <c r="Z23" s="2121"/>
      <c r="AA23" s="2122"/>
    </row>
    <row r="24" spans="1:27" ht="14.1" customHeight="1" x14ac:dyDescent="0.2">
      <c r="A24" s="88" t="s">
        <v>698</v>
      </c>
      <c r="B24" s="49"/>
      <c r="C24" s="49"/>
      <c r="D24" s="49"/>
      <c r="E24" s="49"/>
      <c r="F24" s="49"/>
      <c r="G24" s="49"/>
      <c r="H24" s="61"/>
      <c r="J24" s="2040">
        <f>IF(B5="x",IF(AUDITCHECK!D29="AFR form Incomplete.","",IF(AUDITCHECK!D29="Deficit reduction plan is required.","School District must complete a deficit reduction plan in the 2018-2019 Budget",)),"")</f>
        <v>0</v>
      </c>
      <c r="K24" s="2040"/>
      <c r="L24" s="2040"/>
      <c r="M24" s="2040"/>
      <c r="N24" s="2040"/>
      <c r="O24" s="2040"/>
      <c r="P24" s="2040"/>
      <c r="Q24" s="2040"/>
      <c r="R24" s="2040"/>
      <c r="S24" s="2041"/>
      <c r="T24" s="105" t="s">
        <v>552</v>
      </c>
      <c r="U24" s="106"/>
      <c r="V24" s="106"/>
      <c r="W24" s="106"/>
      <c r="X24" s="107"/>
      <c r="Y24" s="107"/>
      <c r="Z24" s="107"/>
      <c r="AA24" s="108"/>
    </row>
    <row r="25" spans="1:27" ht="14.1" customHeight="1" x14ac:dyDescent="0.2">
      <c r="A25" s="2017">
        <v>60050</v>
      </c>
      <c r="B25" s="2018"/>
      <c r="C25" s="2018"/>
      <c r="D25" s="2018"/>
      <c r="E25" s="2018"/>
      <c r="F25" s="2018"/>
      <c r="G25" s="2018"/>
      <c r="H25" s="2019"/>
      <c r="I25" s="113"/>
      <c r="J25" s="2042"/>
      <c r="K25" s="2042"/>
      <c r="L25" s="2042"/>
      <c r="M25" s="2042"/>
      <c r="N25" s="2042"/>
      <c r="O25" s="2042"/>
      <c r="P25" s="2042"/>
      <c r="Q25" s="2042"/>
      <c r="R25" s="2042"/>
      <c r="S25" s="2043"/>
      <c r="T25" s="2113" t="s">
        <v>2084</v>
      </c>
      <c r="U25" s="2114"/>
      <c r="V25" s="2114"/>
      <c r="W25" s="2114"/>
      <c r="X25" s="2114"/>
      <c r="Y25" s="2114"/>
      <c r="Z25" s="2114"/>
      <c r="AA25" s="211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28"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2076</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48" t="s">
        <v>2076</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2076</v>
      </c>
      <c r="K31" s="40" t="s">
        <v>940</v>
      </c>
      <c r="L31" s="148"/>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39"/>
      <c r="Q35" s="2018"/>
      <c r="R35" s="201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53" t="s">
        <v>2074</v>
      </c>
      <c r="B38" s="2054"/>
      <c r="C38" s="2054"/>
      <c r="D38" s="2054"/>
      <c r="E38" s="2054"/>
      <c r="F38" s="2018"/>
      <c r="G38" s="2018"/>
      <c r="H38" s="2019"/>
      <c r="I38" s="2046"/>
      <c r="J38" s="2047"/>
      <c r="K38" s="2047"/>
      <c r="L38" s="2047"/>
      <c r="M38" s="2047"/>
      <c r="N38" s="2047"/>
      <c r="O38" s="2047"/>
      <c r="P38" s="2048"/>
      <c r="Q38" s="2048"/>
      <c r="R38" s="2048"/>
      <c r="S38" s="2049"/>
      <c r="T38" s="2103"/>
      <c r="U38" s="2047"/>
      <c r="V38" s="2047"/>
      <c r="W38" s="2047"/>
      <c r="X38" s="2048"/>
      <c r="Y38" s="2048"/>
      <c r="Z38" s="2048"/>
      <c r="AA38" s="2049"/>
    </row>
    <row r="39" spans="1:27" ht="12" customHeight="1" x14ac:dyDescent="0.2">
      <c r="A39" s="2023" t="s">
        <v>552</v>
      </c>
      <c r="B39" s="2024"/>
      <c r="C39" s="72"/>
      <c r="D39" s="69"/>
      <c r="E39" s="69"/>
      <c r="F39" s="79"/>
      <c r="G39" s="69"/>
      <c r="H39" s="56"/>
      <c r="I39" s="2023" t="s">
        <v>552</v>
      </c>
      <c r="J39" s="2024"/>
      <c r="K39" s="2024"/>
      <c r="L39" s="2024"/>
      <c r="M39" s="2024"/>
      <c r="N39" s="67"/>
      <c r="O39" s="72"/>
      <c r="P39" s="72"/>
      <c r="Q39" s="78"/>
      <c r="R39" s="72"/>
      <c r="S39" s="56"/>
      <c r="T39" s="72" t="s">
        <v>552</v>
      </c>
      <c r="U39" s="51"/>
      <c r="V39" s="72"/>
      <c r="W39" s="50"/>
      <c r="X39" s="78"/>
      <c r="Y39" s="45"/>
      <c r="Z39" s="45"/>
      <c r="AA39" s="46"/>
    </row>
    <row r="40" spans="1:27" ht="13.5" customHeight="1" x14ac:dyDescent="0.2">
      <c r="A40" s="2031" t="s">
        <v>2079</v>
      </c>
      <c r="B40" s="2032"/>
      <c r="C40" s="2033"/>
      <c r="D40" s="2033"/>
      <c r="E40" s="2033"/>
      <c r="F40" s="2034"/>
      <c r="G40" s="2034"/>
      <c r="H40" s="2035"/>
      <c r="I40" s="2056"/>
      <c r="J40" s="2057"/>
      <c r="K40" s="2057"/>
      <c r="L40" s="2057"/>
      <c r="M40" s="2057"/>
      <c r="N40" s="2057"/>
      <c r="O40" s="2057"/>
      <c r="P40" s="2057"/>
      <c r="Q40" s="2057"/>
      <c r="R40" s="2057"/>
      <c r="S40" s="2058"/>
      <c r="T40" s="2056"/>
      <c r="U40" s="2119"/>
      <c r="V40" s="2057"/>
      <c r="W40" s="2057"/>
      <c r="X40" s="2057"/>
      <c r="Y40" s="2057"/>
      <c r="Z40" s="2057"/>
      <c r="AA40" s="205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5" t="s">
        <v>2085</v>
      </c>
      <c r="B42" s="2037"/>
      <c r="C42" s="2038"/>
      <c r="D42" s="2036" t="s">
        <v>2086</v>
      </c>
      <c r="E42" s="2037"/>
      <c r="F42" s="2037"/>
      <c r="G42" s="2037"/>
      <c r="H42" s="2038"/>
      <c r="I42" s="2020"/>
      <c r="J42" s="2021"/>
      <c r="K42" s="2021"/>
      <c r="L42" s="2021"/>
      <c r="M42" s="2021"/>
      <c r="N42" s="2021"/>
      <c r="O42" s="2022"/>
      <c r="P42" s="2055"/>
      <c r="Q42" s="2021"/>
      <c r="R42" s="2021"/>
      <c r="S42" s="2022"/>
      <c r="T42" s="2020"/>
      <c r="U42" s="2021"/>
      <c r="V42" s="2021"/>
      <c r="W42" s="2022"/>
      <c r="X42" s="2055"/>
      <c r="Y42" s="2021"/>
      <c r="Z42" s="2021"/>
      <c r="AA42" s="202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25"/>
      <c r="J44" s="2026"/>
      <c r="K44" s="2026"/>
      <c r="L44" s="2026"/>
      <c r="M44" s="2026"/>
      <c r="N44" s="2026"/>
      <c r="O44" s="2026"/>
      <c r="P44" s="2026"/>
      <c r="Q44" s="2026"/>
      <c r="R44" s="2026"/>
      <c r="S44" s="2027"/>
      <c r="T44" s="2025"/>
      <c r="U44" s="2044"/>
      <c r="V44" s="2044"/>
      <c r="W44" s="2044"/>
      <c r="X44" s="2044"/>
      <c r="Y44" s="2044"/>
      <c r="Z44" s="2026"/>
      <c r="AA44" s="202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F36"/>
  <sheetViews>
    <sheetView showGridLines="0" defaultGridColor="0" colorId="8" zoomScale="110" zoomScaleNormal="110" workbookViewId="0">
      <selection activeCell="H25" sqref="H25"/>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0" t="s">
        <v>106</v>
      </c>
    </row>
    <row r="2" spans="1:6" ht="39.75" customHeight="1" x14ac:dyDescent="0.2">
      <c r="A2" s="2259" t="s">
        <v>1902</v>
      </c>
      <c r="B2" s="1542" t="s">
        <v>2034</v>
      </c>
      <c r="C2" s="715" t="s">
        <v>1907</v>
      </c>
      <c r="D2" s="715" t="s">
        <v>1908</v>
      </c>
      <c r="E2" s="715" t="s">
        <v>1909</v>
      </c>
      <c r="F2" s="715" t="s">
        <v>1910</v>
      </c>
    </row>
    <row r="3" spans="1:6" ht="12" customHeight="1" x14ac:dyDescent="0.2">
      <c r="A3" s="2260"/>
      <c r="B3" s="1539"/>
      <c r="C3" s="1540"/>
      <c r="D3" s="1541" t="s">
        <v>274</v>
      </c>
      <c r="E3" s="1540"/>
      <c r="F3" s="1541" t="s">
        <v>275</v>
      </c>
    </row>
    <row r="4" spans="1:6" ht="13.7" customHeight="1" x14ac:dyDescent="0.2">
      <c r="A4" s="716" t="s">
        <v>1217</v>
      </c>
      <c r="B4" s="1763">
        <f>'Revenues 9-14'!C5</f>
        <v>19506695</v>
      </c>
      <c r="C4" s="1993">
        <v>10478206</v>
      </c>
      <c r="D4" s="1766">
        <f>B4-C4</f>
        <v>9028489</v>
      </c>
      <c r="E4" s="1995">
        <v>19668131</v>
      </c>
      <c r="F4" s="1766">
        <f>E4-C4</f>
        <v>9189925</v>
      </c>
    </row>
    <row r="5" spans="1:6" ht="13.7" customHeight="1" x14ac:dyDescent="0.2">
      <c r="A5" s="716" t="s">
        <v>925</v>
      </c>
      <c r="B5" s="1764">
        <f>'Revenues 9-14'!D5</f>
        <v>2379223</v>
      </c>
      <c r="C5" s="1992">
        <v>1105289</v>
      </c>
      <c r="D5" s="1767">
        <f t="shared" ref="D5:D18" si="0">B5-C5</f>
        <v>1273934</v>
      </c>
      <c r="E5" s="1994">
        <v>2074604</v>
      </c>
      <c r="F5" s="1767">
        <f>E5-C5</f>
        <v>969315</v>
      </c>
    </row>
    <row r="6" spans="1:6" ht="13.7" customHeight="1" x14ac:dyDescent="0.2">
      <c r="A6" s="716" t="s">
        <v>431</v>
      </c>
      <c r="B6" s="1764">
        <f>'Revenues 9-14'!E5</f>
        <v>4335748</v>
      </c>
      <c r="C6" s="1992">
        <v>2432591</v>
      </c>
      <c r="D6" s="1767">
        <f t="shared" si="0"/>
        <v>1903157</v>
      </c>
      <c r="E6" s="1994">
        <v>4566076</v>
      </c>
      <c r="F6" s="1767">
        <f t="shared" ref="F6:F18" si="1">E6-C6</f>
        <v>2133485</v>
      </c>
    </row>
    <row r="7" spans="1:6" ht="13.7" customHeight="1" x14ac:dyDescent="0.2">
      <c r="A7" s="716" t="s">
        <v>157</v>
      </c>
      <c r="B7" s="1764">
        <f>'Revenues 9-14'!F5</f>
        <v>515186</v>
      </c>
      <c r="C7" s="1992">
        <v>272670</v>
      </c>
      <c r="D7" s="1767">
        <f t="shared" si="0"/>
        <v>242516</v>
      </c>
      <c r="E7" s="1994">
        <v>511813</v>
      </c>
      <c r="F7" s="1767">
        <f t="shared" si="1"/>
        <v>239143</v>
      </c>
    </row>
    <row r="8" spans="1:6" ht="13.7" customHeight="1" x14ac:dyDescent="0.2">
      <c r="A8" s="716" t="s">
        <v>1241</v>
      </c>
      <c r="B8" s="1764">
        <f>'Revenues 9-14'!G5</f>
        <v>367771</v>
      </c>
      <c r="C8" s="1992">
        <v>194640</v>
      </c>
      <c r="D8" s="1767">
        <f t="shared" si="0"/>
        <v>173131</v>
      </c>
      <c r="E8" s="1994">
        <v>365348</v>
      </c>
      <c r="F8" s="1767">
        <f t="shared" si="1"/>
        <v>170708</v>
      </c>
    </row>
    <row r="9" spans="1:6" ht="13.7" customHeight="1" x14ac:dyDescent="0.2">
      <c r="A9" s="716" t="s">
        <v>428</v>
      </c>
      <c r="B9" s="1764">
        <f>'Revenues 9-14'!H5</f>
        <v>0</v>
      </c>
      <c r="C9" s="1992">
        <v>0</v>
      </c>
      <c r="D9" s="1767">
        <f t="shared" si="0"/>
        <v>0</v>
      </c>
      <c r="E9" s="1994">
        <v>0</v>
      </c>
      <c r="F9" s="1767">
        <f t="shared" si="1"/>
        <v>0</v>
      </c>
    </row>
    <row r="10" spans="1:6" ht="13.7" customHeight="1" x14ac:dyDescent="0.2">
      <c r="A10" s="716" t="s">
        <v>427</v>
      </c>
      <c r="B10" s="1764">
        <f>'Revenues 9-14'!I5</f>
        <v>112323</v>
      </c>
      <c r="C10" s="1992">
        <v>59443</v>
      </c>
      <c r="D10" s="1767">
        <f t="shared" si="0"/>
        <v>52880</v>
      </c>
      <c r="E10" s="1994">
        <v>111577</v>
      </c>
      <c r="F10" s="1767">
        <f t="shared" si="1"/>
        <v>52134</v>
      </c>
    </row>
    <row r="11" spans="1:6" x14ac:dyDescent="0.2">
      <c r="A11" s="716" t="s">
        <v>429</v>
      </c>
      <c r="B11" s="1764">
        <f>'Revenues 9-14'!J5</f>
        <v>127977</v>
      </c>
      <c r="C11" s="1992">
        <v>67734</v>
      </c>
      <c r="D11" s="1767">
        <f t="shared" si="0"/>
        <v>60243</v>
      </c>
      <c r="E11" s="1994">
        <v>127139</v>
      </c>
      <c r="F11" s="1767">
        <f t="shared" si="1"/>
        <v>59405</v>
      </c>
    </row>
    <row r="12" spans="1:6" ht="13.7" customHeight="1" x14ac:dyDescent="0.2">
      <c r="A12" s="716" t="s">
        <v>159</v>
      </c>
      <c r="B12" s="1764">
        <f>'Revenues 9-14'!K5</f>
        <v>0</v>
      </c>
      <c r="C12" s="1992">
        <v>0</v>
      </c>
      <c r="D12" s="1767">
        <f t="shared" si="0"/>
        <v>0</v>
      </c>
      <c r="E12" s="1994">
        <v>0</v>
      </c>
      <c r="F12" s="1767">
        <f t="shared" si="1"/>
        <v>0</v>
      </c>
    </row>
    <row r="13" spans="1:6" ht="13.7" customHeight="1" x14ac:dyDescent="0.2">
      <c r="A13" s="716" t="s">
        <v>993</v>
      </c>
      <c r="B13" s="1764">
        <f>SUM('Revenues 9-14'!C6:D6)</f>
        <v>0</v>
      </c>
      <c r="C13" s="1992">
        <v>0</v>
      </c>
      <c r="D13" s="1767">
        <f t="shared" si="0"/>
        <v>0</v>
      </c>
      <c r="E13" s="1994">
        <v>0</v>
      </c>
      <c r="F13" s="1767">
        <f t="shared" si="1"/>
        <v>0</v>
      </c>
    </row>
    <row r="14" spans="1:6" ht="13.7" customHeight="1" x14ac:dyDescent="0.2">
      <c r="A14" s="716" t="s">
        <v>430</v>
      </c>
      <c r="B14" s="1764">
        <f>SUM('Revenues 9-14'!C7:D7,'Revenues 9-14'!F7:H7)</f>
        <v>260467</v>
      </c>
      <c r="C14" s="1992">
        <v>137859</v>
      </c>
      <c r="D14" s="1767">
        <f t="shared" si="0"/>
        <v>122608</v>
      </c>
      <c r="E14" s="1994">
        <v>258768</v>
      </c>
      <c r="F14" s="1767">
        <f t="shared" si="1"/>
        <v>120909</v>
      </c>
    </row>
    <row r="15" spans="1:6" ht="13.7" customHeight="1" x14ac:dyDescent="0.2">
      <c r="A15" s="716" t="s">
        <v>1220</v>
      </c>
      <c r="B15" s="1764">
        <f>'Revenues 9-14'!E9</f>
        <v>0</v>
      </c>
      <c r="C15" s="1992">
        <v>0</v>
      </c>
      <c r="D15" s="1767">
        <f t="shared" si="0"/>
        <v>0</v>
      </c>
      <c r="E15" s="1994">
        <v>0</v>
      </c>
      <c r="F15" s="1767">
        <f t="shared" si="1"/>
        <v>0</v>
      </c>
    </row>
    <row r="16" spans="1:6" ht="13.7" customHeight="1" x14ac:dyDescent="0.2">
      <c r="A16" s="716" t="s">
        <v>1221</v>
      </c>
      <c r="B16" s="1764">
        <f>'Revenues 9-14'!G8</f>
        <v>441191</v>
      </c>
      <c r="C16" s="1992">
        <v>233504</v>
      </c>
      <c r="D16" s="1767">
        <f t="shared" si="0"/>
        <v>207687</v>
      </c>
      <c r="E16" s="1994">
        <v>438296</v>
      </c>
      <c r="F16" s="1767">
        <f t="shared" si="1"/>
        <v>204792</v>
      </c>
    </row>
    <row r="17" spans="1:6" ht="13.7" customHeight="1" x14ac:dyDescent="0.2">
      <c r="A17" s="716" t="s">
        <v>1222</v>
      </c>
      <c r="B17" s="1764">
        <f>'Revenues 9-14'!C10</f>
        <v>0</v>
      </c>
      <c r="C17" s="1992">
        <v>0</v>
      </c>
      <c r="D17" s="1767">
        <f t="shared" si="0"/>
        <v>0</v>
      </c>
      <c r="E17" s="1994">
        <v>0</v>
      </c>
      <c r="F17" s="1767">
        <f t="shared" si="1"/>
        <v>0</v>
      </c>
    </row>
    <row r="18" spans="1:6" ht="13.7" customHeight="1" x14ac:dyDescent="0.2">
      <c r="A18" s="716" t="s">
        <v>786</v>
      </c>
      <c r="B18" s="1764">
        <f>SUM('Revenues 9-14'!C11:K11)</f>
        <v>0</v>
      </c>
      <c r="C18" s="1992">
        <v>0</v>
      </c>
      <c r="D18" s="1767">
        <f t="shared" si="0"/>
        <v>0</v>
      </c>
      <c r="E18" s="1994">
        <v>0</v>
      </c>
      <c r="F18" s="1767">
        <f t="shared" si="1"/>
        <v>0</v>
      </c>
    </row>
    <row r="19" spans="1:6" ht="13.7" customHeight="1" thickBot="1" x14ac:dyDescent="0.25">
      <c r="A19" s="1768" t="s">
        <v>1223</v>
      </c>
      <c r="B19" s="1765">
        <f>SUM(B4:B18)</f>
        <v>28046581</v>
      </c>
      <c r="C19" s="1765">
        <f>SUM(C4:C18)</f>
        <v>14981936</v>
      </c>
      <c r="D19" s="1765">
        <f>SUM(D4:D18)</f>
        <v>13064645</v>
      </c>
      <c r="E19" s="1765">
        <f>SUM(E4:E18)</f>
        <v>28121752</v>
      </c>
      <c r="F19" s="1765">
        <f>SUM(F4:F18)</f>
        <v>13139816</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7"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K59"/>
  <sheetViews>
    <sheetView showGridLines="0" defaultGridColor="0" topLeftCell="A19" colorId="8" zoomScale="110" zoomScaleNormal="110" workbookViewId="0">
      <selection activeCell="J41" sqref="J4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81" t="s">
        <v>650</v>
      </c>
      <c r="B1" s="2279"/>
      <c r="C1" s="722"/>
    </row>
    <row r="2" spans="1:7" ht="33.75" x14ac:dyDescent="0.2">
      <c r="A2" s="2286" t="s">
        <v>1902</v>
      </c>
      <c r="B2" s="2287"/>
      <c r="C2" s="1901" t="s">
        <v>2035</v>
      </c>
      <c r="D2" s="724" t="s">
        <v>2042</v>
      </c>
      <c r="E2" s="724" t="s">
        <v>2043</v>
      </c>
      <c r="F2" s="1901" t="s">
        <v>2036</v>
      </c>
    </row>
    <row r="3" spans="1:7" ht="15.75" customHeight="1" x14ac:dyDescent="0.2">
      <c r="A3" s="2288" t="s">
        <v>1176</v>
      </c>
      <c r="B3" s="2289"/>
      <c r="C3" s="2282"/>
      <c r="D3" s="2283"/>
      <c r="E3" s="2283"/>
      <c r="F3" s="2284"/>
    </row>
    <row r="4" spans="1:7" ht="12.75" customHeight="1" thickBot="1" x14ac:dyDescent="0.25">
      <c r="A4" s="2276" t="s">
        <v>651</v>
      </c>
      <c r="B4" s="2277"/>
      <c r="C4" s="581"/>
      <c r="D4" s="581"/>
      <c r="E4" s="581"/>
      <c r="F4" s="1769">
        <f>SUM(C4+D4)-E4</f>
        <v>0</v>
      </c>
    </row>
    <row r="5" spans="1:7" ht="15.75" customHeight="1" thickTop="1" x14ac:dyDescent="0.2">
      <c r="A5" s="2280" t="s">
        <v>1172</v>
      </c>
      <c r="B5" s="2275"/>
      <c r="C5" s="2269"/>
      <c r="D5" s="2270"/>
      <c r="E5" s="2270"/>
      <c r="F5" s="2271"/>
    </row>
    <row r="6" spans="1:7" ht="12.75" customHeight="1" thickBot="1" x14ac:dyDescent="0.25">
      <c r="A6" s="725" t="s">
        <v>66</v>
      </c>
      <c r="B6" s="726"/>
      <c r="C6" s="727"/>
      <c r="D6" s="585"/>
      <c r="E6" s="727"/>
      <c r="F6" s="1769">
        <f t="shared" ref="F6:F14" si="0">SUM(C6+D6)-E6</f>
        <v>0</v>
      </c>
    </row>
    <row r="7" spans="1:7" ht="12.75" customHeight="1" thickTop="1" thickBot="1" x14ac:dyDescent="0.25">
      <c r="A7" s="725" t="s">
        <v>6</v>
      </c>
      <c r="B7" s="726"/>
      <c r="C7" s="727"/>
      <c r="D7" s="585"/>
      <c r="E7" s="727"/>
      <c r="F7" s="1769">
        <f t="shared" si="0"/>
        <v>0</v>
      </c>
    </row>
    <row r="8" spans="1:7" ht="12.75" customHeight="1" thickTop="1" thickBot="1" x14ac:dyDescent="0.25">
      <c r="A8" s="725" t="s">
        <v>529</v>
      </c>
      <c r="B8" s="726"/>
      <c r="C8" s="727"/>
      <c r="D8" s="585"/>
      <c r="E8" s="727"/>
      <c r="F8" s="1769">
        <f t="shared" si="0"/>
        <v>0</v>
      </c>
    </row>
    <row r="9" spans="1:7" ht="12.75" customHeight="1" thickTop="1" thickBot="1" x14ac:dyDescent="0.25">
      <c r="A9" s="725" t="s">
        <v>530</v>
      </c>
      <c r="B9" s="726"/>
      <c r="C9" s="727"/>
      <c r="D9" s="585"/>
      <c r="E9" s="727"/>
      <c r="F9" s="1769">
        <f t="shared" si="0"/>
        <v>0</v>
      </c>
    </row>
    <row r="10" spans="1:7" ht="12.75" customHeight="1" thickTop="1" thickBot="1" x14ac:dyDescent="0.25">
      <c r="A10" s="725" t="s">
        <v>531</v>
      </c>
      <c r="B10" s="726"/>
      <c r="C10" s="727"/>
      <c r="D10" s="585"/>
      <c r="E10" s="727"/>
      <c r="F10" s="1769">
        <f t="shared" si="0"/>
        <v>0</v>
      </c>
    </row>
    <row r="11" spans="1:7" ht="12.75" customHeight="1" thickTop="1" thickBot="1" x14ac:dyDescent="0.25">
      <c r="A11" s="725" t="s">
        <v>359</v>
      </c>
      <c r="B11" s="726"/>
      <c r="C11" s="727"/>
      <c r="D11" s="585"/>
      <c r="E11" s="727"/>
      <c r="F11" s="1769">
        <f t="shared" si="0"/>
        <v>0</v>
      </c>
    </row>
    <row r="12" spans="1:7" ht="12.75" customHeight="1" thickTop="1" thickBot="1" x14ac:dyDescent="0.25">
      <c r="A12" s="725" t="s">
        <v>1219</v>
      </c>
      <c r="B12" s="726"/>
      <c r="C12" s="727"/>
      <c r="D12" s="585"/>
      <c r="E12" s="727"/>
      <c r="F12" s="1769">
        <f t="shared" si="0"/>
        <v>0</v>
      </c>
    </row>
    <row r="13" spans="1:7" ht="12.75" customHeight="1" thickTop="1" thickBot="1" x14ac:dyDescent="0.25">
      <c r="A13" s="725" t="s">
        <v>406</v>
      </c>
      <c r="B13" s="726"/>
      <c r="C13" s="727"/>
      <c r="D13" s="585"/>
      <c r="E13" s="727"/>
      <c r="F13" s="1769">
        <f t="shared" si="0"/>
        <v>0</v>
      </c>
    </row>
    <row r="14" spans="1:7" ht="12.75" customHeight="1" thickTop="1" thickBot="1" x14ac:dyDescent="0.25">
      <c r="A14" s="725" t="s">
        <v>468</v>
      </c>
      <c r="B14" s="726"/>
      <c r="C14" s="727"/>
      <c r="D14" s="585"/>
      <c r="E14" s="727"/>
      <c r="F14" s="1769">
        <f t="shared" si="0"/>
        <v>0</v>
      </c>
    </row>
    <row r="15" spans="1:7" ht="14.25" thickTop="1" thickBot="1" x14ac:dyDescent="0.25">
      <c r="A15" s="2272" t="s">
        <v>652</v>
      </c>
      <c r="B15" s="2273"/>
      <c r="C15" s="1769">
        <f>SUM(C6:C14)</f>
        <v>0</v>
      </c>
      <c r="D15" s="1769">
        <f>SUM(D6:D14)</f>
        <v>0</v>
      </c>
      <c r="E15" s="1769">
        <f>SUM(E6:E14)</f>
        <v>0</v>
      </c>
      <c r="F15" s="1769">
        <f>SUM(F6:F14)</f>
        <v>0</v>
      </c>
      <c r="G15" s="552"/>
    </row>
    <row r="16" spans="1:7" s="202" customFormat="1" ht="15.75" customHeight="1" thickTop="1" x14ac:dyDescent="0.2">
      <c r="A16" s="2285" t="s">
        <v>1173</v>
      </c>
      <c r="B16" s="2275"/>
      <c r="C16" s="2269"/>
      <c r="D16" s="2270"/>
      <c r="E16" s="2270"/>
      <c r="F16" s="2271"/>
    </row>
    <row r="17" spans="1:11" ht="12.75" customHeight="1" thickBot="1" x14ac:dyDescent="0.25">
      <c r="A17" s="2267" t="s">
        <v>66</v>
      </c>
      <c r="B17" s="2268"/>
      <c r="C17" s="727"/>
      <c r="D17" s="585"/>
      <c r="E17" s="727"/>
      <c r="F17" s="1769">
        <f>SUM(C17+D17)-E17</f>
        <v>0</v>
      </c>
    </row>
    <row r="18" spans="1:11" ht="12.75" customHeight="1" thickTop="1" thickBot="1" x14ac:dyDescent="0.25">
      <c r="A18" s="2267" t="s">
        <v>6</v>
      </c>
      <c r="B18" s="2268"/>
      <c r="C18" s="727"/>
      <c r="D18" s="585"/>
      <c r="E18" s="727"/>
      <c r="F18" s="1769">
        <f>SUM(C18+D18)-E18</f>
        <v>0</v>
      </c>
    </row>
    <row r="19" spans="1:11" ht="12.75" customHeight="1" thickTop="1" thickBot="1" x14ac:dyDescent="0.25">
      <c r="A19" s="2267" t="s">
        <v>406</v>
      </c>
      <c r="B19" s="2268"/>
      <c r="C19" s="727"/>
      <c r="D19" s="585"/>
      <c r="E19" s="727"/>
      <c r="F19" s="1769">
        <f>SUM(C19+D19)-E19</f>
        <v>0</v>
      </c>
    </row>
    <row r="20" spans="1:11" ht="12.75" customHeight="1" thickTop="1" thickBot="1" x14ac:dyDescent="0.25">
      <c r="A20" s="2267" t="s">
        <v>468</v>
      </c>
      <c r="B20" s="2268"/>
      <c r="C20" s="727"/>
      <c r="D20" s="585"/>
      <c r="E20" s="727"/>
      <c r="F20" s="1769">
        <f>SUM(C20+D20)-E20</f>
        <v>0</v>
      </c>
    </row>
    <row r="21" spans="1:11" ht="14.25" thickTop="1" thickBot="1" x14ac:dyDescent="0.25">
      <c r="A21" s="2272" t="s">
        <v>653</v>
      </c>
      <c r="B21" s="2273"/>
      <c r="C21" s="1769">
        <f>SUM(C17:C20)</f>
        <v>0</v>
      </c>
      <c r="D21" s="1769">
        <f>SUM(D17:D20)</f>
        <v>0</v>
      </c>
      <c r="E21" s="1769">
        <f>SUM(E17:E20)</f>
        <v>0</v>
      </c>
      <c r="F21" s="1769">
        <f>SUM(F17:F20)</f>
        <v>0</v>
      </c>
      <c r="G21" s="552"/>
    </row>
    <row r="22" spans="1:11" ht="15.75" customHeight="1" thickTop="1" x14ac:dyDescent="0.2">
      <c r="A22" s="2274" t="s">
        <v>1174</v>
      </c>
      <c r="B22" s="2275"/>
      <c r="C22" s="2269"/>
      <c r="D22" s="2270"/>
      <c r="E22" s="2270"/>
      <c r="F22" s="2271"/>
    </row>
    <row r="23" spans="1:11" ht="13.5" thickBot="1" x14ac:dyDescent="0.25">
      <c r="A23" s="2276" t="s">
        <v>654</v>
      </c>
      <c r="B23" s="2277"/>
      <c r="C23" s="581"/>
      <c r="D23" s="581"/>
      <c r="E23" s="581"/>
      <c r="F23" s="1769">
        <f>SUM(C23+D23)-E23</f>
        <v>0</v>
      </c>
      <c r="G23" s="552"/>
    </row>
    <row r="24" spans="1:11" ht="15.75" customHeight="1" thickTop="1" x14ac:dyDescent="0.2">
      <c r="A24" s="2274" t="s">
        <v>1175</v>
      </c>
      <c r="B24" s="2275"/>
      <c r="C24" s="2269"/>
      <c r="D24" s="2270"/>
      <c r="E24" s="2270"/>
      <c r="F24" s="2271"/>
    </row>
    <row r="25" spans="1:11" ht="13.5" thickBot="1" x14ac:dyDescent="0.25">
      <c r="A25" s="2276" t="s">
        <v>655</v>
      </c>
      <c r="B25" s="2277"/>
      <c r="C25" s="581"/>
      <c r="D25" s="581"/>
      <c r="E25" s="581"/>
      <c r="F25" s="1769">
        <f>SUM(C25+D25)-E25</f>
        <v>0</v>
      </c>
      <c r="G25" s="552"/>
    </row>
    <row r="26" spans="1:11" ht="15.75" customHeight="1" thickTop="1" x14ac:dyDescent="0.2">
      <c r="A26" s="2280" t="s">
        <v>678</v>
      </c>
      <c r="B26" s="2275"/>
      <c r="C26" s="728"/>
      <c r="D26" s="728"/>
      <c r="E26" s="728"/>
      <c r="F26" s="729"/>
    </row>
    <row r="27" spans="1:11" ht="13.5" thickBot="1" x14ac:dyDescent="0.25">
      <c r="A27" s="2272" t="s">
        <v>1130</v>
      </c>
      <c r="B27" s="2273"/>
      <c r="C27" s="585"/>
      <c r="D27" s="585"/>
      <c r="E27" s="585"/>
      <c r="F27" s="1769">
        <f>SUM(C27+D27)-E27</f>
        <v>0</v>
      </c>
      <c r="G27" s="552"/>
    </row>
    <row r="28" spans="1:11" ht="7.5" customHeight="1" thickTop="1" x14ac:dyDescent="0.2">
      <c r="A28" s="594"/>
    </row>
    <row r="29" spans="1:11" ht="23.25" customHeight="1" x14ac:dyDescent="0.2">
      <c r="A29" s="2278" t="s">
        <v>603</v>
      </c>
      <c r="B29" s="2279"/>
      <c r="C29" s="730"/>
      <c r="D29" s="730"/>
      <c r="E29" s="730"/>
      <c r="F29" s="730"/>
      <c r="G29" s="730"/>
      <c r="H29" s="730"/>
      <c r="I29" s="730"/>
      <c r="J29" s="730"/>
    </row>
    <row r="30" spans="1:11" ht="33.75" x14ac:dyDescent="0.2">
      <c r="A30" s="1543" t="s">
        <v>1131</v>
      </c>
      <c r="B30" s="731" t="s">
        <v>1186</v>
      </c>
      <c r="C30" s="1902" t="s">
        <v>604</v>
      </c>
      <c r="D30" s="1902" t="s">
        <v>1772</v>
      </c>
      <c r="E30" s="1902" t="s">
        <v>2037</v>
      </c>
      <c r="F30" s="1902" t="s">
        <v>2038</v>
      </c>
      <c r="G30" s="1902" t="s">
        <v>2041</v>
      </c>
      <c r="H30" s="1902" t="s">
        <v>2039</v>
      </c>
      <c r="I30" s="1902" t="s">
        <v>2040</v>
      </c>
      <c r="J30" s="1903" t="s">
        <v>2</v>
      </c>
      <c r="K30" s="732"/>
    </row>
    <row r="31" spans="1:11" ht="12" customHeight="1" x14ac:dyDescent="0.2">
      <c r="A31" s="1996" t="s">
        <v>2141</v>
      </c>
      <c r="B31" s="1997">
        <v>41218</v>
      </c>
      <c r="C31" s="1998">
        <v>9995000</v>
      </c>
      <c r="D31" s="1999">
        <v>3</v>
      </c>
      <c r="E31" s="1998">
        <v>9995000</v>
      </c>
      <c r="F31" s="1998">
        <v>0</v>
      </c>
      <c r="G31" s="1998"/>
      <c r="H31" s="1998">
        <v>945000</v>
      </c>
      <c r="I31" s="1770">
        <f>((E31+F31)-H31)+G31</f>
        <v>9050000</v>
      </c>
      <c r="J31" s="735">
        <v>6468735</v>
      </c>
      <c r="K31" s="737"/>
    </row>
    <row r="32" spans="1:11" ht="12" customHeight="1" x14ac:dyDescent="0.2">
      <c r="A32" s="1996" t="s">
        <v>2142</v>
      </c>
      <c r="B32" s="1997">
        <v>41277</v>
      </c>
      <c r="C32" s="1998">
        <v>9375000</v>
      </c>
      <c r="D32" s="1999">
        <v>3</v>
      </c>
      <c r="E32" s="1998">
        <v>2690000</v>
      </c>
      <c r="F32" s="1998">
        <v>0</v>
      </c>
      <c r="G32" s="1998"/>
      <c r="H32" s="1998">
        <v>2690000</v>
      </c>
      <c r="I32" s="1770">
        <f>((E32+F32)-H32)+G32</f>
        <v>0</v>
      </c>
      <c r="J32" s="735">
        <v>0</v>
      </c>
      <c r="K32" s="737"/>
    </row>
    <row r="33" spans="1:11" ht="12" customHeight="1" x14ac:dyDescent="0.2">
      <c r="A33" s="733"/>
      <c r="B33" s="734"/>
      <c r="C33" s="735"/>
      <c r="D33" s="736"/>
      <c r="E33" s="735"/>
      <c r="F33" s="735"/>
      <c r="G33" s="735"/>
      <c r="H33" s="735"/>
      <c r="I33" s="1770">
        <f t="shared" ref="I33:I48" si="1">((E33+F33)-H33)+G33</f>
        <v>0</v>
      </c>
      <c r="J33" s="735"/>
      <c r="K33" s="737"/>
    </row>
    <row r="34" spans="1:11" ht="12" customHeight="1" x14ac:dyDescent="0.2">
      <c r="A34" s="733"/>
      <c r="B34" s="734"/>
      <c r="C34" s="735"/>
      <c r="D34" s="736"/>
      <c r="E34" s="735"/>
      <c r="F34" s="735"/>
      <c r="G34" s="735"/>
      <c r="H34" s="735"/>
      <c r="I34" s="1770">
        <f t="shared" si="1"/>
        <v>0</v>
      </c>
      <c r="J34" s="735"/>
      <c r="K34" s="738"/>
    </row>
    <row r="35" spans="1:11" ht="12" customHeight="1" x14ac:dyDescent="0.2">
      <c r="A35" s="733"/>
      <c r="B35" s="734"/>
      <c r="C35" s="739"/>
      <c r="D35" s="736"/>
      <c r="E35" s="739"/>
      <c r="F35" s="739"/>
      <c r="G35" s="739"/>
      <c r="H35" s="739"/>
      <c r="I35" s="1770">
        <f t="shared" si="1"/>
        <v>0</v>
      </c>
      <c r="J35" s="739"/>
      <c r="K35" s="738"/>
    </row>
    <row r="36" spans="1:11" ht="12" customHeight="1" x14ac:dyDescent="0.2">
      <c r="A36" s="733"/>
      <c r="B36" s="734"/>
      <c r="C36" s="735"/>
      <c r="D36" s="736"/>
      <c r="E36" s="735"/>
      <c r="F36" s="735"/>
      <c r="G36" s="735"/>
      <c r="H36" s="735"/>
      <c r="I36" s="1770">
        <f t="shared" si="1"/>
        <v>0</v>
      </c>
      <c r="J36" s="735"/>
      <c r="K36" s="740"/>
    </row>
    <row r="37" spans="1:11" ht="12" customHeight="1" x14ac:dyDescent="0.2">
      <c r="A37" s="733"/>
      <c r="B37" s="734"/>
      <c r="C37" s="467"/>
      <c r="D37" s="741"/>
      <c r="E37" s="467"/>
      <c r="F37" s="467"/>
      <c r="G37" s="467"/>
      <c r="H37" s="467"/>
      <c r="I37" s="1770">
        <f t="shared" si="1"/>
        <v>0</v>
      </c>
      <c r="J37" s="467"/>
      <c r="K37" s="738"/>
    </row>
    <row r="38" spans="1:11" ht="12" customHeight="1" x14ac:dyDescent="0.2">
      <c r="A38" s="733"/>
      <c r="B38" s="734"/>
      <c r="C38" s="735"/>
      <c r="D38" s="742"/>
      <c r="E38" s="743"/>
      <c r="F38" s="743"/>
      <c r="G38" s="743"/>
      <c r="H38" s="743"/>
      <c r="I38" s="1770">
        <f t="shared" si="1"/>
        <v>0</v>
      </c>
      <c r="J38" s="744" t="s">
        <v>282</v>
      </c>
      <c r="K38" s="745"/>
    </row>
    <row r="39" spans="1:11" ht="12" customHeight="1" x14ac:dyDescent="0.2">
      <c r="A39" s="733"/>
      <c r="B39" s="734"/>
      <c r="C39" s="735"/>
      <c r="D39" s="742"/>
      <c r="E39" s="743"/>
      <c r="F39" s="743"/>
      <c r="G39" s="743"/>
      <c r="H39" s="743"/>
      <c r="I39" s="1770">
        <f t="shared" si="1"/>
        <v>0</v>
      </c>
      <c r="J39" s="744"/>
      <c r="K39" s="745"/>
    </row>
    <row r="40" spans="1:11" ht="12" customHeight="1" x14ac:dyDescent="0.2">
      <c r="A40" s="733"/>
      <c r="B40" s="734"/>
      <c r="C40" s="735"/>
      <c r="D40" s="742"/>
      <c r="E40" s="743"/>
      <c r="F40" s="743"/>
      <c r="G40" s="743"/>
      <c r="H40" s="743"/>
      <c r="I40" s="1770">
        <f t="shared" si="1"/>
        <v>0</v>
      </c>
      <c r="J40" s="744"/>
      <c r="K40" s="745"/>
    </row>
    <row r="41" spans="1:11" ht="12" customHeight="1" x14ac:dyDescent="0.2">
      <c r="A41" s="733"/>
      <c r="B41" s="734"/>
      <c r="C41" s="735"/>
      <c r="D41" s="742"/>
      <c r="E41" s="743"/>
      <c r="F41" s="743"/>
      <c r="G41" s="743"/>
      <c r="H41" s="743"/>
      <c r="I41" s="1770">
        <f t="shared" si="1"/>
        <v>0</v>
      </c>
      <c r="J41" s="744"/>
      <c r="K41" s="745"/>
    </row>
    <row r="42" spans="1:11" ht="12" customHeight="1" x14ac:dyDescent="0.2">
      <c r="A42" s="733"/>
      <c r="B42" s="734"/>
      <c r="C42" s="735"/>
      <c r="D42" s="742"/>
      <c r="E42" s="743"/>
      <c r="F42" s="743"/>
      <c r="G42" s="743"/>
      <c r="H42" s="743"/>
      <c r="I42" s="1770">
        <f t="shared" si="1"/>
        <v>0</v>
      </c>
      <c r="J42" s="744"/>
      <c r="K42" s="745"/>
    </row>
    <row r="43" spans="1:11" ht="12" customHeight="1" x14ac:dyDescent="0.2">
      <c r="A43" s="733"/>
      <c r="B43" s="734"/>
      <c r="C43" s="735"/>
      <c r="D43" s="742"/>
      <c r="E43" s="743"/>
      <c r="F43" s="743"/>
      <c r="G43" s="743"/>
      <c r="H43" s="743"/>
      <c r="I43" s="1770">
        <f t="shared" si="1"/>
        <v>0</v>
      </c>
      <c r="J43" s="744"/>
      <c r="K43" s="745"/>
    </row>
    <row r="44" spans="1:11" ht="12" customHeight="1" x14ac:dyDescent="0.2">
      <c r="A44" s="733"/>
      <c r="B44" s="734"/>
      <c r="C44" s="735"/>
      <c r="D44" s="736"/>
      <c r="E44" s="735"/>
      <c r="F44" s="735"/>
      <c r="G44" s="735"/>
      <c r="H44" s="735"/>
      <c r="I44" s="1770">
        <f t="shared" si="1"/>
        <v>0</v>
      </c>
      <c r="J44" s="735"/>
      <c r="K44" s="738"/>
    </row>
    <row r="45" spans="1:11" ht="12" customHeight="1" x14ac:dyDescent="0.2">
      <c r="A45" s="733"/>
      <c r="B45" s="734"/>
      <c r="C45" s="735"/>
      <c r="D45" s="736"/>
      <c r="E45" s="735"/>
      <c r="F45" s="735"/>
      <c r="G45" s="735"/>
      <c r="H45" s="735"/>
      <c r="I45" s="1770">
        <f t="shared" si="1"/>
        <v>0</v>
      </c>
      <c r="J45" s="735"/>
      <c r="K45" s="738"/>
    </row>
    <row r="46" spans="1:11" ht="12" customHeight="1" x14ac:dyDescent="0.2">
      <c r="A46" s="733"/>
      <c r="B46" s="734"/>
      <c r="C46" s="735"/>
      <c r="D46" s="736"/>
      <c r="E46" s="735"/>
      <c r="F46" s="735"/>
      <c r="G46" s="735"/>
      <c r="H46" s="735"/>
      <c r="I46" s="1770">
        <f t="shared" si="1"/>
        <v>0</v>
      </c>
      <c r="J46" s="735"/>
      <c r="K46" s="738"/>
    </row>
    <row r="47" spans="1:11" ht="12" customHeight="1" x14ac:dyDescent="0.2">
      <c r="A47" s="733"/>
      <c r="B47" s="734"/>
      <c r="C47" s="739"/>
      <c r="D47" s="736"/>
      <c r="E47" s="739"/>
      <c r="F47" s="739"/>
      <c r="G47" s="739"/>
      <c r="H47" s="739"/>
      <c r="I47" s="1770">
        <f t="shared" si="1"/>
        <v>0</v>
      </c>
      <c r="J47" s="739"/>
      <c r="K47" s="738"/>
    </row>
    <row r="48" spans="1:11" ht="12" customHeight="1" x14ac:dyDescent="0.2">
      <c r="A48" s="733"/>
      <c r="B48" s="734"/>
      <c r="C48" s="735"/>
      <c r="D48" s="736"/>
      <c r="E48" s="735"/>
      <c r="F48" s="735"/>
      <c r="G48" s="735"/>
      <c r="H48" s="735"/>
      <c r="I48" s="1770">
        <f t="shared" si="1"/>
        <v>0</v>
      </c>
      <c r="J48" s="735"/>
      <c r="K48" s="738"/>
    </row>
    <row r="49" spans="1:11" ht="12" customHeight="1" x14ac:dyDescent="0.2">
      <c r="A49" s="733"/>
      <c r="B49" s="734"/>
      <c r="C49" s="1770">
        <f>SUM(C31:C48)</f>
        <v>19370000</v>
      </c>
      <c r="D49" s="746"/>
      <c r="E49" s="1770">
        <f t="shared" ref="E49:J49" si="2">SUM(E31:E48)</f>
        <v>12685000</v>
      </c>
      <c r="F49" s="1770">
        <f t="shared" si="2"/>
        <v>0</v>
      </c>
      <c r="G49" s="1770">
        <f t="shared" si="2"/>
        <v>0</v>
      </c>
      <c r="H49" s="1770">
        <f t="shared" si="2"/>
        <v>3635000</v>
      </c>
      <c r="I49" s="1770">
        <f t="shared" si="2"/>
        <v>9050000</v>
      </c>
      <c r="J49" s="1770">
        <f t="shared" si="2"/>
        <v>6468735</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61" t="s">
        <v>605</v>
      </c>
      <c r="C52" s="2262"/>
      <c r="D52" s="2262"/>
      <c r="E52" s="750" t="s">
        <v>900</v>
      </c>
      <c r="F52" s="2263"/>
      <c r="G52" s="2264"/>
      <c r="H52" s="737"/>
      <c r="I52" s="737"/>
      <c r="J52" s="747"/>
    </row>
    <row r="53" spans="1:11" ht="11.25" customHeight="1" x14ac:dyDescent="0.2">
      <c r="A53" s="751" t="s">
        <v>969</v>
      </c>
      <c r="B53" s="752" t="s">
        <v>1008</v>
      </c>
      <c r="C53" s="747"/>
      <c r="D53" s="738"/>
      <c r="E53" s="750" t="s">
        <v>518</v>
      </c>
      <c r="F53" s="2265"/>
      <c r="G53" s="2266"/>
      <c r="H53" s="737"/>
      <c r="I53" s="737"/>
      <c r="J53" s="747"/>
    </row>
    <row r="54" spans="1:11" ht="11.25" customHeight="1" x14ac:dyDescent="0.2">
      <c r="A54" s="753" t="s">
        <v>970</v>
      </c>
      <c r="B54" s="748" t="s">
        <v>1009</v>
      </c>
      <c r="C54" s="747"/>
      <c r="D54" s="738"/>
      <c r="E54" s="750" t="s">
        <v>519</v>
      </c>
      <c r="F54" s="2265"/>
      <c r="G54" s="226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2" bottom="0.25" header="0.38"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pageSetUpPr fitToPage="1"/>
  </sheetPr>
  <dimension ref="A1:K48"/>
  <sheetViews>
    <sheetView showGridLines="0" defaultGridColor="0" colorId="8" zoomScale="110" zoomScaleNormal="110" workbookViewId="0">
      <selection activeCell="K24" sqref="K2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90" t="s">
        <v>911</v>
      </c>
      <c r="B1" s="2291"/>
      <c r="C1" s="2291"/>
      <c r="D1" s="2291"/>
      <c r="E1" s="2291"/>
      <c r="F1" s="2291"/>
      <c r="G1" s="2292"/>
      <c r="H1" s="1544"/>
      <c r="I1" s="761"/>
      <c r="J1" s="433"/>
    </row>
    <row r="2" spans="1:11" ht="26.25" x14ac:dyDescent="0.2">
      <c r="A2" s="2309" t="s">
        <v>1776</v>
      </c>
      <c r="B2" s="2310"/>
      <c r="C2" s="2310"/>
      <c r="D2" s="2310"/>
      <c r="E2" s="2311"/>
      <c r="F2" s="762" t="s">
        <v>960</v>
      </c>
      <c r="G2" s="763" t="s">
        <v>1773</v>
      </c>
      <c r="H2" s="763" t="s">
        <v>430</v>
      </c>
      <c r="I2" s="763" t="s">
        <v>1220</v>
      </c>
      <c r="J2" s="763" t="s">
        <v>1916</v>
      </c>
      <c r="K2" s="763" t="s">
        <v>140</v>
      </c>
    </row>
    <row r="3" spans="1:11" x14ac:dyDescent="0.2">
      <c r="A3" s="2312" t="s">
        <v>1698</v>
      </c>
      <c r="B3" s="2313"/>
      <c r="C3" s="2313"/>
      <c r="D3" s="2313"/>
      <c r="E3" s="2314"/>
      <c r="F3" s="764"/>
      <c r="G3" s="765"/>
      <c r="H3" s="765"/>
      <c r="I3" s="765"/>
      <c r="J3" s="766"/>
      <c r="K3" s="766"/>
    </row>
    <row r="4" spans="1:11" x14ac:dyDescent="0.2">
      <c r="A4" s="2315" t="s">
        <v>387</v>
      </c>
      <c r="B4" s="2316"/>
      <c r="C4" s="2316"/>
      <c r="D4" s="2316"/>
      <c r="E4" s="2262"/>
      <c r="F4" s="767"/>
      <c r="G4" s="768"/>
      <c r="H4" s="769"/>
      <c r="I4" s="768"/>
      <c r="J4" s="770"/>
      <c r="K4" s="770"/>
    </row>
    <row r="5" spans="1:11" x14ac:dyDescent="0.2">
      <c r="A5" s="2293" t="s">
        <v>1129</v>
      </c>
      <c r="B5" s="2294"/>
      <c r="C5" s="2294"/>
      <c r="D5" s="2294"/>
      <c r="E5" s="2295"/>
      <c r="F5" s="771" t="s">
        <v>903</v>
      </c>
      <c r="G5" s="772"/>
      <c r="H5" s="765">
        <v>260467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31136</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76802</v>
      </c>
    </row>
    <row r="10" spans="1:11" x14ac:dyDescent="0.2">
      <c r="A10" s="2293" t="s">
        <v>1917</v>
      </c>
      <c r="B10" s="2294"/>
      <c r="C10" s="2294"/>
      <c r="D10" s="2294"/>
      <c r="E10" s="2296"/>
      <c r="F10" s="784" t="s">
        <v>917</v>
      </c>
      <c r="G10" s="783"/>
      <c r="H10" s="785"/>
      <c r="I10" s="765"/>
      <c r="J10" s="766"/>
      <c r="K10" s="766"/>
    </row>
    <row r="11" spans="1:11" x14ac:dyDescent="0.2">
      <c r="A11" s="2293" t="s">
        <v>162</v>
      </c>
      <c r="B11" s="2294"/>
      <c r="C11" s="2294"/>
      <c r="D11" s="2294"/>
      <c r="E11" s="2295"/>
      <c r="F11" s="771" t="s">
        <v>907</v>
      </c>
      <c r="G11" s="772"/>
      <c r="H11" s="765"/>
      <c r="I11" s="765"/>
      <c r="J11" s="766"/>
      <c r="K11" s="774"/>
    </row>
    <row r="12" spans="1:11" ht="13.5" thickBot="1" x14ac:dyDescent="0.25">
      <c r="A12" s="2320" t="s">
        <v>961</v>
      </c>
      <c r="B12" s="2321"/>
      <c r="C12" s="2321"/>
      <c r="D12" s="2321"/>
      <c r="E12" s="2322"/>
      <c r="F12" s="1771"/>
      <c r="G12" s="1772">
        <f>SUM(G5:G11)</f>
        <v>0</v>
      </c>
      <c r="H12" s="1772">
        <f>SUM(H5:H11)</f>
        <v>260467</v>
      </c>
      <c r="I12" s="1772">
        <f>SUM(I5:I11)</f>
        <v>0</v>
      </c>
      <c r="J12" s="1772">
        <f>SUM(J5:J11)</f>
        <v>0</v>
      </c>
      <c r="K12" s="1772">
        <f>SUM(K5:K11)</f>
        <v>107938</v>
      </c>
    </row>
    <row r="13" spans="1:11" ht="13.5" thickTop="1" x14ac:dyDescent="0.2">
      <c r="A13" s="2317" t="s">
        <v>388</v>
      </c>
      <c r="B13" s="2318"/>
      <c r="C13" s="2318"/>
      <c r="D13" s="2318"/>
      <c r="E13" s="2319"/>
      <c r="F13" s="786"/>
      <c r="G13" s="787"/>
      <c r="H13" s="788"/>
      <c r="I13" s="789"/>
      <c r="J13" s="789"/>
      <c r="K13" s="789"/>
    </row>
    <row r="14" spans="1:11" x14ac:dyDescent="0.2">
      <c r="A14" s="2300" t="s">
        <v>476</v>
      </c>
      <c r="B14" s="2300"/>
      <c r="C14" s="2300"/>
      <c r="D14" s="2300"/>
      <c r="E14" s="2301"/>
      <c r="F14" s="790" t="s">
        <v>909</v>
      </c>
      <c r="G14" s="783"/>
      <c r="H14" s="765">
        <v>260467</v>
      </c>
      <c r="I14" s="772"/>
      <c r="J14" s="774"/>
      <c r="K14" s="766">
        <v>107938</v>
      </c>
    </row>
    <row r="15" spans="1:11" x14ac:dyDescent="0.2">
      <c r="A15" s="2294" t="s">
        <v>4</v>
      </c>
      <c r="B15" s="2294"/>
      <c r="C15" s="2294"/>
      <c r="D15" s="2294"/>
      <c r="E15" s="2295"/>
      <c r="F15" s="790" t="s">
        <v>910</v>
      </c>
      <c r="G15" s="772"/>
      <c r="H15" s="765"/>
      <c r="I15" s="765"/>
      <c r="J15" s="766"/>
      <c r="K15" s="766"/>
    </row>
    <row r="16" spans="1:11" x14ac:dyDescent="0.2">
      <c r="A16" s="2294" t="s">
        <v>316</v>
      </c>
      <c r="B16" s="2294"/>
      <c r="C16" s="2294"/>
      <c r="D16" s="2294"/>
      <c r="E16" s="2295"/>
      <c r="F16" s="790" t="s">
        <v>980</v>
      </c>
      <c r="G16" s="773"/>
      <c r="H16" s="768"/>
      <c r="I16" s="768"/>
      <c r="J16" s="770"/>
      <c r="K16" s="770"/>
    </row>
    <row r="17" spans="1:11" x14ac:dyDescent="0.2">
      <c r="A17" s="2325" t="s">
        <v>992</v>
      </c>
      <c r="B17" s="2325"/>
      <c r="C17" s="2325"/>
      <c r="D17" s="2325"/>
      <c r="E17" s="2326"/>
      <c r="F17" s="791"/>
      <c r="G17" s="792"/>
      <c r="H17" s="793"/>
      <c r="I17" s="793"/>
      <c r="J17" s="794"/>
      <c r="K17" s="795"/>
    </row>
    <row r="18" spans="1:11" x14ac:dyDescent="0.2">
      <c r="A18" s="2304" t="s">
        <v>386</v>
      </c>
      <c r="B18" s="2305"/>
      <c r="C18" s="2305"/>
      <c r="D18" s="2305"/>
      <c r="E18" s="2306"/>
      <c r="F18" s="790" t="s">
        <v>989</v>
      </c>
      <c r="G18" s="783"/>
      <c r="H18" s="783"/>
      <c r="I18" s="783"/>
      <c r="J18" s="766"/>
      <c r="K18" s="796"/>
    </row>
    <row r="19" spans="1:11" ht="21.75" customHeight="1" x14ac:dyDescent="0.2">
      <c r="A19" s="2302" t="s">
        <v>1913</v>
      </c>
      <c r="B19" s="2302"/>
      <c r="C19" s="2302"/>
      <c r="D19" s="2302"/>
      <c r="E19" s="2303"/>
      <c r="F19" s="790" t="s">
        <v>990</v>
      </c>
      <c r="G19" s="783"/>
      <c r="H19" s="783"/>
      <c r="I19" s="783"/>
      <c r="J19" s="766"/>
      <c r="K19" s="796"/>
    </row>
    <row r="20" spans="1:11" x14ac:dyDescent="0.2">
      <c r="A20" s="2304" t="s">
        <v>1918</v>
      </c>
      <c r="B20" s="2305"/>
      <c r="C20" s="2305"/>
      <c r="D20" s="2305"/>
      <c r="E20" s="2306"/>
      <c r="F20" s="790" t="s">
        <v>991</v>
      </c>
      <c r="G20" s="783"/>
      <c r="H20" s="783"/>
      <c r="I20" s="783"/>
      <c r="J20" s="766"/>
      <c r="K20" s="796"/>
    </row>
    <row r="21" spans="1:11" ht="13.5" thickBot="1" x14ac:dyDescent="0.25">
      <c r="A21" s="2323" t="s">
        <v>659</v>
      </c>
      <c r="B21" s="2323"/>
      <c r="C21" s="2323"/>
      <c r="D21" s="2323"/>
      <c r="E21" s="2323"/>
      <c r="F21" s="1773"/>
      <c r="G21" s="793"/>
      <c r="H21" s="797"/>
      <c r="I21" s="797"/>
      <c r="J21" s="1774">
        <f>SUM(J18:J20)</f>
        <v>0</v>
      </c>
      <c r="K21" s="794"/>
    </row>
    <row r="22" spans="1:11" ht="13.5" thickTop="1" x14ac:dyDescent="0.2">
      <c r="A22" s="2294" t="s">
        <v>1919</v>
      </c>
      <c r="B22" s="2294"/>
      <c r="C22" s="2294"/>
      <c r="D22" s="2294"/>
      <c r="E22" s="2295"/>
      <c r="F22" s="790" t="s">
        <v>917</v>
      </c>
      <c r="G22" s="783"/>
      <c r="H22" s="765"/>
      <c r="I22" s="765"/>
      <c r="J22" s="798"/>
      <c r="K22" s="766"/>
    </row>
    <row r="23" spans="1:11" ht="13.5" thickBot="1" x14ac:dyDescent="0.25">
      <c r="A23" s="2324" t="s">
        <v>962</v>
      </c>
      <c r="B23" s="2323"/>
      <c r="C23" s="2323"/>
      <c r="D23" s="2323"/>
      <c r="E23" s="2323"/>
      <c r="F23" s="1775"/>
      <c r="G23" s="1772">
        <f>SUM(G14:G16,G21,G22)</f>
        <v>0</v>
      </c>
      <c r="H23" s="1772">
        <f>SUM(H14:H16,H21,H22)</f>
        <v>260467</v>
      </c>
      <c r="I23" s="1772">
        <f>SUM(I14:I16,I21,I22)</f>
        <v>0</v>
      </c>
      <c r="J23" s="1772">
        <f>SUM(J14:J16,J21,J22)</f>
        <v>0</v>
      </c>
      <c r="K23" s="1772">
        <f>SUM(K14:K16,K21,K22)</f>
        <v>107938</v>
      </c>
    </row>
    <row r="24" spans="1:11" ht="14.25" thickTop="1" thickBot="1" x14ac:dyDescent="0.25">
      <c r="A24" s="2324" t="s">
        <v>2023</v>
      </c>
      <c r="B24" s="2323"/>
      <c r="C24" s="2323"/>
      <c r="D24" s="2323"/>
      <c r="E24" s="2323"/>
      <c r="F24" s="1776"/>
      <c r="G24" s="1777">
        <f>SUM(G3,G12)-G23</f>
        <v>0</v>
      </c>
      <c r="H24" s="1777">
        <f>SUM(H3,H12)-H23</f>
        <v>0</v>
      </c>
      <c r="I24" s="1777">
        <f>SUM(I3,I12)-I23</f>
        <v>0</v>
      </c>
      <c r="J24" s="1777">
        <f>SUM(J3,J12)-J23</f>
        <v>0</v>
      </c>
      <c r="K24" s="1777">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2">
        <f>G24-G25</f>
        <v>0</v>
      </c>
      <c r="H26" s="1772">
        <f>H24-H25</f>
        <v>0</v>
      </c>
      <c r="I26" s="1772">
        <f>I24-I25</f>
        <v>0</v>
      </c>
      <c r="J26" s="1772">
        <f>J24-J25</f>
        <v>0</v>
      </c>
      <c r="K26" s="1772">
        <f>K24-K25</f>
        <v>0</v>
      </c>
    </row>
    <row r="27" spans="1:11" ht="5.25" customHeight="1" thickTop="1" x14ac:dyDescent="0.2">
      <c r="I27" s="202"/>
      <c r="J27" s="202"/>
    </row>
    <row r="28" spans="1:11" ht="29.25" customHeight="1" x14ac:dyDescent="0.2">
      <c r="A28" s="1897" t="s">
        <v>2033</v>
      </c>
      <c r="B28" s="1898"/>
      <c r="C28" s="1898"/>
      <c r="D28" s="1898"/>
      <c r="E28" s="1899"/>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97"/>
      <c r="I31" s="2298"/>
      <c r="J31" s="2298"/>
      <c r="K31" s="2298"/>
    </row>
    <row r="32" spans="1:11" x14ac:dyDescent="0.2">
      <c r="A32" s="810"/>
      <c r="B32" s="237"/>
      <c r="C32" s="237"/>
      <c r="D32" s="237"/>
      <c r="E32" s="806"/>
      <c r="F32" s="812" t="s">
        <v>561</v>
      </c>
      <c r="G32" s="765"/>
      <c r="H32" s="2299"/>
      <c r="I32" s="2298"/>
      <c r="J32" s="2298"/>
      <c r="K32" s="2298"/>
    </row>
    <row r="33" spans="1:11" ht="1.5" customHeight="1" x14ac:dyDescent="0.2">
      <c r="A33" s="813" t="s">
        <v>1231</v>
      </c>
      <c r="B33" s="364"/>
      <c r="C33" s="364"/>
      <c r="D33" s="364"/>
      <c r="E33" s="364"/>
      <c r="F33" s="364"/>
      <c r="G33" s="814"/>
      <c r="H33" s="2299"/>
      <c r="I33" s="2298"/>
      <c r="J33" s="2298"/>
      <c r="K33" s="2298"/>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94" t="s">
        <v>562</v>
      </c>
      <c r="B41" s="2307"/>
      <c r="C41" s="2307"/>
      <c r="D41" s="2307"/>
      <c r="E41" s="2307"/>
      <c r="F41" s="230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45" t="s">
        <v>1914</v>
      </c>
      <c r="B46" s="408" t="s">
        <v>1774</v>
      </c>
    </row>
    <row r="47" spans="1:11" s="824" customFormat="1" ht="12.75" customHeight="1" x14ac:dyDescent="0.2">
      <c r="A47" s="822"/>
      <c r="B47" s="823" t="s">
        <v>1775</v>
      </c>
      <c r="E47" s="823"/>
      <c r="K47" s="825"/>
    </row>
    <row r="48" spans="1:11" ht="12.75" customHeight="1" x14ac:dyDescent="0.2">
      <c r="A48" s="1546"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73" bottom="0.4" header="0.42"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27"/>
  <sheetViews>
    <sheetView showGridLines="0" defaultGridColor="0" colorId="8" zoomScale="110" zoomScaleNormal="110" workbookViewId="0">
      <selection activeCell="A26" sqref="A2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29" t="s">
        <v>2032</v>
      </c>
      <c r="B1" s="2330"/>
      <c r="C1" s="2331"/>
      <c r="D1" s="827"/>
      <c r="E1" s="828"/>
      <c r="F1" s="828"/>
      <c r="G1" s="829"/>
      <c r="H1" s="830"/>
      <c r="I1" s="831"/>
      <c r="J1" s="2327"/>
      <c r="K1" s="2328"/>
      <c r="L1" s="2328"/>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43" t="s">
        <v>948</v>
      </c>
      <c r="B3" s="1644">
        <v>210</v>
      </c>
      <c r="C3" s="836"/>
      <c r="D3" s="836"/>
      <c r="E3" s="836"/>
      <c r="F3" s="1774">
        <f>(C3+D3)-E3</f>
        <v>0</v>
      </c>
      <c r="G3" s="837"/>
      <c r="H3" s="836"/>
      <c r="I3" s="836"/>
      <c r="J3" s="836"/>
      <c r="K3" s="1783">
        <f>(H3+I3)-J3</f>
        <v>0</v>
      </c>
      <c r="L3" s="1783">
        <f>F3-K3</f>
        <v>0</v>
      </c>
      <c r="M3" s="835"/>
      <c r="N3" s="835"/>
    </row>
    <row r="4" spans="1:14" ht="15" customHeight="1" thickTop="1" x14ac:dyDescent="0.2">
      <c r="A4" s="1645" t="s">
        <v>160</v>
      </c>
      <c r="B4" s="1644">
        <v>220</v>
      </c>
      <c r="C4" s="782"/>
      <c r="D4" s="782"/>
      <c r="E4" s="782"/>
      <c r="F4" s="774"/>
      <c r="G4" s="838"/>
      <c r="H4" s="839"/>
      <c r="I4" s="839"/>
      <c r="J4" s="839"/>
      <c r="K4" s="840"/>
      <c r="L4" s="774"/>
    </row>
    <row r="5" spans="1:14" ht="13.5" thickBot="1" x14ac:dyDescent="0.25">
      <c r="A5" s="779" t="s">
        <v>949</v>
      </c>
      <c r="B5" s="841">
        <v>221</v>
      </c>
      <c r="C5" s="842">
        <v>3150000</v>
      </c>
      <c r="D5" s="842"/>
      <c r="E5" s="842"/>
      <c r="F5" s="1774">
        <f>(C5+D5)-E5</f>
        <v>3150000</v>
      </c>
      <c r="G5" s="838"/>
      <c r="H5" s="843"/>
      <c r="I5" s="843"/>
      <c r="J5" s="843"/>
      <c r="K5" s="794"/>
      <c r="L5" s="1783">
        <f>F5-K5</f>
        <v>3150000</v>
      </c>
    </row>
    <row r="6" spans="1:14" ht="14.25" thickTop="1" thickBot="1" x14ac:dyDescent="0.25">
      <c r="A6" s="779" t="s">
        <v>1179</v>
      </c>
      <c r="B6" s="841">
        <v>222</v>
      </c>
      <c r="C6" s="766"/>
      <c r="D6" s="766"/>
      <c r="E6" s="766"/>
      <c r="F6" s="1774">
        <f>(C6+D6)-E6</f>
        <v>0</v>
      </c>
      <c r="G6" s="838">
        <v>50</v>
      </c>
      <c r="H6" s="766"/>
      <c r="I6" s="766"/>
      <c r="J6" s="766"/>
      <c r="K6" s="1783">
        <f>(H6+I6)-J6</f>
        <v>0</v>
      </c>
      <c r="L6" s="1783">
        <f>F6-K6</f>
        <v>0</v>
      </c>
    </row>
    <row r="7" spans="1:14" ht="15" customHeight="1" thickTop="1" x14ac:dyDescent="0.2">
      <c r="A7" s="1645" t="s">
        <v>161</v>
      </c>
      <c r="B7" s="1644">
        <v>230</v>
      </c>
      <c r="C7" s="782"/>
      <c r="D7" s="782"/>
      <c r="E7" s="782"/>
      <c r="F7" s="774"/>
      <c r="G7" s="844"/>
      <c r="H7" s="782"/>
      <c r="I7" s="782"/>
      <c r="J7" s="782"/>
      <c r="K7" s="774"/>
      <c r="L7" s="774"/>
    </row>
    <row r="8" spans="1:14" ht="13.5" thickBot="1" x14ac:dyDescent="0.25">
      <c r="A8" s="779" t="s">
        <v>1180</v>
      </c>
      <c r="B8" s="841">
        <v>231</v>
      </c>
      <c r="C8" s="2001">
        <v>28181313</v>
      </c>
      <c r="D8" s="2001">
        <v>577820</v>
      </c>
      <c r="E8" s="2001"/>
      <c r="F8" s="1774">
        <f>(C8+D8)-E8</f>
        <v>28759133</v>
      </c>
      <c r="G8" s="844">
        <v>50</v>
      </c>
      <c r="H8" s="2005">
        <v>11324707</v>
      </c>
      <c r="I8" s="2005">
        <v>495721</v>
      </c>
      <c r="J8" s="2005"/>
      <c r="K8" s="1783">
        <f>(H8+I8)-J8</f>
        <v>11820428</v>
      </c>
      <c r="L8" s="1783">
        <f>F8-K8</f>
        <v>16938705</v>
      </c>
    </row>
    <row r="9" spans="1:14" ht="14.25" thickTop="1" thickBot="1" x14ac:dyDescent="0.25">
      <c r="A9" s="779" t="s">
        <v>1181</v>
      </c>
      <c r="B9" s="841">
        <v>232</v>
      </c>
      <c r="C9" s="2000"/>
      <c r="D9" s="2000"/>
      <c r="E9" s="2000"/>
      <c r="F9" s="1774">
        <f>(C9+D9)-E9</f>
        <v>0</v>
      </c>
      <c r="G9" s="844">
        <v>20</v>
      </c>
      <c r="H9" s="2005"/>
      <c r="I9" s="2005"/>
      <c r="J9" s="2005"/>
      <c r="K9" s="1783">
        <f>(H9+I9)-J9</f>
        <v>0</v>
      </c>
      <c r="L9" s="1783">
        <f>F9-K9</f>
        <v>0</v>
      </c>
    </row>
    <row r="10" spans="1:14" ht="24" thickTop="1" thickBot="1" x14ac:dyDescent="0.25">
      <c r="A10" s="845" t="s">
        <v>1182</v>
      </c>
      <c r="B10" s="841">
        <v>240</v>
      </c>
      <c r="C10" s="2002">
        <v>4061092</v>
      </c>
      <c r="D10" s="2002">
        <v>38753</v>
      </c>
      <c r="E10" s="2002"/>
      <c r="F10" s="1778">
        <f>(C10+D10)-E10</f>
        <v>4099845</v>
      </c>
      <c r="G10" s="844">
        <v>20</v>
      </c>
      <c r="H10" s="2006">
        <v>2491700</v>
      </c>
      <c r="I10" s="2006">
        <v>108757</v>
      </c>
      <c r="J10" s="2006"/>
      <c r="K10" s="1783">
        <f>(H10+I10)-J10</f>
        <v>2600457</v>
      </c>
      <c r="L10" s="1783">
        <f>F10-K10</f>
        <v>1499388</v>
      </c>
    </row>
    <row r="11" spans="1:14" ht="13.5" thickTop="1" x14ac:dyDescent="0.2">
      <c r="A11" s="1646" t="s">
        <v>1198</v>
      </c>
      <c r="B11" s="1644">
        <v>250</v>
      </c>
      <c r="C11" s="782"/>
      <c r="D11" s="782"/>
      <c r="E11" s="782"/>
      <c r="F11" s="774"/>
      <c r="G11" s="844"/>
      <c r="H11" s="782"/>
      <c r="I11" s="782"/>
      <c r="J11" s="782"/>
      <c r="K11" s="774"/>
      <c r="L11" s="774"/>
    </row>
    <row r="12" spans="1:14" ht="13.5" thickBot="1" x14ac:dyDescent="0.25">
      <c r="A12" s="846" t="s">
        <v>1183</v>
      </c>
      <c r="B12" s="841">
        <v>251</v>
      </c>
      <c r="C12" s="2004">
        <v>1495355</v>
      </c>
      <c r="D12" s="2004">
        <v>195182</v>
      </c>
      <c r="E12" s="2004">
        <v>66580</v>
      </c>
      <c r="F12" s="1774">
        <f>(C12+D12)-E12</f>
        <v>1623957</v>
      </c>
      <c r="G12" s="844">
        <v>10</v>
      </c>
      <c r="H12" s="2007">
        <v>984049</v>
      </c>
      <c r="I12" s="2007">
        <v>104993</v>
      </c>
      <c r="J12" s="2007">
        <v>66580</v>
      </c>
      <c r="K12" s="1783">
        <f>(H12+I12)-J12</f>
        <v>1022462</v>
      </c>
      <c r="L12" s="1783">
        <f>F12-K12</f>
        <v>601495</v>
      </c>
    </row>
    <row r="13" spans="1:14" ht="14.25" thickTop="1" thickBot="1" x14ac:dyDescent="0.25">
      <c r="A13" s="846" t="s">
        <v>1184</v>
      </c>
      <c r="B13" s="841">
        <v>252</v>
      </c>
      <c r="C13" s="2004"/>
      <c r="D13" s="2004"/>
      <c r="E13" s="2004"/>
      <c r="F13" s="1774">
        <f>(C13+D13)-E13</f>
        <v>0</v>
      </c>
      <c r="G13" s="844">
        <v>5</v>
      </c>
      <c r="H13" s="2007"/>
      <c r="I13" s="2007"/>
      <c r="J13" s="2007"/>
      <c r="K13" s="1783">
        <f>(H13+I13)-J13</f>
        <v>0</v>
      </c>
      <c r="L13" s="1783">
        <f>F13-K13</f>
        <v>0</v>
      </c>
    </row>
    <row r="14" spans="1:14" ht="14.25" thickTop="1" thickBot="1" x14ac:dyDescent="0.25">
      <c r="A14" s="846" t="s">
        <v>1185</v>
      </c>
      <c r="B14" s="841">
        <v>253</v>
      </c>
      <c r="C14" s="2003"/>
      <c r="D14" s="2003"/>
      <c r="E14" s="2003"/>
      <c r="F14" s="1774">
        <f>(C14+D14)-E14</f>
        <v>0</v>
      </c>
      <c r="G14" s="844">
        <v>3</v>
      </c>
      <c r="H14" s="2007"/>
      <c r="I14" s="2007"/>
      <c r="J14" s="2007"/>
      <c r="K14" s="1783">
        <f>(H14+I14)-J14</f>
        <v>0</v>
      </c>
      <c r="L14" s="1783">
        <f>F14-K14</f>
        <v>0</v>
      </c>
    </row>
    <row r="15" spans="1:14" ht="15" customHeight="1" thickTop="1" thickBot="1" x14ac:dyDescent="0.25">
      <c r="A15" s="1645" t="s">
        <v>549</v>
      </c>
      <c r="B15" s="1644">
        <v>260</v>
      </c>
      <c r="C15" s="2004"/>
      <c r="D15" s="2004"/>
      <c r="E15" s="2004"/>
      <c r="F15" s="1774">
        <f>(C15+D15)-E15</f>
        <v>0</v>
      </c>
      <c r="G15" s="847" t="s">
        <v>917</v>
      </c>
      <c r="H15" s="782"/>
      <c r="I15" s="782"/>
      <c r="J15" s="782"/>
      <c r="K15" s="782"/>
      <c r="L15" s="1783">
        <f>F15-K15</f>
        <v>0</v>
      </c>
    </row>
    <row r="16" spans="1:14" ht="15" customHeight="1" thickTop="1" thickBot="1" x14ac:dyDescent="0.25">
      <c r="A16" s="1779" t="s">
        <v>664</v>
      </c>
      <c r="B16" s="1780">
        <v>200</v>
      </c>
      <c r="C16" s="1774">
        <f>SUM(C3,C5:C6,C8:C10,C12:C15)</f>
        <v>36887760</v>
      </c>
      <c r="D16" s="1774">
        <f>SUM(D3,D5:D6,D8:D10,D12:D15)</f>
        <v>811755</v>
      </c>
      <c r="E16" s="1774">
        <f>SUM(E3,E5:E6,E8:E10,E12:E15)</f>
        <v>66580</v>
      </c>
      <c r="F16" s="1774">
        <f>SUM(F3,F5:F6,F8:F10,F12:F15)</f>
        <v>37632935</v>
      </c>
      <c r="G16" s="844"/>
      <c r="H16" s="1774">
        <f>SUM(H3,H6,H8:H10,H12:H14,)</f>
        <v>14800456</v>
      </c>
      <c r="I16" s="1774">
        <f>SUM(I3,I6,I8:I10,I12:I14,)</f>
        <v>709471</v>
      </c>
      <c r="J16" s="1774">
        <f>SUM(J3,J6,J8:J10,J12:J14,)</f>
        <v>66580</v>
      </c>
      <c r="K16" s="1774">
        <f>(H16+I16)-J16</f>
        <v>15443347</v>
      </c>
      <c r="L16" s="1774">
        <f>F16-K16</f>
        <v>22189588</v>
      </c>
    </row>
    <row r="17" spans="1:12" ht="15" customHeight="1" thickTop="1" thickBot="1" x14ac:dyDescent="0.25">
      <c r="A17" s="1647" t="s">
        <v>309</v>
      </c>
      <c r="B17" s="1644">
        <v>700</v>
      </c>
      <c r="C17" s="770"/>
      <c r="D17" s="770"/>
      <c r="E17" s="770"/>
      <c r="F17" s="1774">
        <f>SUM('Expenditures 15-22'!I114,'Expenditures 15-22'!I151,'Expenditures 15-22'!I210,'Expenditures 15-22'!I312,'Expenditures 15-22'!I342,'Expenditures 15-22'!I367)</f>
        <v>1035477</v>
      </c>
      <c r="G17" s="838">
        <v>10</v>
      </c>
      <c r="H17" s="770"/>
      <c r="I17" s="1783">
        <f>F17/G17</f>
        <v>103547.7</v>
      </c>
      <c r="J17" s="770"/>
      <c r="K17" s="796"/>
      <c r="L17" s="796"/>
    </row>
    <row r="18" spans="1:12" ht="14.25" thickTop="1" thickBot="1" x14ac:dyDescent="0.25">
      <c r="A18" s="1781" t="s">
        <v>706</v>
      </c>
      <c r="B18" s="1782"/>
      <c r="C18" s="772"/>
      <c r="D18" s="772"/>
      <c r="E18" s="772"/>
      <c r="F18" s="848"/>
      <c r="G18" s="849"/>
      <c r="H18" s="774"/>
      <c r="I18" s="1774">
        <f>SUM(I16,I17)</f>
        <v>813018.7</v>
      </c>
      <c r="J18" s="774"/>
      <c r="K18" s="774"/>
      <c r="L18" s="774"/>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7"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H206"/>
  <sheetViews>
    <sheetView showGridLines="0" defaultGridColor="0" colorId="8" zoomScale="110" zoomScaleNormal="110" workbookViewId="0">
      <pane ySplit="5" topLeftCell="A136" activePane="bottomLeft" state="frozen"/>
      <selection pane="bottomLeft" activeCell="B189" sqref="B189"/>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335" t="s">
        <v>1699</v>
      </c>
      <c r="B1" s="2336"/>
      <c r="C1" s="2336"/>
      <c r="D1" s="2336"/>
      <c r="E1" s="2336"/>
      <c r="F1" s="2337"/>
      <c r="G1" s="853"/>
    </row>
    <row r="2" spans="1:7" ht="15" customHeight="1" thickBot="1" x14ac:dyDescent="0.25">
      <c r="A2" s="2338" t="s">
        <v>498</v>
      </c>
      <c r="B2" s="2339"/>
      <c r="C2" s="2339"/>
      <c r="D2" s="2339"/>
      <c r="E2" s="2339"/>
      <c r="F2" s="2340"/>
      <c r="G2" s="855"/>
    </row>
    <row r="3" spans="1:7" ht="5.25" customHeight="1" thickTop="1" x14ac:dyDescent="0.2">
      <c r="A3" s="856"/>
      <c r="B3" s="857"/>
      <c r="C3" s="858"/>
      <c r="D3" s="857"/>
      <c r="E3" s="858"/>
      <c r="F3" s="857"/>
      <c r="G3" s="857"/>
    </row>
    <row r="4" spans="1:7" ht="12.2" customHeight="1" x14ac:dyDescent="0.2">
      <c r="A4" s="859" t="s">
        <v>1137</v>
      </c>
      <c r="B4" s="860" t="s">
        <v>117</v>
      </c>
      <c r="D4" s="862" t="s">
        <v>532</v>
      </c>
      <c r="F4" s="860" t="s">
        <v>920</v>
      </c>
    </row>
    <row r="5" spans="1:7" ht="7.5" customHeight="1" x14ac:dyDescent="0.2">
      <c r="A5" s="2341"/>
      <c r="B5" s="2342"/>
      <c r="C5" s="2342"/>
      <c r="D5" s="2342"/>
      <c r="E5" s="2342"/>
      <c r="F5" s="2342"/>
    </row>
    <row r="6" spans="1:7" ht="13.5" customHeight="1" thickBot="1" x14ac:dyDescent="0.25">
      <c r="A6" s="2332" t="s">
        <v>1166</v>
      </c>
      <c r="B6" s="2333"/>
      <c r="C6" s="2333"/>
      <c r="D6" s="2333"/>
      <c r="E6" s="2333"/>
      <c r="F6" s="2334"/>
      <c r="G6" s="863"/>
    </row>
    <row r="7" spans="1:7" s="863" customFormat="1" ht="12" thickTop="1" x14ac:dyDescent="0.2">
      <c r="A7" s="864" t="s">
        <v>523</v>
      </c>
      <c r="B7" s="865"/>
      <c r="C7" s="866"/>
      <c r="D7" s="865"/>
      <c r="E7" s="866"/>
      <c r="F7" s="865"/>
    </row>
    <row r="8" spans="1:7" x14ac:dyDescent="0.2">
      <c r="A8" s="867" t="s">
        <v>479</v>
      </c>
      <c r="B8" s="868" t="s">
        <v>1544</v>
      </c>
      <c r="C8" s="869"/>
      <c r="D8" s="867" t="s">
        <v>522</v>
      </c>
      <c r="E8" s="866" t="s">
        <v>1015</v>
      </c>
      <c r="F8" s="1926">
        <f>'Expenditures 15-22'!K114</f>
        <v>25474220</v>
      </c>
      <c r="G8" s="863"/>
    </row>
    <row r="9" spans="1:7" x14ac:dyDescent="0.2">
      <c r="A9" s="867" t="s">
        <v>480</v>
      </c>
      <c r="B9" s="868" t="s">
        <v>1986</v>
      </c>
      <c r="C9" s="869"/>
      <c r="D9" s="867" t="s">
        <v>522</v>
      </c>
      <c r="E9" s="866"/>
      <c r="F9" s="1927">
        <f>'Expenditures 15-22'!K151</f>
        <v>4136679</v>
      </c>
      <c r="G9" s="870"/>
    </row>
    <row r="10" spans="1:7" x14ac:dyDescent="0.2">
      <c r="A10" s="867" t="s">
        <v>520</v>
      </c>
      <c r="B10" s="868" t="s">
        <v>1987</v>
      </c>
      <c r="C10" s="869"/>
      <c r="D10" s="867" t="s">
        <v>522</v>
      </c>
      <c r="E10" s="866"/>
      <c r="F10" s="1927">
        <f>'Expenditures 15-22'!K174</f>
        <v>3920813</v>
      </c>
      <c r="G10" s="870"/>
    </row>
    <row r="11" spans="1:7" x14ac:dyDescent="0.2">
      <c r="A11" s="867" t="s">
        <v>481</v>
      </c>
      <c r="B11" s="868" t="s">
        <v>1988</v>
      </c>
      <c r="C11" s="869"/>
      <c r="D11" s="867" t="s">
        <v>522</v>
      </c>
      <c r="E11" s="866"/>
      <c r="F11" s="1927">
        <f>'Expenditures 15-22'!K210</f>
        <v>1401758</v>
      </c>
      <c r="G11" s="870"/>
    </row>
    <row r="12" spans="1:7" x14ac:dyDescent="0.2">
      <c r="A12" s="867" t="s">
        <v>482</v>
      </c>
      <c r="B12" s="868" t="s">
        <v>1989</v>
      </c>
      <c r="C12" s="869"/>
      <c r="D12" s="867" t="s">
        <v>522</v>
      </c>
      <c r="E12" s="866"/>
      <c r="F12" s="1927">
        <f>'Expenditures 15-22'!K295</f>
        <v>845422</v>
      </c>
      <c r="G12" s="870"/>
    </row>
    <row r="13" spans="1:7" x14ac:dyDescent="0.2">
      <c r="A13" s="867" t="s">
        <v>108</v>
      </c>
      <c r="B13" s="868" t="s">
        <v>1990</v>
      </c>
      <c r="C13" s="869"/>
      <c r="D13" s="867" t="s">
        <v>522</v>
      </c>
      <c r="E13" s="866"/>
      <c r="F13" s="1927">
        <f>'Expenditures 15-22'!K342</f>
        <v>170789</v>
      </c>
      <c r="G13" s="871"/>
    </row>
    <row r="14" spans="1:7" ht="12" customHeight="1" thickBot="1" x14ac:dyDescent="0.25">
      <c r="A14" s="1784"/>
      <c r="B14" s="1785"/>
      <c r="C14" s="1786"/>
      <c r="D14" s="1787" t="s">
        <v>522</v>
      </c>
      <c r="E14" s="1788" t="s">
        <v>1015</v>
      </c>
      <c r="F14" s="1789">
        <f>SUM(F8:F13)</f>
        <v>35949681</v>
      </c>
      <c r="G14" s="863"/>
    </row>
    <row r="15" spans="1:7" ht="3.75" customHeight="1" thickTop="1" x14ac:dyDescent="0.2">
      <c r="A15" s="863"/>
      <c r="B15" s="863"/>
      <c r="C15" s="869"/>
      <c r="D15" s="863"/>
      <c r="E15" s="866"/>
      <c r="F15" s="863"/>
      <c r="G15" s="863"/>
    </row>
    <row r="16" spans="1:7" ht="12" customHeight="1" x14ac:dyDescent="0.2">
      <c r="A16" s="872" t="s">
        <v>533</v>
      </c>
      <c r="B16" s="231"/>
      <c r="C16" s="231"/>
      <c r="D16" s="865"/>
      <c r="E16" s="866"/>
      <c r="F16" s="865"/>
      <c r="G16" s="863"/>
    </row>
    <row r="17" spans="1:7" ht="4.5" customHeight="1" x14ac:dyDescent="0.2">
      <c r="A17" s="872"/>
      <c r="B17" s="231"/>
      <c r="C17" s="231"/>
      <c r="D17" s="865"/>
      <c r="E17" s="866"/>
      <c r="F17" s="865"/>
      <c r="G17" s="863"/>
    </row>
    <row r="18" spans="1:7" x14ac:dyDescent="0.2">
      <c r="A18" s="867" t="s">
        <v>481</v>
      </c>
      <c r="B18" s="868" t="s">
        <v>1068</v>
      </c>
      <c r="C18" s="873">
        <f>'Revenues 9-14'!B43</f>
        <v>1412</v>
      </c>
      <c r="D18" s="874" t="str">
        <f>'Revenues 9-14'!A43</f>
        <v>Regular - Transp Fees from Other Districts (In State)</v>
      </c>
      <c r="E18" s="866" t="s">
        <v>1015</v>
      </c>
      <c r="F18" s="1928">
        <f>'Revenues 9-14'!F43</f>
        <v>0</v>
      </c>
      <c r="G18" s="863"/>
    </row>
    <row r="19" spans="1:7" x14ac:dyDescent="0.2">
      <c r="A19" s="867" t="s">
        <v>481</v>
      </c>
      <c r="B19" s="868" t="s">
        <v>1069</v>
      </c>
      <c r="C19" s="875">
        <f>'Revenues 9-14'!B47</f>
        <v>1421</v>
      </c>
      <c r="D19" s="876" t="str">
        <f>'Revenues 9-14'!A47</f>
        <v>Summer Sch - Transp. Fees from Pupils or Parents (In State)</v>
      </c>
      <c r="E19" s="877"/>
      <c r="F19" s="1929">
        <f>'Revenues 9-14'!F47</f>
        <v>0</v>
      </c>
      <c r="G19" s="863"/>
    </row>
    <row r="20" spans="1:7" x14ac:dyDescent="0.2">
      <c r="A20" s="867" t="s">
        <v>481</v>
      </c>
      <c r="B20" s="868" t="s">
        <v>1070</v>
      </c>
      <c r="C20" s="873">
        <f>'Revenues 9-14'!B48</f>
        <v>1422</v>
      </c>
      <c r="D20" s="874" t="str">
        <f>'Revenues 9-14'!A48</f>
        <v>Summer Sch - Transp. Fees from Other Districts (In State)</v>
      </c>
      <c r="E20" s="866"/>
      <c r="F20" s="1930">
        <f>'Revenues 9-14'!F48</f>
        <v>0</v>
      </c>
      <c r="G20" s="863"/>
    </row>
    <row r="21" spans="1:7" x14ac:dyDescent="0.2">
      <c r="A21" s="867" t="s">
        <v>481</v>
      </c>
      <c r="B21" s="868" t="s">
        <v>1071</v>
      </c>
      <c r="C21" s="875">
        <f>'Revenues 9-14'!B49</f>
        <v>1423</v>
      </c>
      <c r="D21" s="874" t="str">
        <f>'Revenues 9-14'!A49</f>
        <v>Summer Sch - Transp. Fees from Other Sources (In State)</v>
      </c>
      <c r="E21" s="866"/>
      <c r="F21" s="1931">
        <f>'Revenues 9-14'!F49</f>
        <v>0</v>
      </c>
      <c r="G21" s="863"/>
    </row>
    <row r="22" spans="1:7" x14ac:dyDescent="0.2">
      <c r="A22" s="867" t="s">
        <v>481</v>
      </c>
      <c r="B22" s="868" t="s">
        <v>1072</v>
      </c>
      <c r="C22" s="875">
        <f>'Revenues 9-14'!B50</f>
        <v>1424</v>
      </c>
      <c r="D22" s="874" t="str">
        <f>'Revenues 9-14'!A50</f>
        <v>Summer Sch - Transp. Fees from Other Sources (Out of State)</v>
      </c>
      <c r="E22" s="866"/>
      <c r="F22" s="1931">
        <f>'Revenues 9-14'!F50</f>
        <v>0</v>
      </c>
      <c r="G22" s="863"/>
    </row>
    <row r="23" spans="1:7" x14ac:dyDescent="0.2">
      <c r="A23" s="867" t="s">
        <v>481</v>
      </c>
      <c r="B23" s="868" t="s">
        <v>1073</v>
      </c>
      <c r="C23" s="873">
        <f>'Revenues 9-14'!B52</f>
        <v>1432</v>
      </c>
      <c r="D23" s="874" t="str">
        <f>'Revenues 9-14'!A52</f>
        <v>CTE - Transp Fees from Other Districts (In State)</v>
      </c>
      <c r="E23" s="866"/>
      <c r="F23" s="1931">
        <f>'Revenues 9-14'!F52</f>
        <v>0</v>
      </c>
      <c r="G23" s="863"/>
    </row>
    <row r="24" spans="1:7" x14ac:dyDescent="0.2">
      <c r="A24" s="867" t="s">
        <v>481</v>
      </c>
      <c r="B24" s="868" t="s">
        <v>1074</v>
      </c>
      <c r="C24" s="873">
        <f>'Revenues 9-14'!B56</f>
        <v>1442</v>
      </c>
      <c r="D24" s="874" t="str">
        <f>'Revenues 9-14'!A56</f>
        <v>Special Ed - Transp Fees from Other Districts (In State)</v>
      </c>
      <c r="E24" s="866"/>
      <c r="F24" s="1931">
        <f>'Revenues 9-14'!F56</f>
        <v>0</v>
      </c>
      <c r="G24" s="863"/>
    </row>
    <row r="25" spans="1:7" x14ac:dyDescent="0.2">
      <c r="A25" s="867" t="s">
        <v>481</v>
      </c>
      <c r="B25" s="868" t="s">
        <v>1075</v>
      </c>
      <c r="C25" s="873">
        <f>'Revenues 9-14'!B59</f>
        <v>1451</v>
      </c>
      <c r="D25" s="874" t="str">
        <f>'Revenues 9-14'!A59</f>
        <v>Adult - Transp Fees from Pupils or Parents (In State)</v>
      </c>
      <c r="E25" s="866"/>
      <c r="F25" s="1931">
        <f>'Revenues 9-14'!F59</f>
        <v>0</v>
      </c>
      <c r="G25" s="863"/>
    </row>
    <row r="26" spans="1:7" x14ac:dyDescent="0.2">
      <c r="A26" s="867" t="s">
        <v>481</v>
      </c>
      <c r="B26" s="868" t="s">
        <v>1076</v>
      </c>
      <c r="C26" s="873">
        <f>'Revenues 9-14'!B60</f>
        <v>1452</v>
      </c>
      <c r="D26" s="874" t="str">
        <f>'Revenues 9-14'!A60</f>
        <v>Adult - Transp Fees from Other Districts (In State)</v>
      </c>
      <c r="E26" s="866"/>
      <c r="F26" s="1931">
        <f>'Revenues 9-14'!F60</f>
        <v>0</v>
      </c>
      <c r="G26" s="863"/>
    </row>
    <row r="27" spans="1:7" x14ac:dyDescent="0.2">
      <c r="A27" s="867" t="s">
        <v>481</v>
      </c>
      <c r="B27" s="868" t="s">
        <v>1077</v>
      </c>
      <c r="C27" s="873">
        <f>'Revenues 9-14'!B61</f>
        <v>1453</v>
      </c>
      <c r="D27" s="874" t="str">
        <f>'Revenues 9-14'!A61</f>
        <v>Adult - Transp Fees from Other Sources (In State)</v>
      </c>
      <c r="E27" s="866"/>
      <c r="F27" s="1931">
        <f>'Revenues 9-14'!F61</f>
        <v>0</v>
      </c>
      <c r="G27" s="863"/>
    </row>
    <row r="28" spans="1:7" x14ac:dyDescent="0.2">
      <c r="A28" s="867" t="s">
        <v>481</v>
      </c>
      <c r="B28" s="868" t="s">
        <v>1078</v>
      </c>
      <c r="C28" s="873">
        <f>'Revenues 9-14'!B62</f>
        <v>1454</v>
      </c>
      <c r="D28" s="874" t="str">
        <f>'Revenues 9-14'!A62</f>
        <v>Adult - Transp Fees from Other Sources (Out of State)</v>
      </c>
      <c r="E28" s="866"/>
      <c r="F28" s="1931">
        <f>'Revenues 9-14'!F62</f>
        <v>0</v>
      </c>
      <c r="G28" s="863"/>
    </row>
    <row r="29" spans="1:7" x14ac:dyDescent="0.2">
      <c r="A29" s="867" t="s">
        <v>1159</v>
      </c>
      <c r="B29" s="868" t="s">
        <v>1683</v>
      </c>
      <c r="C29" s="878">
        <f>'Revenues 9-14'!B148</f>
        <v>3410</v>
      </c>
      <c r="D29" s="879" t="str">
        <f>'Revenues 9-14'!A148</f>
        <v>Adult Ed (from ICCB)</v>
      </c>
      <c r="E29" s="866"/>
      <c r="F29" s="1931">
        <f>SUM('Revenues 9-14'!D148,F149)</f>
        <v>0</v>
      </c>
      <c r="G29" s="863"/>
    </row>
    <row r="30" spans="1:7" x14ac:dyDescent="0.2">
      <c r="A30" s="867" t="s">
        <v>1159</v>
      </c>
      <c r="B30" s="868" t="s">
        <v>861</v>
      </c>
      <c r="C30" s="878">
        <f>'Revenues 9-14'!B149</f>
        <v>3499</v>
      </c>
      <c r="D30" s="879" t="str">
        <f>'Revenues 9-14'!A149</f>
        <v>Adult Ed - Other (Describe &amp; Itemize)</v>
      </c>
      <c r="E30" s="866"/>
      <c r="F30" s="1932">
        <f>('Revenues 9-14'!D149+'Revenues 9-14'!F149)</f>
        <v>0</v>
      </c>
      <c r="G30" s="863"/>
    </row>
    <row r="31" spans="1:7" x14ac:dyDescent="0.2">
      <c r="A31" s="867" t="s">
        <v>1159</v>
      </c>
      <c r="B31" s="868" t="s">
        <v>862</v>
      </c>
      <c r="C31" s="873">
        <f>'Revenues 9-14'!B218</f>
        <v>4600</v>
      </c>
      <c r="D31" s="881" t="str">
        <f>'Revenues 9-14'!A218</f>
        <v>Fed - Spec Education - Preschool Flow-Through</v>
      </c>
      <c r="E31" s="882"/>
      <c r="F31" s="1931">
        <f>SUM('Revenues 9-14'!D218,'Revenues 9-14'!F218)</f>
        <v>0</v>
      </c>
      <c r="G31" s="863"/>
    </row>
    <row r="32" spans="1:7" x14ac:dyDescent="0.2">
      <c r="A32" s="867" t="s">
        <v>1159</v>
      </c>
      <c r="B32" s="868" t="s">
        <v>800</v>
      </c>
      <c r="C32" s="873">
        <f>'Revenues 9-14'!B219</f>
        <v>4605</v>
      </c>
      <c r="D32" s="883" t="str">
        <f>'Revenues 9-14'!A219</f>
        <v>Fed - Spec Education - Preschool Discretionary</v>
      </c>
      <c r="E32" s="882"/>
      <c r="F32" s="1931">
        <f>SUM('Revenues 9-14'!D219,'Revenues 9-14'!F219)</f>
        <v>0</v>
      </c>
      <c r="G32" s="863"/>
    </row>
    <row r="33" spans="1:7" x14ac:dyDescent="0.2">
      <c r="A33" s="867" t="s">
        <v>480</v>
      </c>
      <c r="B33" s="868" t="s">
        <v>801</v>
      </c>
      <c r="C33" s="873">
        <f>'Revenues 9-14'!B229</f>
        <v>4810</v>
      </c>
      <c r="D33" s="881" t="str">
        <f>'Revenues 9-14'!A229</f>
        <v>Federal - Adult Education</v>
      </c>
      <c r="E33" s="866"/>
      <c r="F33" s="1931">
        <f>'Revenues 9-14'!D229</f>
        <v>0</v>
      </c>
      <c r="G33" s="863"/>
    </row>
    <row r="34" spans="1:7" x14ac:dyDescent="0.2">
      <c r="A34" s="867" t="s">
        <v>479</v>
      </c>
      <c r="B34" s="867" t="s">
        <v>1545</v>
      </c>
      <c r="C34" s="884" t="str">
        <f>'Expenditures 15-22'!B7</f>
        <v>1125</v>
      </c>
      <c r="D34" s="885" t="str">
        <f>'Expenditures 15-22'!A7</f>
        <v>Pre-K Programs</v>
      </c>
      <c r="E34" s="866"/>
      <c r="F34" s="1931">
        <f>'Expenditures 15-22'!K7-SUM('Expenditures 15-22'!G7,'Expenditures 15-22'!I7)</f>
        <v>0</v>
      </c>
      <c r="G34" s="863"/>
    </row>
    <row r="35" spans="1:7" x14ac:dyDescent="0.2">
      <c r="A35" s="867" t="s">
        <v>479</v>
      </c>
      <c r="B35" s="867" t="s">
        <v>1546</v>
      </c>
      <c r="C35" s="884" t="str">
        <f>'Expenditures 15-22'!B9</f>
        <v>1225</v>
      </c>
      <c r="D35" s="885" t="str">
        <f>'Expenditures 15-22'!A9</f>
        <v>Special Education Programs Pre-K</v>
      </c>
      <c r="E35" s="866"/>
      <c r="F35" s="1931">
        <f>'Expenditures 15-22'!K9-SUM('Expenditures 15-22'!G9+'Expenditures 15-22'!I9)</f>
        <v>0</v>
      </c>
      <c r="G35" s="863"/>
    </row>
    <row r="36" spans="1:7" x14ac:dyDescent="0.2">
      <c r="A36" s="867" t="s">
        <v>479</v>
      </c>
      <c r="B36" s="867" t="s">
        <v>118</v>
      </c>
      <c r="C36" s="884" t="str">
        <f>'Expenditures 15-22'!B11</f>
        <v>1275</v>
      </c>
      <c r="D36" s="885" t="str">
        <f>'Expenditures 15-22'!A11</f>
        <v>Remedial and Supplemental Programs Pre-K</v>
      </c>
      <c r="E36" s="866"/>
      <c r="F36" s="1931">
        <f>'Expenditures 15-22'!K11-SUM('Expenditures 15-22'!G11,'Expenditures 15-22'!I11)</f>
        <v>0</v>
      </c>
      <c r="G36" s="863"/>
    </row>
    <row r="37" spans="1:7" x14ac:dyDescent="0.2">
      <c r="A37" s="867" t="s">
        <v>479</v>
      </c>
      <c r="B37" s="867" t="s">
        <v>1547</v>
      </c>
      <c r="C37" s="884">
        <f>'Expenditures 15-22'!B12</f>
        <v>1300</v>
      </c>
      <c r="D37" s="886" t="str">
        <f>'Expenditures 15-22'!A12</f>
        <v>Adult/Continuing Education Programs</v>
      </c>
      <c r="E37" s="866"/>
      <c r="F37" s="1931">
        <f>'Expenditures 15-22'!K12-SUM('Expenditures 15-22'!G12+'Expenditures 15-22'!I12)</f>
        <v>0</v>
      </c>
      <c r="G37" s="863"/>
    </row>
    <row r="38" spans="1:7" x14ac:dyDescent="0.2">
      <c r="A38" s="867" t="s">
        <v>479</v>
      </c>
      <c r="B38" s="867" t="s">
        <v>1548</v>
      </c>
      <c r="C38" s="884">
        <f>'Expenditures 15-22'!B15</f>
        <v>1600</v>
      </c>
      <c r="D38" s="886" t="str">
        <f>'Expenditures 15-22'!A15</f>
        <v>Summer School Programs</v>
      </c>
      <c r="E38" s="866"/>
      <c r="F38" s="1931">
        <f>'Expenditures 15-22'!K15-SUM('Expenditures 15-22'!G15,'Expenditures 15-22'!I15)</f>
        <v>45599</v>
      </c>
      <c r="G38" s="863"/>
    </row>
    <row r="39" spans="1:7" x14ac:dyDescent="0.2">
      <c r="A39" s="867" t="s">
        <v>479</v>
      </c>
      <c r="B39" s="867" t="s">
        <v>119</v>
      </c>
      <c r="C39" s="884" t="str">
        <f>'Expenditures 15-22'!B20</f>
        <v>1910</v>
      </c>
      <c r="D39" s="886" t="str">
        <f>'Expenditures 15-22'!A20</f>
        <v>Pre-K Programs - Private Tuition</v>
      </c>
      <c r="E39" s="866"/>
      <c r="F39" s="1931">
        <f>'Expenditures 15-22'!K20</f>
        <v>0</v>
      </c>
      <c r="G39" s="863"/>
    </row>
    <row r="40" spans="1:7" x14ac:dyDescent="0.2">
      <c r="A40" s="867" t="s">
        <v>479</v>
      </c>
      <c r="B40" s="867" t="s">
        <v>120</v>
      </c>
      <c r="C40" s="884" t="str">
        <f>'Expenditures 15-22'!B21</f>
        <v>1911</v>
      </c>
      <c r="D40" s="886" t="str">
        <f>'Expenditures 15-22'!A21</f>
        <v>Regular K-12 Programs - Private Tuition</v>
      </c>
      <c r="E40" s="866"/>
      <c r="F40" s="1931">
        <f>'Expenditures 15-22'!K21</f>
        <v>9606</v>
      </c>
      <c r="G40" s="863"/>
    </row>
    <row r="41" spans="1:7" x14ac:dyDescent="0.2">
      <c r="A41" s="867" t="s">
        <v>479</v>
      </c>
      <c r="B41" s="867" t="s">
        <v>121</v>
      </c>
      <c r="C41" s="884" t="str">
        <f>'Expenditures 15-22'!B22</f>
        <v>1912</v>
      </c>
      <c r="D41" s="886" t="str">
        <f>'Expenditures 15-22'!A22</f>
        <v>Special Education Programs K-12 - Private Tuition</v>
      </c>
      <c r="E41" s="866"/>
      <c r="F41" s="1931">
        <f>'Expenditures 15-22'!K22</f>
        <v>1554592</v>
      </c>
      <c r="G41" s="863"/>
    </row>
    <row r="42" spans="1:7" x14ac:dyDescent="0.2">
      <c r="A42" s="867" t="s">
        <v>479</v>
      </c>
      <c r="B42" s="867" t="s">
        <v>122</v>
      </c>
      <c r="C42" s="887" t="str">
        <f>'Expenditures 15-22'!B23</f>
        <v>1913</v>
      </c>
      <c r="D42" s="886" t="str">
        <f>'Expenditures 15-22'!A23</f>
        <v>Special Education Programs Pre-K - Tuition</v>
      </c>
      <c r="E42" s="866"/>
      <c r="F42" s="1931">
        <f>'Expenditures 15-22'!K23</f>
        <v>0</v>
      </c>
      <c r="G42" s="863"/>
    </row>
    <row r="43" spans="1:7" x14ac:dyDescent="0.2">
      <c r="A43" s="867" t="s">
        <v>479</v>
      </c>
      <c r="B43" s="867" t="s">
        <v>123</v>
      </c>
      <c r="C43" s="884" t="str">
        <f>'Expenditures 15-22'!B24</f>
        <v>1914</v>
      </c>
      <c r="D43" s="886" t="str">
        <f>'Expenditures 15-22'!A24</f>
        <v>Remedial/Supplemental Programs K-12 - Private Tuition</v>
      </c>
      <c r="E43" s="866"/>
      <c r="F43" s="1931">
        <f>'Expenditures 15-22'!K24</f>
        <v>0</v>
      </c>
      <c r="G43" s="863"/>
    </row>
    <row r="44" spans="1:7" x14ac:dyDescent="0.2">
      <c r="A44" s="867" t="s">
        <v>479</v>
      </c>
      <c r="B44" s="867" t="s">
        <v>124</v>
      </c>
      <c r="C44" s="887" t="str">
        <f>'Expenditures 15-22'!B25</f>
        <v>1915</v>
      </c>
      <c r="D44" s="886" t="str">
        <f>'Expenditures 15-22'!A25</f>
        <v>Remedial/Supplemental Programs Pre-K - Private Tuition</v>
      </c>
      <c r="E44" s="866"/>
      <c r="F44" s="1931">
        <f>'Expenditures 15-22'!K25</f>
        <v>0</v>
      </c>
      <c r="G44" s="863"/>
    </row>
    <row r="45" spans="1:7" x14ac:dyDescent="0.2">
      <c r="A45" s="867" t="s">
        <v>479</v>
      </c>
      <c r="B45" s="867" t="s">
        <v>125</v>
      </c>
      <c r="C45" s="887" t="str">
        <f>'Expenditures 15-22'!B26</f>
        <v>1916</v>
      </c>
      <c r="D45" s="886" t="str">
        <f>'Expenditures 15-22'!A26</f>
        <v>Adult/Continuing Education Programs - Private Tuition</v>
      </c>
      <c r="E45" s="866"/>
      <c r="F45" s="1931">
        <f>'Expenditures 15-22'!K26</f>
        <v>0</v>
      </c>
      <c r="G45" s="863"/>
    </row>
    <row r="46" spans="1:7" x14ac:dyDescent="0.2">
      <c r="A46" s="867" t="s">
        <v>479</v>
      </c>
      <c r="B46" s="867" t="s">
        <v>126</v>
      </c>
      <c r="C46" s="884" t="str">
        <f>'Expenditures 15-22'!B27</f>
        <v>1917</v>
      </c>
      <c r="D46" s="886" t="str">
        <f>'Expenditures 15-22'!A27</f>
        <v>CTE Programs - Private Tuition</v>
      </c>
      <c r="E46" s="866"/>
      <c r="F46" s="1931">
        <f>'Expenditures 15-22'!K27</f>
        <v>0</v>
      </c>
      <c r="G46" s="863"/>
    </row>
    <row r="47" spans="1:7" x14ac:dyDescent="0.2">
      <c r="A47" s="867" t="s">
        <v>479</v>
      </c>
      <c r="B47" s="867" t="s">
        <v>127</v>
      </c>
      <c r="C47" s="888" t="str">
        <f>'Expenditures 15-22'!B28</f>
        <v>1918</v>
      </c>
      <c r="D47" s="889" t="str">
        <f>'Expenditures 15-22'!A28</f>
        <v>Interscholastic Programs - Private Tuition</v>
      </c>
      <c r="E47" s="866"/>
      <c r="F47" s="1931">
        <f>'Expenditures 15-22'!K28</f>
        <v>0</v>
      </c>
      <c r="G47" s="863"/>
    </row>
    <row r="48" spans="1:7" x14ac:dyDescent="0.2">
      <c r="A48" s="867" t="s">
        <v>479</v>
      </c>
      <c r="B48" s="867" t="s">
        <v>128</v>
      </c>
      <c r="C48" s="887" t="str">
        <f>'Expenditures 15-22'!B29</f>
        <v>1919</v>
      </c>
      <c r="D48" s="886" t="str">
        <f>'Expenditures 15-22'!A29</f>
        <v>Summer School Programs - Private Tuition</v>
      </c>
      <c r="E48" s="866"/>
      <c r="F48" s="1931">
        <f>'Expenditures 15-22'!K29</f>
        <v>0</v>
      </c>
      <c r="G48" s="863"/>
    </row>
    <row r="49" spans="1:7" x14ac:dyDescent="0.2">
      <c r="A49" s="867" t="s">
        <v>479</v>
      </c>
      <c r="B49" s="867" t="s">
        <v>129</v>
      </c>
      <c r="C49" s="884" t="str">
        <f>'Expenditures 15-22'!B30</f>
        <v>1920</v>
      </c>
      <c r="D49" s="886" t="str">
        <f>'Expenditures 15-22'!A30</f>
        <v>Gifted Programs - Private Tuition</v>
      </c>
      <c r="E49" s="866"/>
      <c r="F49" s="1931">
        <f>'Expenditures 15-22'!K30</f>
        <v>0</v>
      </c>
      <c r="G49" s="863"/>
    </row>
    <row r="50" spans="1:7" x14ac:dyDescent="0.2">
      <c r="A50" s="867" t="s">
        <v>479</v>
      </c>
      <c r="B50" s="867" t="s">
        <v>130</v>
      </c>
      <c r="C50" s="884" t="str">
        <f>'Expenditures 15-22'!B31</f>
        <v>1921</v>
      </c>
      <c r="D50" s="886" t="str">
        <f>'Expenditures 15-22'!A31</f>
        <v>Bilingual Programs - Private Tuition</v>
      </c>
      <c r="E50" s="866"/>
      <c r="F50" s="1931">
        <f>'Expenditures 15-22'!K31</f>
        <v>0</v>
      </c>
      <c r="G50" s="863"/>
    </row>
    <row r="51" spans="1:7" x14ac:dyDescent="0.2">
      <c r="A51" s="867" t="s">
        <v>479</v>
      </c>
      <c r="B51" s="867" t="s">
        <v>1549</v>
      </c>
      <c r="C51" s="884" t="str">
        <f>'Expenditures 15-22'!B32</f>
        <v>1922</v>
      </c>
      <c r="D51" s="886" t="str">
        <f>'Expenditures 15-22'!A32</f>
        <v>Truants Alternative/Optional Ed Progms - Private Tuition</v>
      </c>
      <c r="E51" s="866"/>
      <c r="F51" s="1931">
        <f>'Expenditures 15-22'!K32</f>
        <v>0</v>
      </c>
      <c r="G51" s="863"/>
    </row>
    <row r="52" spans="1:7" x14ac:dyDescent="0.2">
      <c r="A52" s="867" t="s">
        <v>479</v>
      </c>
      <c r="B52" s="867" t="s">
        <v>1550</v>
      </c>
      <c r="C52" s="887" t="str">
        <f>'Expenditures 15-22'!B75</f>
        <v>3000</v>
      </c>
      <c r="D52" s="886" t="s">
        <v>469</v>
      </c>
      <c r="E52" s="866"/>
      <c r="F52" s="1931">
        <f>'Expenditures 15-22'!K75-SUM('Expenditures 15-22'!G75,'Expenditures 15-22'!I75)</f>
        <v>179797</v>
      </c>
      <c r="G52" s="863"/>
    </row>
    <row r="53" spans="1:7" x14ac:dyDescent="0.2">
      <c r="A53" s="867" t="s">
        <v>479</v>
      </c>
      <c r="B53" s="867" t="s">
        <v>1551</v>
      </c>
      <c r="C53" s="887">
        <f>'Expenditures 15-22'!B102</f>
        <v>4000</v>
      </c>
      <c r="D53" s="886" t="str">
        <f>'Expenditures 15-22'!A102</f>
        <v>Total Payments to Other Govt Units</v>
      </c>
      <c r="E53" s="866"/>
      <c r="F53" s="1931">
        <f>'Expenditures 15-22'!K102</f>
        <v>573261</v>
      </c>
      <c r="G53" s="863"/>
    </row>
    <row r="54" spans="1:7" x14ac:dyDescent="0.2">
      <c r="A54" s="867" t="s">
        <v>479</v>
      </c>
      <c r="B54" s="867" t="s">
        <v>1552</v>
      </c>
      <c r="C54" s="887" t="s">
        <v>1039</v>
      </c>
      <c r="D54" s="883" t="s">
        <v>1157</v>
      </c>
      <c r="E54" s="866"/>
      <c r="F54" s="1931">
        <f>'Expenditures 15-22'!G114</f>
        <v>39957</v>
      </c>
      <c r="G54" s="863"/>
    </row>
    <row r="55" spans="1:7" x14ac:dyDescent="0.2">
      <c r="A55" s="867" t="s">
        <v>479</v>
      </c>
      <c r="B55" s="867" t="s">
        <v>1553</v>
      </c>
      <c r="C55" s="887" t="s">
        <v>1039</v>
      </c>
      <c r="D55" s="883" t="s">
        <v>309</v>
      </c>
      <c r="E55" s="866"/>
      <c r="F55" s="1931">
        <f>'Expenditures 15-22'!I114</f>
        <v>765975</v>
      </c>
      <c r="G55" s="863"/>
    </row>
    <row r="56" spans="1:7" x14ac:dyDescent="0.2">
      <c r="A56" s="867" t="s">
        <v>480</v>
      </c>
      <c r="B56" s="867" t="s">
        <v>1554</v>
      </c>
      <c r="C56" s="884" t="str">
        <f>'Expenditures 15-22'!B130</f>
        <v>3000</v>
      </c>
      <c r="D56" s="890" t="s">
        <v>469</v>
      </c>
      <c r="E56" s="866"/>
      <c r="F56" s="1931">
        <f>'Expenditures 15-22'!K130-SUM('Expenditures 15-22'!G130+'Expenditures 15-22'!I130)</f>
        <v>0</v>
      </c>
      <c r="G56" s="863"/>
    </row>
    <row r="57" spans="1:7" x14ac:dyDescent="0.2">
      <c r="A57" s="867" t="s">
        <v>480</v>
      </c>
      <c r="B57" s="867" t="s">
        <v>1991</v>
      </c>
      <c r="C57" s="887">
        <f>'Expenditures 15-22'!B139</f>
        <v>4000</v>
      </c>
      <c r="D57" s="885" t="str">
        <f>'Expenditures 15-22'!A139</f>
        <v>Total Payments to Other Govt Units</v>
      </c>
      <c r="E57" s="866"/>
      <c r="F57" s="1931">
        <f>'Expenditures 15-22'!K139</f>
        <v>0</v>
      </c>
      <c r="G57" s="863"/>
    </row>
    <row r="58" spans="1:7" x14ac:dyDescent="0.2">
      <c r="A58" s="867" t="s">
        <v>480</v>
      </c>
      <c r="B58" s="867" t="s">
        <v>1992</v>
      </c>
      <c r="C58" s="884" t="s">
        <v>1039</v>
      </c>
      <c r="D58" s="883" t="s">
        <v>1157</v>
      </c>
      <c r="E58" s="866"/>
      <c r="F58" s="1933">
        <f>'Expenditures 15-22'!G151</f>
        <v>771798</v>
      </c>
      <c r="G58" s="863"/>
    </row>
    <row r="59" spans="1:7" x14ac:dyDescent="0.2">
      <c r="A59" s="891" t="s">
        <v>480</v>
      </c>
      <c r="B59" s="854" t="s">
        <v>1993</v>
      </c>
      <c r="C59" s="892" t="s">
        <v>1039</v>
      </c>
      <c r="D59" s="854" t="s">
        <v>309</v>
      </c>
      <c r="F59" s="1934">
        <f>'Expenditures 15-22'!I151</f>
        <v>269502</v>
      </c>
      <c r="G59" s="863"/>
    </row>
    <row r="60" spans="1:7" x14ac:dyDescent="0.2">
      <c r="A60" s="891" t="s">
        <v>520</v>
      </c>
      <c r="B60" s="854" t="s">
        <v>1994</v>
      </c>
      <c r="C60" s="892">
        <v>4000</v>
      </c>
      <c r="D60" s="854" t="s">
        <v>330</v>
      </c>
      <c r="F60" s="1932">
        <f>'Expenditures 15-22'!K160</f>
        <v>0</v>
      </c>
      <c r="G60" s="863"/>
    </row>
    <row r="61" spans="1:7" x14ac:dyDescent="0.2">
      <c r="A61" s="893" t="s">
        <v>520</v>
      </c>
      <c r="B61" s="893" t="s">
        <v>1995</v>
      </c>
      <c r="C61" s="894" t="str">
        <f>'Expenditures 15-22'!B170</f>
        <v>5300</v>
      </c>
      <c r="D61" s="895" t="s">
        <v>329</v>
      </c>
      <c r="E61" s="877"/>
      <c r="F61" s="1931">
        <f>'Expenditures 15-22'!K170</f>
        <v>3635000</v>
      </c>
      <c r="G61" s="863"/>
    </row>
    <row r="62" spans="1:7" x14ac:dyDescent="0.2">
      <c r="A62" s="867" t="s">
        <v>481</v>
      </c>
      <c r="B62" s="867" t="s">
        <v>1996</v>
      </c>
      <c r="C62" s="884">
        <f>'Expenditures 15-22'!B185</f>
        <v>3000</v>
      </c>
      <c r="D62" s="874" t="s">
        <v>469</v>
      </c>
      <c r="E62" s="866"/>
      <c r="F62" s="1931">
        <f>'Expenditures 15-22'!K185-SUM('Expenditures 15-22'!G185,'Expenditures 15-22'!I185)</f>
        <v>0</v>
      </c>
      <c r="G62" s="863"/>
    </row>
    <row r="63" spans="1:7" x14ac:dyDescent="0.2">
      <c r="A63" s="867" t="s">
        <v>481</v>
      </c>
      <c r="B63" s="867" t="s">
        <v>1997</v>
      </c>
      <c r="C63" s="884" t="str">
        <f>'Expenditures 15-22'!B196</f>
        <v>4000</v>
      </c>
      <c r="D63" s="885" t="str">
        <f>'Expenditures 15-22'!A196</f>
        <v>Total Payments to Other Govt Units</v>
      </c>
      <c r="E63" s="866"/>
      <c r="F63" s="1931">
        <f>'Expenditures 15-22'!K196</f>
        <v>0</v>
      </c>
      <c r="G63" s="863"/>
    </row>
    <row r="64" spans="1:7" x14ac:dyDescent="0.2">
      <c r="A64" s="893" t="s">
        <v>481</v>
      </c>
      <c r="B64" s="893" t="s">
        <v>1998</v>
      </c>
      <c r="C64" s="894" t="str">
        <f>'Expenditures 15-22'!B206</f>
        <v>5300</v>
      </c>
      <c r="D64" s="890" t="s">
        <v>329</v>
      </c>
      <c r="E64" s="866"/>
      <c r="F64" s="1931">
        <f>'Expenditures 15-22'!K206</f>
        <v>0</v>
      </c>
      <c r="G64" s="863"/>
    </row>
    <row r="65" spans="1:8" x14ac:dyDescent="0.2">
      <c r="A65" s="867" t="s">
        <v>481</v>
      </c>
      <c r="B65" s="867" t="s">
        <v>1999</v>
      </c>
      <c r="C65" s="884" t="s">
        <v>1039</v>
      </c>
      <c r="D65" s="883" t="s">
        <v>1157</v>
      </c>
      <c r="E65" s="866"/>
      <c r="F65" s="1931">
        <f>'Expenditures 15-22'!G210</f>
        <v>0</v>
      </c>
      <c r="G65" s="863"/>
    </row>
    <row r="66" spans="1:8" x14ac:dyDescent="0.2">
      <c r="A66" s="867" t="s">
        <v>481</v>
      </c>
      <c r="B66" s="867" t="s">
        <v>2000</v>
      </c>
      <c r="C66" s="884" t="s">
        <v>1039</v>
      </c>
      <c r="D66" s="883" t="s">
        <v>309</v>
      </c>
      <c r="E66" s="866"/>
      <c r="F66" s="1931">
        <f>'Expenditures 15-22'!I210</f>
        <v>0</v>
      </c>
      <c r="G66" s="863"/>
    </row>
    <row r="67" spans="1:8" x14ac:dyDescent="0.2">
      <c r="A67" s="867" t="s">
        <v>482</v>
      </c>
      <c r="B67" s="867" t="s">
        <v>2001</v>
      </c>
      <c r="C67" s="884" t="str">
        <f>'Expenditures 15-22'!B216</f>
        <v>1125</v>
      </c>
      <c r="D67" s="890" t="str">
        <f>'Expenditures 15-22'!A216</f>
        <v>Pre-K Programs</v>
      </c>
      <c r="E67" s="866"/>
      <c r="F67" s="1931">
        <f>'Expenditures 15-22'!K216</f>
        <v>0</v>
      </c>
      <c r="G67" s="863"/>
    </row>
    <row r="68" spans="1:8" x14ac:dyDescent="0.2">
      <c r="A68" s="867" t="s">
        <v>482</v>
      </c>
      <c r="B68" s="867" t="s">
        <v>1555</v>
      </c>
      <c r="C68" s="884" t="str">
        <f>'Expenditures 15-22'!B218</f>
        <v>1225</v>
      </c>
      <c r="D68" s="890" t="str">
        <f>'Expenditures 15-22'!A218</f>
        <v>Special Education Programs - Pre-K</v>
      </c>
      <c r="E68" s="866"/>
      <c r="F68" s="1931">
        <f>'Expenditures 15-22'!K218</f>
        <v>0</v>
      </c>
      <c r="G68" s="863"/>
    </row>
    <row r="69" spans="1:8" x14ac:dyDescent="0.2">
      <c r="A69" s="867" t="s">
        <v>482</v>
      </c>
      <c r="B69" s="867" t="s">
        <v>2002</v>
      </c>
      <c r="C69" s="884" t="str">
        <f>'Expenditures 15-22'!B220</f>
        <v>1275</v>
      </c>
      <c r="D69" s="890" t="str">
        <f>'Expenditures 15-22'!A220</f>
        <v>Remedial and Supplemental Programs - Pre-K</v>
      </c>
      <c r="E69" s="866"/>
      <c r="F69" s="1931">
        <f>'Expenditures 15-22'!K220</f>
        <v>0</v>
      </c>
      <c r="G69" s="863"/>
    </row>
    <row r="70" spans="1:8" x14ac:dyDescent="0.2">
      <c r="A70" s="867" t="s">
        <v>482</v>
      </c>
      <c r="B70" s="867" t="s">
        <v>2003</v>
      </c>
      <c r="C70" s="884">
        <f>'Expenditures 15-22'!B221</f>
        <v>1300</v>
      </c>
      <c r="D70" s="885" t="str">
        <f>'Expenditures 15-22'!A221</f>
        <v>Adult/Continuing Education Programs</v>
      </c>
      <c r="E70" s="866"/>
      <c r="F70" s="1931">
        <f>'Expenditures 15-22'!K221</f>
        <v>0</v>
      </c>
      <c r="G70" s="863"/>
    </row>
    <row r="71" spans="1:8" x14ac:dyDescent="0.2">
      <c r="A71" s="867" t="s">
        <v>482</v>
      </c>
      <c r="B71" s="867" t="s">
        <v>2004</v>
      </c>
      <c r="C71" s="884">
        <f>'Expenditures 15-22'!B224</f>
        <v>1600</v>
      </c>
      <c r="D71" s="885" t="str">
        <f>'Expenditures 15-22'!A224</f>
        <v>Summer School Programs</v>
      </c>
      <c r="E71" s="866"/>
      <c r="F71" s="1931">
        <f>'Expenditures 15-22'!K224</f>
        <v>1635</v>
      </c>
      <c r="G71" s="863"/>
    </row>
    <row r="72" spans="1:8" x14ac:dyDescent="0.2">
      <c r="A72" s="867" t="s">
        <v>482</v>
      </c>
      <c r="B72" s="867" t="s">
        <v>2005</v>
      </c>
      <c r="C72" s="884">
        <f>'Expenditures 15-22'!B280</f>
        <v>3000</v>
      </c>
      <c r="D72" s="874" t="s">
        <v>469</v>
      </c>
      <c r="E72" s="866"/>
      <c r="F72" s="1931">
        <f>'Expenditures 15-22'!K280</f>
        <v>8302</v>
      </c>
      <c r="G72" s="863"/>
    </row>
    <row r="73" spans="1:8" x14ac:dyDescent="0.2">
      <c r="A73" s="867" t="s">
        <v>482</v>
      </c>
      <c r="B73" s="867" t="s">
        <v>2006</v>
      </c>
      <c r="C73" s="884" t="str">
        <f>'Expenditures 15-22'!B285</f>
        <v>4000</v>
      </c>
      <c r="D73" s="885" t="str">
        <f>'Expenditures 15-22'!A285</f>
        <v>Total Payments to Other Govt Units</v>
      </c>
      <c r="E73" s="866"/>
      <c r="F73" s="1931">
        <f>'Expenditures 15-22'!K285</f>
        <v>0</v>
      </c>
      <c r="G73" s="863"/>
    </row>
    <row r="74" spans="1:8" x14ac:dyDescent="0.2">
      <c r="A74" s="867" t="s">
        <v>456</v>
      </c>
      <c r="B74" s="867" t="s">
        <v>2007</v>
      </c>
      <c r="C74" s="884" t="s">
        <v>915</v>
      </c>
      <c r="D74" s="885" t="s">
        <v>1567</v>
      </c>
      <c r="E74" s="866"/>
      <c r="F74" s="1935">
        <f>'Expenditures 15-22'!K334</f>
        <v>0</v>
      </c>
      <c r="G74" s="863"/>
    </row>
    <row r="75" spans="1:8" ht="5.25" customHeight="1" x14ac:dyDescent="0.2">
      <c r="A75" s="863"/>
      <c r="B75" s="873"/>
      <c r="C75" s="873"/>
      <c r="D75" s="863"/>
      <c r="E75" s="866"/>
      <c r="F75" s="880"/>
      <c r="G75" s="865"/>
    </row>
    <row r="76" spans="1:8" ht="12" thickBot="1" x14ac:dyDescent="0.25">
      <c r="A76" s="1784"/>
      <c r="B76" s="1790"/>
      <c r="C76" s="1786"/>
      <c r="D76" s="1791" t="s">
        <v>2008</v>
      </c>
      <c r="E76" s="1788" t="s">
        <v>1015</v>
      </c>
      <c r="F76" s="1792">
        <f>SUM(F18:F74)</f>
        <v>7855024</v>
      </c>
      <c r="G76" s="863"/>
    </row>
    <row r="77" spans="1:8" s="891" customFormat="1" ht="12" customHeight="1" thickTop="1" thickBot="1" x14ac:dyDescent="0.25">
      <c r="A77" s="1793"/>
      <c r="B77" s="1790"/>
      <c r="C77" s="1786"/>
      <c r="D77" s="1791" t="s">
        <v>2009</v>
      </c>
      <c r="E77" s="1788"/>
      <c r="F77" s="1794">
        <f>(F14-F76)</f>
        <v>28094657</v>
      </c>
      <c r="G77" s="867"/>
    </row>
    <row r="78" spans="1:8" s="891" customFormat="1" ht="12" customHeight="1" thickTop="1" x14ac:dyDescent="0.2">
      <c r="A78" s="1795"/>
      <c r="B78" s="1790"/>
      <c r="C78" s="1786"/>
      <c r="D78" s="1791" t="s">
        <v>2056</v>
      </c>
      <c r="E78" s="1788"/>
      <c r="F78" s="896">
        <v>1925.01</v>
      </c>
      <c r="G78" s="897"/>
      <c r="H78" s="867"/>
    </row>
    <row r="79" spans="1:8" s="891" customFormat="1" ht="12" customHeight="1" thickBot="1" x14ac:dyDescent="0.25">
      <c r="A79" s="1796"/>
      <c r="B79" s="1790"/>
      <c r="C79" s="1786"/>
      <c r="D79" s="1791" t="s">
        <v>2010</v>
      </c>
      <c r="E79" s="1788" t="s">
        <v>1015</v>
      </c>
      <c r="F79" s="1797">
        <f>IF(F78&gt;0,F77/F78," Complete Line 78")</f>
        <v>14594.551197136638</v>
      </c>
      <c r="G79" s="867"/>
    </row>
    <row r="80" spans="1:8" s="891" customFormat="1" ht="8.25" customHeight="1" thickTop="1" x14ac:dyDescent="0.2">
      <c r="A80" s="898"/>
      <c r="B80" s="867"/>
      <c r="C80" s="869"/>
      <c r="D80" s="899"/>
      <c r="E80" s="866"/>
      <c r="F80" s="900"/>
      <c r="G80" s="867"/>
    </row>
    <row r="81" spans="1:7" s="891" customFormat="1" ht="12" thickBot="1" x14ac:dyDescent="0.25">
      <c r="A81" s="2332" t="s">
        <v>1167</v>
      </c>
      <c r="B81" s="2333"/>
      <c r="C81" s="2333"/>
      <c r="D81" s="2333"/>
      <c r="E81" s="2333"/>
      <c r="F81" s="2334"/>
      <c r="G81" s="867"/>
    </row>
    <row r="82" spans="1:7" s="891" customFormat="1" ht="5.25" customHeight="1" thickTop="1" x14ac:dyDescent="0.2">
      <c r="A82" s="867"/>
      <c r="B82" s="867"/>
      <c r="C82" s="869"/>
      <c r="D82" s="867"/>
      <c r="E82" s="869"/>
      <c r="F82" s="867"/>
      <c r="G82" s="901"/>
    </row>
    <row r="83" spans="1:7" ht="12" customHeight="1" x14ac:dyDescent="0.2">
      <c r="A83" s="902" t="s">
        <v>867</v>
      </c>
      <c r="B83" s="903"/>
      <c r="C83" s="904"/>
      <c r="D83" s="905"/>
      <c r="E83" s="904"/>
      <c r="F83" s="903"/>
      <c r="G83" s="903"/>
    </row>
    <row r="84" spans="1:7" x14ac:dyDescent="0.2">
      <c r="A84" s="906" t="s">
        <v>481</v>
      </c>
      <c r="B84" s="907" t="s">
        <v>148</v>
      </c>
      <c r="C84" s="908">
        <f>'Revenues 9-14'!B42</f>
        <v>1411</v>
      </c>
      <c r="D84" s="909" t="str">
        <f>'Revenues 9-14'!A42</f>
        <v>Regular -Transp Fees from Pupils or Parents (In State)</v>
      </c>
      <c r="E84" s="904" t="s">
        <v>1015</v>
      </c>
      <c r="F84" s="1925">
        <f>'Revenues 9-14'!F42</f>
        <v>3586</v>
      </c>
      <c r="G84" s="910"/>
    </row>
    <row r="85" spans="1:7" x14ac:dyDescent="0.2">
      <c r="A85" s="906" t="s">
        <v>481</v>
      </c>
      <c r="B85" s="906" t="s">
        <v>192</v>
      </c>
      <c r="C85" s="911">
        <f>'Revenues 9-14'!B44</f>
        <v>1413</v>
      </c>
      <c r="D85" s="909" t="str">
        <f>'Revenues 9-14'!A44</f>
        <v>Regular - Transp Fees from Other Sources (In State)</v>
      </c>
      <c r="E85" s="904"/>
      <c r="F85" s="1803">
        <f>'Revenues 9-14'!F44</f>
        <v>0</v>
      </c>
      <c r="G85" s="912"/>
    </row>
    <row r="86" spans="1:7" x14ac:dyDescent="0.2">
      <c r="A86" s="906" t="s">
        <v>481</v>
      </c>
      <c r="B86" s="906" t="s">
        <v>168</v>
      </c>
      <c r="C86" s="908">
        <f>'Revenues 9-14'!B45</f>
        <v>1415</v>
      </c>
      <c r="D86" s="909" t="str">
        <f>'Revenues 9-14'!A45</f>
        <v>Regular - Transp Fees from Co-curricular Activities (In State)</v>
      </c>
      <c r="E86" s="904"/>
      <c r="F86" s="1803">
        <f>'Revenues 9-14'!F45</f>
        <v>0</v>
      </c>
      <c r="G86" s="912"/>
    </row>
    <row r="87" spans="1:7" x14ac:dyDescent="0.2">
      <c r="A87" s="906" t="s">
        <v>481</v>
      </c>
      <c r="B87" s="906" t="s">
        <v>169</v>
      </c>
      <c r="C87" s="908">
        <v>1416</v>
      </c>
      <c r="D87" s="909" t="str">
        <f>'Revenues 9-14'!A46</f>
        <v>Regular Transp Fees from Other Sources (Out of State)</v>
      </c>
      <c r="E87" s="904"/>
      <c r="F87" s="1803">
        <f>'Revenues 9-14'!F46</f>
        <v>0</v>
      </c>
      <c r="G87" s="912"/>
    </row>
    <row r="88" spans="1:7" x14ac:dyDescent="0.2">
      <c r="A88" s="906" t="s">
        <v>481</v>
      </c>
      <c r="B88" s="906" t="s">
        <v>170</v>
      </c>
      <c r="C88" s="908">
        <f>'Revenues 9-14'!B51</f>
        <v>1431</v>
      </c>
      <c r="D88" s="909" t="str">
        <f>'Revenues 9-14'!A51</f>
        <v>CTE - Transp Fees from Pupils or Parents (In State)</v>
      </c>
      <c r="E88" s="904"/>
      <c r="F88" s="1803">
        <f>'Revenues 9-14'!F51</f>
        <v>0</v>
      </c>
      <c r="G88" s="912"/>
    </row>
    <row r="89" spans="1:7" x14ac:dyDescent="0.2">
      <c r="A89" s="906" t="s">
        <v>481</v>
      </c>
      <c r="B89" s="906" t="s">
        <v>171</v>
      </c>
      <c r="C89" s="908">
        <f>'Revenues 9-14'!B53</f>
        <v>1433</v>
      </c>
      <c r="D89" s="909" t="str">
        <f>'Revenues 9-14'!A53</f>
        <v>CTE - Transp Fees from Other Sources (In State)</v>
      </c>
      <c r="E89" s="904"/>
      <c r="F89" s="1803">
        <f>'Revenues 9-14'!F53</f>
        <v>0</v>
      </c>
      <c r="G89" s="912"/>
    </row>
    <row r="90" spans="1:7" x14ac:dyDescent="0.2">
      <c r="A90" s="906" t="s">
        <v>481</v>
      </c>
      <c r="B90" s="906" t="s">
        <v>172</v>
      </c>
      <c r="C90" s="908">
        <f>'Revenues 9-14'!B54</f>
        <v>1434</v>
      </c>
      <c r="D90" s="909" t="str">
        <f>'Revenues 9-14'!A54</f>
        <v>CTE - Transp Fees from Other Sources (Out of State)</v>
      </c>
      <c r="E90" s="904"/>
      <c r="F90" s="1803">
        <f>'Revenues 9-14'!F54</f>
        <v>0</v>
      </c>
      <c r="G90" s="912"/>
    </row>
    <row r="91" spans="1:7" x14ac:dyDescent="0.2">
      <c r="A91" s="906" t="s">
        <v>481</v>
      </c>
      <c r="B91" s="906" t="s">
        <v>173</v>
      </c>
      <c r="C91" s="913">
        <f>'Revenues 9-14'!B55</f>
        <v>1441</v>
      </c>
      <c r="D91" s="909" t="str">
        <f>'Revenues 9-14'!A55</f>
        <v>Special Ed - Transp Fees from Pupils or Parents (In State)</v>
      </c>
      <c r="E91" s="904"/>
      <c r="F91" s="1803">
        <f>'Revenues 9-14'!F55</f>
        <v>0</v>
      </c>
      <c r="G91" s="912"/>
    </row>
    <row r="92" spans="1:7" x14ac:dyDescent="0.2">
      <c r="A92" s="906" t="s">
        <v>481</v>
      </c>
      <c r="B92" s="906" t="s">
        <v>174</v>
      </c>
      <c r="C92" s="908">
        <f>'Revenues 9-14'!B57</f>
        <v>1443</v>
      </c>
      <c r="D92" s="909" t="str">
        <f>'Revenues 9-14'!A57</f>
        <v>Special Ed - Transp Fees from Other Sources (In State)</v>
      </c>
      <c r="E92" s="904"/>
      <c r="F92" s="1803">
        <f>'Revenues 9-14'!F57</f>
        <v>0</v>
      </c>
      <c r="G92" s="914"/>
    </row>
    <row r="93" spans="1:7" x14ac:dyDescent="0.2">
      <c r="A93" s="906" t="s">
        <v>481</v>
      </c>
      <c r="B93" s="906" t="s">
        <v>175</v>
      </c>
      <c r="C93" s="908">
        <f>'Revenues 9-14'!B58</f>
        <v>1444</v>
      </c>
      <c r="D93" s="909" t="str">
        <f>'Revenues 9-14'!A58</f>
        <v>Special Ed - Transp Fees from Other Sources (Out of State)</v>
      </c>
      <c r="E93" s="904"/>
      <c r="F93" s="1803">
        <f>'Revenues 9-14'!F58</f>
        <v>0</v>
      </c>
      <c r="G93" s="914"/>
    </row>
    <row r="94" spans="1:7" x14ac:dyDescent="0.2">
      <c r="A94" s="906" t="s">
        <v>479</v>
      </c>
      <c r="B94" s="906" t="s">
        <v>176</v>
      </c>
      <c r="C94" s="908">
        <v>1600</v>
      </c>
      <c r="D94" s="915" t="str">
        <f>'Revenues 9-14'!A75</f>
        <v>Total Food Service</v>
      </c>
      <c r="E94" s="904"/>
      <c r="F94" s="1803">
        <f>'Revenues 9-14'!C75</f>
        <v>402125</v>
      </c>
      <c r="G94" s="910"/>
    </row>
    <row r="95" spans="1:7" x14ac:dyDescent="0.2">
      <c r="A95" s="906" t="s">
        <v>142</v>
      </c>
      <c r="B95" s="906" t="s">
        <v>177</v>
      </c>
      <c r="C95" s="908">
        <v>1700</v>
      </c>
      <c r="D95" s="916" t="str">
        <f>'Revenues 9-14'!A82</f>
        <v>Total District/School Activity Income</v>
      </c>
      <c r="E95" s="904"/>
      <c r="F95" s="1803">
        <f>SUM('Revenues 9-14'!C82,'Revenues 9-14'!D82)</f>
        <v>1003701</v>
      </c>
      <c r="G95" s="910"/>
    </row>
    <row r="96" spans="1:7" x14ac:dyDescent="0.2">
      <c r="A96" s="906" t="s">
        <v>479</v>
      </c>
      <c r="B96" s="906" t="s">
        <v>178</v>
      </c>
      <c r="C96" s="908">
        <f>'Revenues 9-14'!B84</f>
        <v>1811</v>
      </c>
      <c r="D96" s="909" t="str">
        <f>'Revenues 9-14'!A84</f>
        <v>Rentals - Regular Textbooks</v>
      </c>
      <c r="E96" s="904"/>
      <c r="F96" s="1803">
        <f>'Revenues 9-14'!C84</f>
        <v>0</v>
      </c>
      <c r="G96" s="910"/>
    </row>
    <row r="97" spans="1:7" x14ac:dyDescent="0.2">
      <c r="A97" s="906" t="s">
        <v>479</v>
      </c>
      <c r="B97" s="906" t="s">
        <v>179</v>
      </c>
      <c r="C97" s="908">
        <f>'Revenues 9-14'!B87</f>
        <v>1819</v>
      </c>
      <c r="D97" s="909" t="str">
        <f>'Revenues 9-14'!A87</f>
        <v>Rentals - Other (Describe &amp; Itemize)</v>
      </c>
      <c r="E97" s="904"/>
      <c r="F97" s="1803">
        <f>'Revenues 9-14'!C87</f>
        <v>0</v>
      </c>
      <c r="G97" s="910"/>
    </row>
    <row r="98" spans="1:7" x14ac:dyDescent="0.2">
      <c r="A98" s="906" t="s">
        <v>479</v>
      </c>
      <c r="B98" s="906" t="s">
        <v>180</v>
      </c>
      <c r="C98" s="908">
        <f>'Revenues 9-14'!B88</f>
        <v>1821</v>
      </c>
      <c r="D98" s="909" t="str">
        <f>'Revenues 9-14'!A88</f>
        <v>Sales - Regular Textbooks</v>
      </c>
      <c r="E98" s="904"/>
      <c r="F98" s="1803">
        <f>'Revenues 9-14'!C88</f>
        <v>0</v>
      </c>
      <c r="G98" s="910"/>
    </row>
    <row r="99" spans="1:7" x14ac:dyDescent="0.2">
      <c r="A99" s="906" t="s">
        <v>479</v>
      </c>
      <c r="B99" s="906" t="s">
        <v>181</v>
      </c>
      <c r="C99" s="908">
        <f>'Revenues 9-14'!B91</f>
        <v>1829</v>
      </c>
      <c r="D99" s="909" t="str">
        <f>'Revenues 9-14'!A91</f>
        <v>Sales - Other (Describe &amp; Itemize)</v>
      </c>
      <c r="E99" s="904"/>
      <c r="F99" s="1803">
        <f>'Revenues 9-14'!C91</f>
        <v>0</v>
      </c>
      <c r="G99" s="910"/>
    </row>
    <row r="100" spans="1:7" x14ac:dyDescent="0.2">
      <c r="A100" s="906" t="s">
        <v>479</v>
      </c>
      <c r="B100" s="906" t="s">
        <v>182</v>
      </c>
      <c r="C100" s="908">
        <f>'Revenues 9-14'!B92</f>
        <v>1890</v>
      </c>
      <c r="D100" s="909" t="str">
        <f>'Revenues 9-14'!A92</f>
        <v>Other (Describe &amp; Itemize)</v>
      </c>
      <c r="E100" s="904"/>
      <c r="F100" s="1803">
        <f>'Revenues 9-14'!C92</f>
        <v>0</v>
      </c>
      <c r="G100" s="910"/>
    </row>
    <row r="101" spans="1:7" x14ac:dyDescent="0.2">
      <c r="A101" s="906" t="s">
        <v>142</v>
      </c>
      <c r="B101" s="906" t="s">
        <v>183</v>
      </c>
      <c r="C101" s="908">
        <f>'Revenues 9-14'!B95</f>
        <v>1910</v>
      </c>
      <c r="D101" s="909" t="str">
        <f>'Revenues 9-14'!A95</f>
        <v>Rentals</v>
      </c>
      <c r="E101" s="904"/>
      <c r="F101" s="1803">
        <f>SUM('Revenues 9-14'!C95:D95)</f>
        <v>96716</v>
      </c>
      <c r="G101" s="910"/>
    </row>
    <row r="102" spans="1:7" x14ac:dyDescent="0.2">
      <c r="A102" s="906" t="s">
        <v>524</v>
      </c>
      <c r="B102" s="906" t="s">
        <v>184</v>
      </c>
      <c r="C102" s="908">
        <f>'Revenues 9-14'!B98</f>
        <v>1940</v>
      </c>
      <c r="D102" s="909" t="str">
        <f>'Revenues 9-14'!A98</f>
        <v>Services Provided Other Districts</v>
      </c>
      <c r="E102" s="904"/>
      <c r="F102" s="1803">
        <f>SUM('Revenues 9-14'!C98,'Revenues 9-14'!D98,'Revenues 9-14'!F98)</f>
        <v>33158</v>
      </c>
      <c r="G102" s="910"/>
    </row>
    <row r="103" spans="1:7" x14ac:dyDescent="0.2">
      <c r="A103" s="906" t="s">
        <v>1066</v>
      </c>
      <c r="B103" s="906" t="s">
        <v>834</v>
      </c>
      <c r="C103" s="908">
        <f>'Revenues 9-14'!B104</f>
        <v>1991</v>
      </c>
      <c r="D103" s="917" t="str">
        <f>'Revenues 9-14'!A104</f>
        <v>Payment from Other Districts</v>
      </c>
      <c r="E103" s="904"/>
      <c r="F103" s="1803">
        <f>SUM('Revenues 9-14'!C104,'Revenues 9-14'!D104,'Revenues 9-14'!E104,'Revenues 9-14'!F104,'Revenues 9-14'!G104)</f>
        <v>0</v>
      </c>
      <c r="G103" s="910"/>
    </row>
    <row r="104" spans="1:7" x14ac:dyDescent="0.2">
      <c r="A104" s="906" t="s">
        <v>479</v>
      </c>
      <c r="B104" s="906" t="s">
        <v>841</v>
      </c>
      <c r="C104" s="908">
        <f>'Revenues 9-14'!B106</f>
        <v>1993</v>
      </c>
      <c r="D104" s="909" t="str">
        <f>'Revenues 9-14'!A106</f>
        <v>Other Local Fees (Describe &amp; Itemize)</v>
      </c>
      <c r="E104" s="904"/>
      <c r="F104" s="1803">
        <f>('Revenues 9-14'!C106)</f>
        <v>41535</v>
      </c>
      <c r="G104" s="910"/>
    </row>
    <row r="105" spans="1:7" x14ac:dyDescent="0.2">
      <c r="A105" s="906" t="s">
        <v>524</v>
      </c>
      <c r="B105" s="906" t="s">
        <v>842</v>
      </c>
      <c r="C105" s="911">
        <v>3100</v>
      </c>
      <c r="D105" s="917" t="str">
        <f>'Revenues 9-14'!A131</f>
        <v>Total Special Education</v>
      </c>
      <c r="E105" s="904"/>
      <c r="F105" s="1803">
        <f>SUM('Revenues 9-14'!C131:D131,'Revenues 9-14'!F131)</f>
        <v>934605</v>
      </c>
      <c r="G105" s="910"/>
    </row>
    <row r="106" spans="1:7" x14ac:dyDescent="0.2">
      <c r="A106" s="906" t="s">
        <v>694</v>
      </c>
      <c r="B106" s="906" t="s">
        <v>1483</v>
      </c>
      <c r="C106" s="918">
        <v>3200</v>
      </c>
      <c r="D106" s="909" t="str">
        <f>'Revenues 9-14'!A140</f>
        <v>Total Career and Technical Education</v>
      </c>
      <c r="E106" s="904"/>
      <c r="F106" s="1803">
        <f>SUM('Revenues 9-14'!C140,'Revenues 9-14'!D140,'Revenues 9-14'!G140)</f>
        <v>84699</v>
      </c>
      <c r="G106" s="910"/>
    </row>
    <row r="107" spans="1:7" x14ac:dyDescent="0.2">
      <c r="A107" s="919" t="s">
        <v>685</v>
      </c>
      <c r="B107" s="906" t="s">
        <v>843</v>
      </c>
      <c r="C107" s="918">
        <v>3300</v>
      </c>
      <c r="D107" s="909" t="str">
        <f>'Revenues 9-14'!A144</f>
        <v>Total Bilingual Ed</v>
      </c>
      <c r="E107" s="904"/>
      <c r="F107" s="1803">
        <f>SUM('Revenues 9-14'!C144,'Revenues 9-14'!G144)</f>
        <v>21377</v>
      </c>
      <c r="G107" s="910"/>
    </row>
    <row r="108" spans="1:7" x14ac:dyDescent="0.2">
      <c r="A108" s="906" t="s">
        <v>479</v>
      </c>
      <c r="B108" s="906" t="s">
        <v>844</v>
      </c>
      <c r="C108" s="918">
        <f>'Revenues 9-14'!B145</f>
        <v>3360</v>
      </c>
      <c r="D108" s="909" t="str">
        <f>'Revenues 9-14'!A145</f>
        <v>State Free Lunch &amp; Breakfast</v>
      </c>
      <c r="E108" s="904"/>
      <c r="F108" s="1803">
        <f>'Revenues 9-14'!C145</f>
        <v>3439</v>
      </c>
      <c r="G108" s="910"/>
    </row>
    <row r="109" spans="1:7" x14ac:dyDescent="0.2">
      <c r="A109" s="906" t="s">
        <v>694</v>
      </c>
      <c r="B109" s="906" t="s">
        <v>845</v>
      </c>
      <c r="C109" s="918">
        <f>'Revenues 9-14'!B146</f>
        <v>3365</v>
      </c>
      <c r="D109" s="909" t="str">
        <f>'Revenues 9-14'!A146</f>
        <v>School Breakfast Initiative</v>
      </c>
      <c r="E109" s="904"/>
      <c r="F109" s="1803">
        <f>SUM('Revenues 9-14'!C146,'Revenues 9-14'!D146,'Revenues 9-14'!G146)</f>
        <v>0</v>
      </c>
      <c r="G109" s="910"/>
    </row>
    <row r="110" spans="1:7" x14ac:dyDescent="0.2">
      <c r="A110" s="906" t="s">
        <v>142</v>
      </c>
      <c r="B110" s="906" t="s">
        <v>846</v>
      </c>
      <c r="C110" s="918">
        <f>'Revenues 9-14'!B147</f>
        <v>3370</v>
      </c>
      <c r="D110" s="909" t="str">
        <f>'Revenues 9-14'!A147</f>
        <v>Driver Education</v>
      </c>
      <c r="E110" s="904"/>
      <c r="F110" s="1803">
        <f>SUM('Revenues 9-14'!C147,'Revenues 9-14'!D147)</f>
        <v>76802</v>
      </c>
      <c r="G110" s="910"/>
    </row>
    <row r="111" spans="1:7" x14ac:dyDescent="0.2">
      <c r="A111" s="906" t="s">
        <v>689</v>
      </c>
      <c r="B111" s="906" t="s">
        <v>802</v>
      </c>
      <c r="C111" s="920">
        <v>3500</v>
      </c>
      <c r="D111" s="909" t="str">
        <f>'Revenues 9-14'!A154</f>
        <v>Total Transportation</v>
      </c>
      <c r="E111" s="904"/>
      <c r="F111" s="1803">
        <f>SUM('Revenues 9-14'!C154,'Revenues 9-14'!D154,'Revenues 9-14'!F154,'Revenues 9-14'!G154)</f>
        <v>964350</v>
      </c>
      <c r="G111" s="910"/>
    </row>
    <row r="112" spans="1:7" x14ac:dyDescent="0.2">
      <c r="A112" s="906" t="s">
        <v>479</v>
      </c>
      <c r="B112" s="906" t="s">
        <v>847</v>
      </c>
      <c r="C112" s="918">
        <f>'Revenues 9-14'!B155</f>
        <v>3610</v>
      </c>
      <c r="D112" s="909" t="str">
        <f>'Revenues 9-14'!A155</f>
        <v>Learning Improvement - Change Grants</v>
      </c>
      <c r="E112" s="904"/>
      <c r="F112" s="1803">
        <f>'Revenues 9-14'!C155</f>
        <v>0</v>
      </c>
      <c r="G112" s="910"/>
    </row>
    <row r="113" spans="1:7" x14ac:dyDescent="0.2">
      <c r="A113" s="906" t="s">
        <v>689</v>
      </c>
      <c r="B113" s="906" t="s">
        <v>848</v>
      </c>
      <c r="C113" s="918">
        <f>'Revenues 9-14'!B156</f>
        <v>3660</v>
      </c>
      <c r="D113" s="909" t="str">
        <f>'Revenues 9-14'!A156</f>
        <v>Scientific Literacy</v>
      </c>
      <c r="E113" s="904"/>
      <c r="F113" s="1803">
        <f>SUM('Revenues 9-14'!C156,'Revenues 9-14'!D156,'Revenues 9-14'!F156,'Revenues 9-14'!G156)</f>
        <v>0</v>
      </c>
      <c r="G113" s="910"/>
    </row>
    <row r="114" spans="1:7" x14ac:dyDescent="0.2">
      <c r="A114" s="906" t="s">
        <v>5</v>
      </c>
      <c r="B114" s="906" t="s">
        <v>849</v>
      </c>
      <c r="C114" s="918">
        <f>'Revenues 9-14'!B157</f>
        <v>3695</v>
      </c>
      <c r="D114" s="909" t="str">
        <f>'Revenues 9-14'!A157</f>
        <v>Truant Alternative/Optional Education</v>
      </c>
      <c r="E114" s="904"/>
      <c r="F114" s="1803">
        <f>SUM('Revenues 9-14'!C157,'Revenues 9-14'!F157,'Revenues 9-14'!G157)</f>
        <v>0</v>
      </c>
      <c r="G114" s="910"/>
    </row>
    <row r="115" spans="1:7" x14ac:dyDescent="0.2">
      <c r="A115" s="906" t="s">
        <v>5</v>
      </c>
      <c r="B115" s="906" t="s">
        <v>185</v>
      </c>
      <c r="C115" s="918">
        <f>'Revenues 9-14'!B159</f>
        <v>3715</v>
      </c>
      <c r="D115" s="909" t="str">
        <f>'Revenues 9-14'!A159</f>
        <v>Reading Improvement Block Grant</v>
      </c>
      <c r="E115" s="904"/>
      <c r="F115" s="1803">
        <f>SUM('Revenues 9-14'!C159,'Revenues 9-14'!F159,'Revenues 9-14'!G159)</f>
        <v>0</v>
      </c>
      <c r="G115" s="910"/>
    </row>
    <row r="116" spans="1:7" x14ac:dyDescent="0.2">
      <c r="A116" s="921" t="s">
        <v>5</v>
      </c>
      <c r="B116" s="921" t="s">
        <v>186</v>
      </c>
      <c r="C116" s="922">
        <f>'Revenues 9-14'!B160</f>
        <v>3720</v>
      </c>
      <c r="D116" s="923" t="str">
        <f>'Revenues 9-14'!A160</f>
        <v>Reading Improvement Block Grant - Reading Recovery</v>
      </c>
      <c r="E116" s="924"/>
      <c r="F116" s="1803">
        <f>SUM('Revenues 9-14'!C160,'Revenues 9-14'!F160,'Revenues 9-14'!G160)</f>
        <v>0</v>
      </c>
      <c r="G116" s="910"/>
    </row>
    <row r="117" spans="1:7" x14ac:dyDescent="0.2">
      <c r="A117" s="921" t="s">
        <v>5</v>
      </c>
      <c r="B117" s="921" t="s">
        <v>187</v>
      </c>
      <c r="C117" s="922">
        <f>'Revenues 9-14'!B161</f>
        <v>3725</v>
      </c>
      <c r="D117" s="923" t="str">
        <f>'Revenues 9-14'!A161</f>
        <v>Continued Reading Improvement Block Grant</v>
      </c>
      <c r="E117" s="924"/>
      <c r="F117" s="1803">
        <f>SUM('Revenues 9-14'!C161,'Revenues 9-14'!F161,'Revenues 9-14'!G161)</f>
        <v>0</v>
      </c>
      <c r="G117" s="910"/>
    </row>
    <row r="118" spans="1:7" x14ac:dyDescent="0.2">
      <c r="A118" s="921" t="s">
        <v>5</v>
      </c>
      <c r="B118" s="921" t="s">
        <v>850</v>
      </c>
      <c r="C118" s="922">
        <f>'Revenues 9-14'!B162</f>
        <v>3726</v>
      </c>
      <c r="D118" s="923" t="str">
        <f>'Revenues 9-14'!A162</f>
        <v>Continued Reading Improvement Block Grant (2% Set Aside)</v>
      </c>
      <c r="E118" s="924"/>
      <c r="F118" s="1924">
        <f>SUM('Revenues 9-14'!C162,'Revenues 9-14'!F162,'Revenues 9-14'!G162)</f>
        <v>0</v>
      </c>
      <c r="G118" s="910"/>
    </row>
    <row r="119" spans="1:7" x14ac:dyDescent="0.2">
      <c r="A119" s="906" t="s">
        <v>689</v>
      </c>
      <c r="B119" s="906" t="s">
        <v>188</v>
      </c>
      <c r="C119" s="918">
        <f>'Revenues 9-14'!B163</f>
        <v>3766</v>
      </c>
      <c r="D119" s="909" t="str">
        <f>'Revenues 9-14'!A163</f>
        <v>Chicago General Education Block Grant</v>
      </c>
      <c r="E119" s="904"/>
      <c r="F119" s="1803">
        <f>SUM('Revenues 9-14'!C163,'Revenues 9-14'!D163,'Revenues 9-14'!F163,'Revenues 9-14'!G163)</f>
        <v>0</v>
      </c>
      <c r="G119" s="910"/>
    </row>
    <row r="120" spans="1:7" x14ac:dyDescent="0.2">
      <c r="A120" s="906" t="s">
        <v>689</v>
      </c>
      <c r="B120" s="906" t="s">
        <v>851</v>
      </c>
      <c r="C120" s="918">
        <f>'Revenues 9-14'!B164</f>
        <v>3767</v>
      </c>
      <c r="D120" s="909" t="str">
        <f>'Revenues 9-14'!A164</f>
        <v>Chicago Educational Services Block Grant</v>
      </c>
      <c r="E120" s="904"/>
      <c r="F120" s="1803">
        <f>SUM('Revenues 9-14'!C164,'Revenues 9-14'!D164,'Revenues 9-14'!F164,'Revenues 9-14'!G164)</f>
        <v>0</v>
      </c>
      <c r="G120" s="910"/>
    </row>
    <row r="121" spans="1:7" x14ac:dyDescent="0.2">
      <c r="A121" s="921" t="s">
        <v>1066</v>
      </c>
      <c r="B121" s="921" t="s">
        <v>189</v>
      </c>
      <c r="C121" s="922">
        <f>'Revenues 9-14'!B165</f>
        <v>3775</v>
      </c>
      <c r="D121" s="923" t="str">
        <f>'Revenues 9-14'!A165</f>
        <v>School Safety &amp; Educational Improvement Block Grant</v>
      </c>
      <c r="E121" s="904"/>
      <c r="F121" s="1925">
        <f>SUM('Revenues 9-14'!C165,'Revenues 9-14'!D165,'Revenues 9-14'!E165,'Revenues 9-14'!F165,'Revenues 9-14'!G165)</f>
        <v>0</v>
      </c>
      <c r="G121" s="910"/>
    </row>
    <row r="122" spans="1:7" x14ac:dyDescent="0.2">
      <c r="A122" s="921" t="s">
        <v>1066</v>
      </c>
      <c r="B122" s="921" t="s">
        <v>852</v>
      </c>
      <c r="C122" s="922">
        <f>'Revenues 9-14'!B166</f>
        <v>3780</v>
      </c>
      <c r="D122" s="923" t="str">
        <f>'Revenues 9-14'!A166</f>
        <v>Technology - Technology for Success</v>
      </c>
      <c r="E122" s="904"/>
      <c r="F122" s="1925">
        <f>SUM('Revenues 9-14'!C166:G166)</f>
        <v>0</v>
      </c>
      <c r="G122" s="910"/>
    </row>
    <row r="123" spans="1:7" x14ac:dyDescent="0.2">
      <c r="A123" s="921" t="s">
        <v>525</v>
      </c>
      <c r="B123" s="921" t="s">
        <v>853</v>
      </c>
      <c r="C123" s="922">
        <f>'Revenues 9-14'!B167</f>
        <v>3815</v>
      </c>
      <c r="D123" s="923" t="str">
        <f>'Revenues 9-14'!A167</f>
        <v>State Charter Schools</v>
      </c>
      <c r="E123" s="904"/>
      <c r="F123" s="1925">
        <f>SUM('Revenues 9-14'!C167,'Revenues 9-14'!F167)</f>
        <v>0</v>
      </c>
      <c r="G123" s="910"/>
    </row>
    <row r="124" spans="1:7" x14ac:dyDescent="0.2">
      <c r="A124" s="925" t="s">
        <v>480</v>
      </c>
      <c r="B124" s="925" t="s">
        <v>854</v>
      </c>
      <c r="C124" s="926">
        <f>'Revenues 9-14'!B170</f>
        <v>3925</v>
      </c>
      <c r="D124" s="927" t="str">
        <f>'Revenues 9-14'!A170</f>
        <v>School Infrastructure - Maintenance Projects</v>
      </c>
      <c r="E124" s="904"/>
      <c r="F124" s="1803">
        <f>'Revenues 9-14'!D170</f>
        <v>0</v>
      </c>
      <c r="G124" s="928"/>
    </row>
    <row r="125" spans="1:7" x14ac:dyDescent="0.2">
      <c r="A125" s="925" t="s">
        <v>521</v>
      </c>
      <c r="B125" s="925" t="s">
        <v>855</v>
      </c>
      <c r="C125" s="926">
        <f>'Revenues 9-14'!B171</f>
        <v>3999</v>
      </c>
      <c r="D125" s="927" t="s">
        <v>564</v>
      </c>
      <c r="E125" s="929"/>
      <c r="F125" s="1803">
        <f>SUM('Revenues 9-14'!C171:G171,'Revenues 9-14'!J171)</f>
        <v>3140</v>
      </c>
      <c r="G125" s="928"/>
    </row>
    <row r="126" spans="1:7" x14ac:dyDescent="0.2">
      <c r="A126" s="925" t="s">
        <v>479</v>
      </c>
      <c r="B126" s="925" t="s">
        <v>856</v>
      </c>
      <c r="C126" s="930">
        <f>'Revenues 9-14'!B180</f>
        <v>4045</v>
      </c>
      <c r="D126" s="927" t="str">
        <f>'Revenues 9-14'!A180 &amp; " (Subtract)"</f>
        <v>Head Start (Subtract)</v>
      </c>
      <c r="E126" s="904"/>
      <c r="F126" s="1803">
        <f>SUM(-'Revenues 9-14'!C180)</f>
        <v>0</v>
      </c>
      <c r="G126" s="928"/>
    </row>
    <row r="127" spans="1:7" x14ac:dyDescent="0.2">
      <c r="A127" s="925" t="s">
        <v>689</v>
      </c>
      <c r="B127" s="925" t="s">
        <v>857</v>
      </c>
      <c r="C127" s="930" t="s">
        <v>1039</v>
      </c>
      <c r="D127" s="927" t="str">
        <f>('Revenues 9-14'!A184)</f>
        <v>Total Restricted Grants-In-Aid Received Directly from Federal Govt</v>
      </c>
      <c r="E127" s="904"/>
      <c r="F127" s="1803">
        <f>SUM('Revenues 9-14'!C184,'Revenues 9-14'!D184,'Revenues 9-14'!F184,'Revenues 9-14'!G184)</f>
        <v>0</v>
      </c>
      <c r="G127" s="928"/>
    </row>
    <row r="128" spans="1:7" x14ac:dyDescent="0.2">
      <c r="A128" s="925" t="s">
        <v>689</v>
      </c>
      <c r="B128" s="925" t="s">
        <v>858</v>
      </c>
      <c r="C128" s="930">
        <v>4100</v>
      </c>
      <c r="D128" s="931" t="str">
        <f>'Revenues 9-14'!A191</f>
        <v>Total Title V</v>
      </c>
      <c r="E128" s="904"/>
      <c r="F128" s="1803">
        <f>SUM('Revenues 9-14'!C191,'Revenues 9-14'!D191,'Revenues 9-14'!F191,'Revenues 9-14'!G191)</f>
        <v>0</v>
      </c>
      <c r="G128" s="928"/>
    </row>
    <row r="129" spans="1:7" x14ac:dyDescent="0.2">
      <c r="A129" s="925" t="s">
        <v>685</v>
      </c>
      <c r="B129" s="925" t="s">
        <v>803</v>
      </c>
      <c r="C129" s="930">
        <v>4200</v>
      </c>
      <c r="D129" s="927" t="str">
        <f>'Revenues 9-14'!A201</f>
        <v>Total Food Service</v>
      </c>
      <c r="E129" s="904"/>
      <c r="F129" s="1803">
        <f>SUM('Revenues 9-14'!C201,'Revenues 9-14'!G201)</f>
        <v>268562</v>
      </c>
      <c r="G129" s="928"/>
    </row>
    <row r="130" spans="1:7" x14ac:dyDescent="0.2">
      <c r="A130" s="925" t="s">
        <v>689</v>
      </c>
      <c r="B130" s="925" t="s">
        <v>804</v>
      </c>
      <c r="C130" s="930">
        <v>4300</v>
      </c>
      <c r="D130" s="931" t="str">
        <f>'Revenues 9-14'!A211</f>
        <v>Total Title I</v>
      </c>
      <c r="E130" s="904"/>
      <c r="F130" s="1803">
        <f>SUM('Revenues 9-14'!C211,'Revenues 9-14'!D211,'Revenues 9-14'!F211,'Revenues 9-14'!G211)</f>
        <v>289903</v>
      </c>
      <c r="G130" s="928"/>
    </row>
    <row r="131" spans="1:7" x14ac:dyDescent="0.2">
      <c r="A131" s="925" t="s">
        <v>689</v>
      </c>
      <c r="B131" s="925" t="s">
        <v>805</v>
      </c>
      <c r="C131" s="930">
        <v>4400</v>
      </c>
      <c r="D131" s="931" t="str">
        <f>'Revenues 9-14'!A216</f>
        <v>Total Title IV</v>
      </c>
      <c r="E131" s="904"/>
      <c r="F131" s="1803">
        <f>SUM('Revenues 9-14'!C216,'Revenues 9-14'!D216,'Revenues 9-14'!F216,'Revenues 9-14'!G216)</f>
        <v>2861</v>
      </c>
      <c r="G131" s="928"/>
    </row>
    <row r="132" spans="1:7" x14ac:dyDescent="0.2">
      <c r="A132" s="925" t="s">
        <v>689</v>
      </c>
      <c r="B132" s="925" t="s">
        <v>190</v>
      </c>
      <c r="C132" s="930">
        <f>'Revenues 9-14'!B220</f>
        <v>4620</v>
      </c>
      <c r="D132" s="931" t="str">
        <f>'Revenues 9-14'!A220</f>
        <v>Fed - Spec Education - IDEA - Flow Through</v>
      </c>
      <c r="E132" s="904"/>
      <c r="F132" s="1803">
        <f>SUM('Revenues 9-14'!C220:D220,'Revenues 9-14'!F220:G220)</f>
        <v>431934</v>
      </c>
      <c r="G132" s="928"/>
    </row>
    <row r="133" spans="1:7" x14ac:dyDescent="0.2">
      <c r="A133" s="925" t="s">
        <v>689</v>
      </c>
      <c r="B133" s="925" t="s">
        <v>191</v>
      </c>
      <c r="C133" s="930">
        <f>'Revenues 9-14'!B221</f>
        <v>4625</v>
      </c>
      <c r="D133" s="931" t="str">
        <f>'Revenues 9-14'!A221</f>
        <v>Fed - Spec Education - IDEA - Room &amp; Board</v>
      </c>
      <c r="E133" s="904"/>
      <c r="F133" s="1803">
        <f>SUM('Revenues 9-14'!C221,'Revenues 9-14'!D221,'Revenues 9-14'!F221,'Revenues 9-14'!G221)</f>
        <v>72887</v>
      </c>
      <c r="G133" s="928"/>
    </row>
    <row r="134" spans="1:7" x14ac:dyDescent="0.2">
      <c r="A134" s="925" t="s">
        <v>689</v>
      </c>
      <c r="B134" s="925" t="s">
        <v>859</v>
      </c>
      <c r="C134" s="930">
        <f>'Revenues 9-14'!B222</f>
        <v>4630</v>
      </c>
      <c r="D134" s="931" t="str">
        <f>'Revenues 9-14'!A222</f>
        <v>Fed - Spec Education - IDEA - Discretionary</v>
      </c>
      <c r="E134" s="904"/>
      <c r="F134" s="1803">
        <f>SUM('Revenues 9-14'!C222:D222,'Revenues 9-14'!F222:G222)</f>
        <v>0</v>
      </c>
      <c r="G134" s="928">
        <v>6297</v>
      </c>
    </row>
    <row r="135" spans="1:7" x14ac:dyDescent="0.2">
      <c r="A135" s="925" t="s">
        <v>689</v>
      </c>
      <c r="B135" s="925" t="s">
        <v>806</v>
      </c>
      <c r="C135" s="930">
        <f>'Revenues 9-14'!B223</f>
        <v>4699</v>
      </c>
      <c r="D135" s="931" t="str">
        <f>'Revenues 9-14'!A223</f>
        <v>Fed - Spec Education - IDEA - Other (Describe &amp; Itemize)</v>
      </c>
      <c r="E135" s="904"/>
      <c r="F135" s="1803">
        <f>SUM('Revenues 9-14'!C223:D223,'Revenues 9-14'!F223:G223)</f>
        <v>0</v>
      </c>
      <c r="G135" s="928"/>
    </row>
    <row r="136" spans="1:7" x14ac:dyDescent="0.2">
      <c r="A136" s="925" t="s">
        <v>694</v>
      </c>
      <c r="B136" s="925" t="s">
        <v>807</v>
      </c>
      <c r="C136" s="930">
        <v>4700</v>
      </c>
      <c r="D136" s="927" t="str">
        <f>'Revenues 9-14'!A228</f>
        <v>Total CTE - Perkins</v>
      </c>
      <c r="E136" s="904"/>
      <c r="F136" s="1803">
        <f>SUM('Revenues 9-14'!C228,'Revenues 9-14'!D228,'Revenues 9-14'!G228)</f>
        <v>61039</v>
      </c>
      <c r="G136" s="928">
        <v>6303</v>
      </c>
    </row>
    <row r="137" spans="1:7" s="865" customFormat="1" hidden="1" x14ac:dyDescent="0.2">
      <c r="A137" s="932" t="s">
        <v>215</v>
      </c>
      <c r="B137" s="932" t="s">
        <v>1484</v>
      </c>
      <c r="C137" s="933" t="s">
        <v>216</v>
      </c>
      <c r="D137" s="934" t="str">
        <f>'Revenues 9-14'!A231</f>
        <v>ARRA - Title I - Low Income</v>
      </c>
      <c r="E137" s="935"/>
      <c r="F137" s="1925">
        <f>SUM('Revenues 9-14'!$C$231:$D$231,'Revenues 9-14'!$F$231:$G$231)</f>
        <v>0</v>
      </c>
      <c r="G137" s="903"/>
    </row>
    <row r="138" spans="1:7" s="865" customFormat="1" hidden="1" x14ac:dyDescent="0.2">
      <c r="A138" s="932" t="s">
        <v>215</v>
      </c>
      <c r="B138" s="932" t="s">
        <v>1485</v>
      </c>
      <c r="C138" s="933" t="s">
        <v>217</v>
      </c>
      <c r="D138" s="934" t="str">
        <f>'Revenues 9-14'!A232</f>
        <v>ARRA - Title I - Neglected, Private</v>
      </c>
      <c r="E138" s="935"/>
      <c r="F138" s="1803">
        <f>SUM('Revenues 9-14'!C232:G232,'Revenues 9-14'!J232)</f>
        <v>0</v>
      </c>
      <c r="G138" s="903"/>
    </row>
    <row r="139" spans="1:7" s="865" customFormat="1" hidden="1" x14ac:dyDescent="0.2">
      <c r="A139" s="932" t="s">
        <v>215</v>
      </c>
      <c r="B139" s="932" t="s">
        <v>220</v>
      </c>
      <c r="C139" s="933" t="s">
        <v>218</v>
      </c>
      <c r="D139" s="934" t="str">
        <f>'Revenues 9-14'!A233</f>
        <v>ARRA - Title I - Delinquent, Private</v>
      </c>
      <c r="E139" s="935"/>
      <c r="F139" s="1803">
        <f>SUM('Revenues 9-14'!C233:G233,'Revenues 9-14'!J233)</f>
        <v>0</v>
      </c>
      <c r="G139" s="903"/>
    </row>
    <row r="140" spans="1:7" s="865" customFormat="1" hidden="1" x14ac:dyDescent="0.2">
      <c r="A140" s="932" t="s">
        <v>215</v>
      </c>
      <c r="B140" s="932" t="s">
        <v>222</v>
      </c>
      <c r="C140" s="933" t="s">
        <v>219</v>
      </c>
      <c r="D140" s="934" t="str">
        <f>'Revenues 9-14'!A234</f>
        <v>ARRA - Title I - School Improvement (Part A)</v>
      </c>
      <c r="E140" s="935"/>
      <c r="F140" s="1803">
        <f>SUM('Revenues 9-14'!C234:G234,'Revenues 9-14'!J234)</f>
        <v>0</v>
      </c>
      <c r="G140" s="903"/>
    </row>
    <row r="141" spans="1:7" s="865" customFormat="1" hidden="1" x14ac:dyDescent="0.2">
      <c r="A141" s="932" t="s">
        <v>215</v>
      </c>
      <c r="B141" s="932" t="s">
        <v>224</v>
      </c>
      <c r="C141" s="933" t="s">
        <v>221</v>
      </c>
      <c r="D141" s="934" t="str">
        <f>'Revenues 9-14'!A235</f>
        <v>ARRA - Title I - School Improvement (Section 1003g)</v>
      </c>
      <c r="E141" s="935"/>
      <c r="F141" s="1803">
        <f>SUM('Revenues 9-14'!C235:G235,'Revenues 9-14'!J235)</f>
        <v>0</v>
      </c>
      <c r="G141" s="903"/>
    </row>
    <row r="142" spans="1:7" s="865" customFormat="1" hidden="1" x14ac:dyDescent="0.2">
      <c r="A142" s="932" t="s">
        <v>215</v>
      </c>
      <c r="B142" s="932" t="s">
        <v>226</v>
      </c>
      <c r="C142" s="933" t="s">
        <v>223</v>
      </c>
      <c r="D142" s="934" t="str">
        <f>'Revenues 9-14'!A236</f>
        <v>ARRA - IDEA - Part B - Preschool</v>
      </c>
      <c r="E142" s="935"/>
      <c r="F142" s="1803">
        <v>0</v>
      </c>
      <c r="G142" s="903"/>
    </row>
    <row r="143" spans="1:7" s="865" customFormat="1" hidden="1" x14ac:dyDescent="0.2">
      <c r="A143" s="932" t="s">
        <v>215</v>
      </c>
      <c r="B143" s="932" t="s">
        <v>228</v>
      </c>
      <c r="C143" s="933" t="s">
        <v>225</v>
      </c>
      <c r="D143" s="934" t="str">
        <f>'Revenues 9-14'!A237</f>
        <v>ARRA - IDEA - Part B - Flow-Through</v>
      </c>
      <c r="E143" s="935"/>
      <c r="F143" s="1803">
        <f>SUM('Revenues 9-14'!C237:G237,'Revenues 9-14'!J237)</f>
        <v>0</v>
      </c>
      <c r="G143" s="903"/>
    </row>
    <row r="144" spans="1:7" s="865" customFormat="1" hidden="1" x14ac:dyDescent="0.2">
      <c r="A144" s="932" t="s">
        <v>215</v>
      </c>
      <c r="B144" s="932" t="s">
        <v>860</v>
      </c>
      <c r="C144" s="933" t="s">
        <v>227</v>
      </c>
      <c r="D144" s="934" t="str">
        <f>'Revenues 9-14'!A238</f>
        <v>ARRA - Title IID - Technology-Formula</v>
      </c>
      <c r="E144" s="935"/>
      <c r="F144" s="1803">
        <f>SUM('Revenues 9-14'!C238:G238,'Revenues 9-14'!J238)</f>
        <v>0</v>
      </c>
      <c r="G144" s="903"/>
    </row>
    <row r="145" spans="1:7" s="865" customFormat="1" hidden="1" x14ac:dyDescent="0.2">
      <c r="A145" s="932" t="s">
        <v>215</v>
      </c>
      <c r="B145" s="932" t="s">
        <v>1486</v>
      </c>
      <c r="C145" s="933" t="s">
        <v>229</v>
      </c>
      <c r="D145" s="934" t="str">
        <f>'Revenues 9-14'!A239</f>
        <v>ARRA - Title IID - Technology-Competitive</v>
      </c>
      <c r="E145" s="935"/>
      <c r="F145" s="1803">
        <f>SUM('Revenues 9-14'!C239:G239,'Revenues 9-14'!J239)</f>
        <v>0</v>
      </c>
      <c r="G145" s="903"/>
    </row>
    <row r="146" spans="1:7" s="865" customFormat="1" hidden="1" x14ac:dyDescent="0.2">
      <c r="A146" s="932" t="s">
        <v>689</v>
      </c>
      <c r="B146" s="932" t="s">
        <v>1487</v>
      </c>
      <c r="C146" s="933" t="s">
        <v>230</v>
      </c>
      <c r="D146" s="934" t="str">
        <f>'Revenues 9-14'!A240</f>
        <v>ARRA - McKinney - Vento Homeless Education</v>
      </c>
      <c r="E146" s="935"/>
      <c r="F146" s="1803">
        <f>SUM('Revenues 9-14'!C240:G240,'Revenues 9-14'!J240)</f>
        <v>0</v>
      </c>
      <c r="G146" s="903"/>
    </row>
    <row r="147" spans="1:7" s="865" customFormat="1" hidden="1" x14ac:dyDescent="0.2">
      <c r="A147" s="932" t="s">
        <v>215</v>
      </c>
      <c r="B147" s="932" t="s">
        <v>233</v>
      </c>
      <c r="C147" s="933" t="s">
        <v>231</v>
      </c>
      <c r="D147" s="934" t="str">
        <f>'Revenues 9-14'!A244</f>
        <v>Qualified Zone Academy Bond Tax Credits</v>
      </c>
      <c r="E147" s="935"/>
      <c r="F147" s="1803">
        <f>SUM('Revenues 9-14'!C244:G244,'Revenues 9-14'!J244)</f>
        <v>0</v>
      </c>
      <c r="G147" s="903"/>
    </row>
    <row r="148" spans="1:7" s="865" customFormat="1" hidden="1" x14ac:dyDescent="0.2">
      <c r="A148" s="932" t="s">
        <v>215</v>
      </c>
      <c r="B148" s="932" t="s">
        <v>235</v>
      </c>
      <c r="C148" s="933" t="s">
        <v>232</v>
      </c>
      <c r="D148" s="934" t="str">
        <f>'Revenues 9-14'!A245</f>
        <v>Qualified School Construction Bond Credits</v>
      </c>
      <c r="E148" s="935"/>
      <c r="F148" s="1803">
        <f>SUM('Revenues 9-14'!C245:G245,'Revenues 9-14'!J245)</f>
        <v>0</v>
      </c>
      <c r="G148" s="903"/>
    </row>
    <row r="149" spans="1:7" s="865" customFormat="1" hidden="1" x14ac:dyDescent="0.2">
      <c r="A149" s="932" t="s">
        <v>215</v>
      </c>
      <c r="B149" s="932" t="s">
        <v>237</v>
      </c>
      <c r="C149" s="933" t="s">
        <v>234</v>
      </c>
      <c r="D149" s="934" t="str">
        <f>'Revenues 9-14'!A246</f>
        <v>Build America Bond Tax Credits</v>
      </c>
      <c r="E149" s="935"/>
      <c r="F149" s="1803">
        <f>SUM('Revenues 9-14'!C246:G246,'Revenues 9-14'!J246)</f>
        <v>0</v>
      </c>
      <c r="G149" s="903"/>
    </row>
    <row r="150" spans="1:7" s="865" customFormat="1" hidden="1" x14ac:dyDescent="0.2">
      <c r="A150" s="932" t="s">
        <v>215</v>
      </c>
      <c r="B150" s="932" t="s">
        <v>1488</v>
      </c>
      <c r="C150" s="933" t="s">
        <v>236</v>
      </c>
      <c r="D150" s="934" t="str">
        <f>'Revenues 9-14'!A247</f>
        <v>Build America Bond Interest Reimbursement</v>
      </c>
      <c r="E150" s="935"/>
      <c r="F150" s="1803">
        <f>SUM('Revenues 9-14'!C247:G247,'Revenues 9-14'!J247)</f>
        <v>0</v>
      </c>
      <c r="G150" s="903"/>
    </row>
    <row r="151" spans="1:7" s="865" customFormat="1" hidden="1" x14ac:dyDescent="0.2">
      <c r="A151" s="932" t="s">
        <v>215</v>
      </c>
      <c r="B151" s="932" t="s">
        <v>240</v>
      </c>
      <c r="C151" s="933" t="s">
        <v>238</v>
      </c>
      <c r="D151" s="934" t="str">
        <f>'Revenues 9-14'!A249</f>
        <v>Other ARRA Funds - II</v>
      </c>
      <c r="E151" s="935"/>
      <c r="F151" s="1803">
        <f>SUM('Revenues 9-14'!C249:G249,'Revenues 9-14'!J249)</f>
        <v>0</v>
      </c>
      <c r="G151" s="903"/>
    </row>
    <row r="152" spans="1:7" s="865" customFormat="1" hidden="1" x14ac:dyDescent="0.2">
      <c r="A152" s="932" t="s">
        <v>215</v>
      </c>
      <c r="B152" s="932" t="s">
        <v>242</v>
      </c>
      <c r="C152" s="933" t="s">
        <v>239</v>
      </c>
      <c r="D152" s="934" t="str">
        <f>'Revenues 9-14'!A250</f>
        <v>Other ARRA Funds - III</v>
      </c>
      <c r="E152" s="935"/>
      <c r="F152" s="1803">
        <f>SUM('Revenues 9-14'!C250:G250,'Revenues 9-14'!J250)</f>
        <v>0</v>
      </c>
      <c r="G152" s="903"/>
    </row>
    <row r="153" spans="1:7" s="865" customFormat="1" hidden="1" x14ac:dyDescent="0.2">
      <c r="A153" s="932" t="s">
        <v>215</v>
      </c>
      <c r="B153" s="932" t="s">
        <v>244</v>
      </c>
      <c r="C153" s="933" t="s">
        <v>241</v>
      </c>
      <c r="D153" s="934" t="str">
        <f>'Revenues 9-14'!A251</f>
        <v>Other ARRA Funds - IV</v>
      </c>
      <c r="E153" s="935"/>
      <c r="F153" s="1803">
        <f>SUM('Revenues 9-14'!C251:G251,'Revenues 9-14'!J251)</f>
        <v>0</v>
      </c>
      <c r="G153" s="903"/>
    </row>
    <row r="154" spans="1:7" s="865" customFormat="1" hidden="1" x14ac:dyDescent="0.2">
      <c r="A154" s="932" t="s">
        <v>215</v>
      </c>
      <c r="B154" s="932" t="s">
        <v>246</v>
      </c>
      <c r="C154" s="933" t="s">
        <v>243</v>
      </c>
      <c r="D154" s="934" t="str">
        <f>'Revenues 9-14'!A252</f>
        <v>Other ARRA Funds - V</v>
      </c>
      <c r="E154" s="935"/>
      <c r="F154" s="1803">
        <f>SUM('Revenues 9-14'!C252:G252,'Revenues 9-14'!J252)</f>
        <v>0</v>
      </c>
      <c r="G154" s="903"/>
    </row>
    <row r="155" spans="1:7" s="865" customFormat="1" hidden="1" x14ac:dyDescent="0.2">
      <c r="A155" s="932" t="s">
        <v>215</v>
      </c>
      <c r="B155" s="932" t="s">
        <v>248</v>
      </c>
      <c r="C155" s="933" t="s">
        <v>245</v>
      </c>
      <c r="D155" s="934" t="str">
        <f>'Revenues 9-14'!A253</f>
        <v>ARRA - Early Childhood</v>
      </c>
      <c r="E155" s="935"/>
      <c r="F155" s="1803">
        <v>0</v>
      </c>
      <c r="G155" s="903"/>
    </row>
    <row r="156" spans="1:7" s="865" customFormat="1" hidden="1" x14ac:dyDescent="0.2">
      <c r="A156" s="932" t="s">
        <v>215</v>
      </c>
      <c r="B156" s="932" t="s">
        <v>250</v>
      </c>
      <c r="C156" s="933" t="s">
        <v>247</v>
      </c>
      <c r="D156" s="934" t="str">
        <f>'Revenues 9-14'!A254</f>
        <v>Other ARRA Funds VII</v>
      </c>
      <c r="E156" s="935"/>
      <c r="F156" s="1803">
        <f>SUM('Revenues 9-14'!C254:G254,'Revenues 9-14'!J254)</f>
        <v>0</v>
      </c>
      <c r="G156" s="903"/>
    </row>
    <row r="157" spans="1:7" s="865" customFormat="1" hidden="1" x14ac:dyDescent="0.2">
      <c r="A157" s="932" t="s">
        <v>215</v>
      </c>
      <c r="B157" s="932" t="s">
        <v>252</v>
      </c>
      <c r="C157" s="933" t="s">
        <v>249</v>
      </c>
      <c r="D157" s="934" t="str">
        <f>'Revenues 9-14'!A255</f>
        <v>Other ARRA Funds VIII</v>
      </c>
      <c r="E157" s="935"/>
      <c r="F157" s="1803">
        <f>SUM('Revenues 9-14'!C255:G255,'Revenues 9-14'!J255)</f>
        <v>0</v>
      </c>
      <c r="G157" s="903"/>
    </row>
    <row r="158" spans="1:7" s="865" customFormat="1" hidden="1" x14ac:dyDescent="0.2">
      <c r="A158" s="932" t="s">
        <v>215</v>
      </c>
      <c r="B158" s="932" t="s">
        <v>254</v>
      </c>
      <c r="C158" s="933" t="s">
        <v>251</v>
      </c>
      <c r="D158" s="934" t="str">
        <f>'Revenues 9-14'!A256</f>
        <v>Other ARRA Funds IX</v>
      </c>
      <c r="E158" s="935"/>
      <c r="F158" s="1803">
        <f>SUM('Revenues 9-14'!C256:G256,'Revenues 9-14'!J256)</f>
        <v>0</v>
      </c>
      <c r="G158" s="903"/>
    </row>
    <row r="159" spans="1:7" s="865" customFormat="1" hidden="1" x14ac:dyDescent="0.2">
      <c r="A159" s="932" t="s">
        <v>215</v>
      </c>
      <c r="B159" s="932" t="s">
        <v>863</v>
      </c>
      <c r="C159" s="933" t="s">
        <v>253</v>
      </c>
      <c r="D159" s="934" t="str">
        <f>'Revenues 9-14'!A257</f>
        <v>Other ARRA Funds X</v>
      </c>
      <c r="E159" s="935"/>
      <c r="F159" s="1803">
        <f>SUM('Revenues 9-14'!C257:G257,'Revenues 9-14'!J257)</f>
        <v>0</v>
      </c>
      <c r="G159" s="903"/>
    </row>
    <row r="160" spans="1:7" s="865" customFormat="1" hidden="1" x14ac:dyDescent="0.2">
      <c r="A160" s="932" t="s">
        <v>215</v>
      </c>
      <c r="B160" s="932" t="s">
        <v>1489</v>
      </c>
      <c r="C160" s="933" t="s">
        <v>255</v>
      </c>
      <c r="D160" s="934" t="str">
        <f>'Revenues 9-14'!A258</f>
        <v>Other ARRA Funds Ed Job Fund Program</v>
      </c>
      <c r="E160" s="935"/>
      <c r="F160" s="1803">
        <f>SUM('Revenues 9-14'!C258:G258,'Revenues 9-14'!J258)</f>
        <v>0</v>
      </c>
      <c r="G160" s="903"/>
    </row>
    <row r="161" spans="1:7" s="865" customFormat="1" x14ac:dyDescent="0.2">
      <c r="A161" s="936" t="s">
        <v>521</v>
      </c>
      <c r="B161" s="937" t="s">
        <v>1564</v>
      </c>
      <c r="C161" s="938" t="s">
        <v>896</v>
      </c>
      <c r="D161" s="939" t="s">
        <v>808</v>
      </c>
      <c r="E161" s="940"/>
      <c r="F161" s="1803">
        <f>SUM(F137:F160)</f>
        <v>0</v>
      </c>
      <c r="G161" s="903"/>
    </row>
    <row r="162" spans="1:7" s="865" customFormat="1" x14ac:dyDescent="0.2">
      <c r="A162" s="936" t="s">
        <v>479</v>
      </c>
      <c r="B162" s="937" t="s">
        <v>1501</v>
      </c>
      <c r="C162" s="938" t="s">
        <v>1499</v>
      </c>
      <c r="D162" s="939" t="s">
        <v>1500</v>
      </c>
      <c r="E162" s="940"/>
      <c r="F162" s="1803">
        <f>SUM('Revenues 9-14'!C260)</f>
        <v>0</v>
      </c>
      <c r="G162" s="903"/>
    </row>
    <row r="163" spans="1:7" s="865" customFormat="1" x14ac:dyDescent="0.2">
      <c r="A163" s="936" t="s">
        <v>521</v>
      </c>
      <c r="B163" s="937" t="s">
        <v>1541</v>
      </c>
      <c r="C163" s="938" t="s">
        <v>1542</v>
      </c>
      <c r="D163" s="939" t="s">
        <v>1543</v>
      </c>
      <c r="E163" s="940"/>
      <c r="F163" s="1803">
        <f>SUM('Revenues 9-14'!C261:H261,'Revenues 9-14'!J261:K261)</f>
        <v>0</v>
      </c>
      <c r="G163" s="903"/>
    </row>
    <row r="164" spans="1:7" x14ac:dyDescent="0.2">
      <c r="A164" s="925" t="s">
        <v>1067</v>
      </c>
      <c r="B164" s="925" t="s">
        <v>1556</v>
      </c>
      <c r="C164" s="930">
        <f>'Revenues 9-14'!B262</f>
        <v>4904</v>
      </c>
      <c r="D164" s="927" t="str">
        <f>'Revenues 9-14'!A262</f>
        <v>Advanced Placement Fee/International Baccalaureate</v>
      </c>
      <c r="E164" s="904"/>
      <c r="F164" s="1803">
        <f>SUM('Revenues 9-14'!C262,'Revenues 9-14'!D262,'Revenues 9-14'!G262)</f>
        <v>0</v>
      </c>
      <c r="G164" s="928"/>
    </row>
    <row r="165" spans="1:7" x14ac:dyDescent="0.2">
      <c r="A165" s="925" t="s">
        <v>5</v>
      </c>
      <c r="B165" s="925" t="s">
        <v>809</v>
      </c>
      <c r="C165" s="930">
        <f>'Revenues 9-14'!B263</f>
        <v>4905</v>
      </c>
      <c r="D165" s="927" t="str">
        <f>'Revenues 9-14'!A263</f>
        <v>Title III - Immigrant Education Program (IEP)</v>
      </c>
      <c r="E165" s="904"/>
      <c r="F165" s="1803">
        <f>SUM('Revenues 9-14'!C263,'Revenues 9-14'!F263,'Revenues 9-14'!G263)</f>
        <v>0</v>
      </c>
      <c r="G165" s="941">
        <v>6306</v>
      </c>
    </row>
    <row r="166" spans="1:7" x14ac:dyDescent="0.2">
      <c r="A166" s="925" t="s">
        <v>5</v>
      </c>
      <c r="B166" s="925" t="s">
        <v>1502</v>
      </c>
      <c r="C166" s="930">
        <f>'Revenues 9-14'!B264</f>
        <v>4909</v>
      </c>
      <c r="D166" s="927" t="str">
        <f>'Revenues 9-14'!A264</f>
        <v>Title III - Language Inst Program - Limited Eng (LIPLEP)</v>
      </c>
      <c r="E166" s="904"/>
      <c r="F166" s="1803">
        <f>SUM('Revenues 9-14'!C264,'Revenues 9-14'!F264,'Revenues 9-14'!G264)</f>
        <v>0</v>
      </c>
      <c r="G166" s="941"/>
    </row>
    <row r="167" spans="1:7" x14ac:dyDescent="0.2">
      <c r="A167" s="925" t="s">
        <v>5</v>
      </c>
      <c r="B167" s="925" t="s">
        <v>1557</v>
      </c>
      <c r="C167" s="930">
        <f>'Revenues 9-14'!B265</f>
        <v>4910</v>
      </c>
      <c r="D167" s="927" t="str">
        <f>'Revenues 9-14'!A265</f>
        <v>Learn &amp; Serve America</v>
      </c>
      <c r="E167" s="904"/>
      <c r="F167" s="1803">
        <f>SUM('Revenues 9-14'!C265,'Revenues 9-14'!F265,'Revenues 9-14'!G265)</f>
        <v>0</v>
      </c>
      <c r="G167" s="928"/>
    </row>
    <row r="168" spans="1:7" x14ac:dyDescent="0.2">
      <c r="A168" s="925" t="s">
        <v>689</v>
      </c>
      <c r="B168" s="925" t="s">
        <v>707</v>
      </c>
      <c r="C168" s="930">
        <f>'Revenues 9-14'!B266</f>
        <v>4920</v>
      </c>
      <c r="D168" s="927" t="str">
        <f>'Revenues 9-14'!A266</f>
        <v>McKinney Education for Homeless Children</v>
      </c>
      <c r="E168" s="904"/>
      <c r="F168" s="1803">
        <f>SUM('Revenues 9-14'!C266,'Revenues 9-14'!D266,'Revenues 9-14'!F266,'Revenues 9-14'!G266)</f>
        <v>0</v>
      </c>
      <c r="G168" s="928"/>
    </row>
    <row r="169" spans="1:7" x14ac:dyDescent="0.2">
      <c r="A169" s="942" t="s">
        <v>689</v>
      </c>
      <c r="B169" s="942" t="s">
        <v>708</v>
      </c>
      <c r="C169" s="943">
        <f>'Revenues 9-14'!B267</f>
        <v>4930</v>
      </c>
      <c r="D169" s="944" t="str">
        <f>'Revenues 9-14'!A267</f>
        <v>Title II - Eisenhower Professional Development Formula</v>
      </c>
      <c r="E169" s="924"/>
      <c r="F169" s="1925">
        <f>SUM('Revenues 9-14'!C267:D267,'Revenues 9-14'!F267,'Revenues 9-14'!G267)</f>
        <v>0</v>
      </c>
      <c r="G169" s="928"/>
    </row>
    <row r="170" spans="1:7" x14ac:dyDescent="0.2">
      <c r="A170" s="925" t="s">
        <v>689</v>
      </c>
      <c r="B170" s="925" t="s">
        <v>709</v>
      </c>
      <c r="C170" s="930">
        <f>'Revenues 9-14'!B268</f>
        <v>4932</v>
      </c>
      <c r="D170" s="931" t="str">
        <f>'Revenues 9-14'!A268</f>
        <v>Title II - Teacher Quality</v>
      </c>
      <c r="E170" s="904"/>
      <c r="F170" s="1925">
        <f>SUM('Revenues 9-14'!C268,'Revenues 9-14'!D268,'Revenues 9-14'!F268,'Revenues 9-14'!G268)</f>
        <v>51250</v>
      </c>
      <c r="G170" s="928"/>
    </row>
    <row r="171" spans="1:7" x14ac:dyDescent="0.2">
      <c r="A171" s="925" t="s">
        <v>689</v>
      </c>
      <c r="B171" s="925" t="s">
        <v>864</v>
      </c>
      <c r="C171" s="930">
        <f>'Revenues 9-14'!B269</f>
        <v>4960</v>
      </c>
      <c r="D171" s="927" t="str">
        <f>'Revenues 9-14'!A269</f>
        <v>Federal Charter Schools</v>
      </c>
      <c r="E171" s="904"/>
      <c r="F171" s="1803">
        <f>SUM('Revenues 9-14'!C269:D269,'Revenues 9-14'!F269:G269)</f>
        <v>0</v>
      </c>
      <c r="G171" s="928"/>
    </row>
    <row r="172" spans="1:7" x14ac:dyDescent="0.2">
      <c r="A172" s="925" t="s">
        <v>689</v>
      </c>
      <c r="B172" s="925" t="s">
        <v>810</v>
      </c>
      <c r="C172" s="930">
        <f>'Revenues 9-14'!B270</f>
        <v>4991</v>
      </c>
      <c r="D172" s="931" t="str">
        <f>'Revenues 9-14'!A270</f>
        <v>Medicaid Matching Funds - Administrative Outreach</v>
      </c>
      <c r="E172" s="904"/>
      <c r="F172" s="1803">
        <f>SUM('Revenues 9-14'!C270:D270,'Revenues 9-14'!F270:G270)</f>
        <v>14063</v>
      </c>
      <c r="G172" s="945">
        <v>6320</v>
      </c>
    </row>
    <row r="173" spans="1:7" x14ac:dyDescent="0.2">
      <c r="A173" s="925" t="s">
        <v>689</v>
      </c>
      <c r="B173" s="925" t="s">
        <v>1503</v>
      </c>
      <c r="C173" s="930">
        <f>'Revenues 9-14'!B271</f>
        <v>4992</v>
      </c>
      <c r="D173" s="931" t="str">
        <f>'Revenues 9-14'!A271</f>
        <v>Medicaid Matching Funds - Fee-for-Service Program</v>
      </c>
      <c r="E173" s="904"/>
      <c r="F173" s="1803">
        <f>SUM('Revenues 9-14'!C271:D271,'Revenues 9-14'!F271:G271)</f>
        <v>145635</v>
      </c>
      <c r="G173" s="945"/>
    </row>
    <row r="174" spans="1:7" x14ac:dyDescent="0.2">
      <c r="A174" s="946" t="s">
        <v>689</v>
      </c>
      <c r="B174" s="942" t="s">
        <v>1558</v>
      </c>
      <c r="C174" s="943">
        <f>'Revenues 9-14'!B272</f>
        <v>4999</v>
      </c>
      <c r="D174" s="944" t="str">
        <f>'Revenues 9-14'!A272</f>
        <v>Other Restricted Revenue from Federal Sources (Describe &amp; Itemize)</v>
      </c>
      <c r="E174" s="904"/>
      <c r="F174" s="1803">
        <f>SUM('Revenues 9-14'!C272:D272,'Revenues 9-14'!F272:G272)</f>
        <v>0</v>
      </c>
      <c r="G174" s="925"/>
    </row>
    <row r="175" spans="1:7" x14ac:dyDescent="0.2">
      <c r="A175" s="1936" t="s">
        <v>5</v>
      </c>
      <c r="B175" s="1937" t="s">
        <v>2055</v>
      </c>
      <c r="C175" s="1938">
        <v>3100</v>
      </c>
      <c r="D175" s="1939" t="s">
        <v>2058</v>
      </c>
      <c r="E175" s="904"/>
      <c r="F175" s="1923">
        <v>740142</v>
      </c>
      <c r="G175" s="925"/>
    </row>
    <row r="176" spans="1:7" x14ac:dyDescent="0.2">
      <c r="A176" s="1936" t="s">
        <v>685</v>
      </c>
      <c r="B176" s="1937" t="s">
        <v>2055</v>
      </c>
      <c r="C176" s="1938">
        <v>3300</v>
      </c>
      <c r="D176" s="1939" t="s">
        <v>2059</v>
      </c>
      <c r="E176" s="904"/>
      <c r="F176" s="1923">
        <v>22373</v>
      </c>
      <c r="G176" s="925"/>
    </row>
    <row r="177" spans="1:7" ht="6" customHeight="1" x14ac:dyDescent="0.2">
      <c r="A177" s="925"/>
      <c r="B177" s="925"/>
      <c r="C177" s="947"/>
      <c r="D177" s="925"/>
      <c r="E177" s="904"/>
      <c r="F177" s="948"/>
      <c r="G177" s="945"/>
    </row>
    <row r="178" spans="1:7" x14ac:dyDescent="0.2">
      <c r="A178" s="1784"/>
      <c r="B178" s="1798"/>
      <c r="C178" s="1799"/>
      <c r="D178" s="1800" t="s">
        <v>2011</v>
      </c>
      <c r="E178" s="1801" t="s">
        <v>1015</v>
      </c>
      <c r="F178" s="1802">
        <f>SUM(F84:F136,F161:F176)</f>
        <v>5769882</v>
      </c>
    </row>
    <row r="179" spans="1:7" ht="12" customHeight="1" x14ac:dyDescent="0.2">
      <c r="A179" s="1784"/>
      <c r="B179" s="1798"/>
      <c r="C179" s="1799"/>
      <c r="D179" s="1800" t="s">
        <v>2012</v>
      </c>
      <c r="E179" s="1801"/>
      <c r="F179" s="1803">
        <f>'PCTC-OEPP 27-28'!F77-F178</f>
        <v>22324775</v>
      </c>
    </row>
    <row r="180" spans="1:7" ht="12" customHeight="1" x14ac:dyDescent="0.2">
      <c r="A180" s="1784"/>
      <c r="B180" s="1798"/>
      <c r="C180" s="1799"/>
      <c r="D180" s="1800" t="s">
        <v>1921</v>
      </c>
      <c r="E180" s="1801"/>
      <c r="F180" s="1803">
        <f>'Cap Outlay Deprec 26'!I18</f>
        <v>813018.7</v>
      </c>
    </row>
    <row r="181" spans="1:7" ht="12" customHeight="1" x14ac:dyDescent="0.2">
      <c r="A181" s="1784"/>
      <c r="B181" s="1798"/>
      <c r="C181" s="1799"/>
      <c r="D181" s="1800" t="s">
        <v>2013</v>
      </c>
      <c r="E181" s="1801"/>
      <c r="F181" s="1803">
        <f>F179+F180</f>
        <v>23137793.699999999</v>
      </c>
    </row>
    <row r="182" spans="1:7" ht="12" customHeight="1" x14ac:dyDescent="0.2">
      <c r="A182" s="1784"/>
      <c r="B182" s="1804"/>
      <c r="C182" s="1799"/>
      <c r="D182" s="1800" t="str">
        <f>D78</f>
        <v>9 Month ADA from District Average Daily Attendance/Prior General State Aid Inquiry 2017-2018</v>
      </c>
      <c r="E182" s="1801"/>
      <c r="F182" s="1805">
        <f>'PCTC-OEPP 27-28'!F78</f>
        <v>1925.01</v>
      </c>
      <c r="G182" s="928"/>
    </row>
    <row r="183" spans="1:7" ht="12" customHeight="1" thickBot="1" x14ac:dyDescent="0.25">
      <c r="A183" s="1784"/>
      <c r="B183" s="1804"/>
      <c r="C183" s="1799"/>
      <c r="D183" s="1800" t="s">
        <v>2014</v>
      </c>
      <c r="E183" s="1801" t="s">
        <v>1626</v>
      </c>
      <c r="F183" s="1806">
        <f>F181/F182</f>
        <v>12019.570651581031</v>
      </c>
      <c r="G183" s="854">
        <v>6323</v>
      </c>
    </row>
    <row r="184" spans="1:7" ht="12" thickTop="1" x14ac:dyDescent="0.2">
      <c r="B184" s="928"/>
      <c r="C184" s="947"/>
      <c r="D184" s="928"/>
      <c r="E184" s="947"/>
      <c r="F184" s="928"/>
      <c r="G184" s="949">
        <v>6326</v>
      </c>
    </row>
    <row r="185" spans="1:7" ht="12.2" customHeight="1" x14ac:dyDescent="0.2">
      <c r="A185" s="928" t="s">
        <v>2057</v>
      </c>
      <c r="B185" s="928"/>
      <c r="C185" s="947"/>
      <c r="D185" s="928"/>
      <c r="E185" s="947"/>
      <c r="F185" s="928"/>
      <c r="G185" s="928"/>
    </row>
    <row r="186" spans="1:7" s="1940" customFormat="1" ht="12.2" customHeight="1" x14ac:dyDescent="0.2">
      <c r="A186" s="1940" t="s">
        <v>2062</v>
      </c>
      <c r="B186" s="1941"/>
      <c r="C186" s="1942"/>
      <c r="D186" s="1941"/>
      <c r="E186" s="1942"/>
      <c r="F186" s="1941"/>
      <c r="G186" s="1941"/>
    </row>
    <row r="187" spans="1:7" s="1940" customFormat="1" ht="12.2" customHeight="1" x14ac:dyDescent="0.2">
      <c r="A187" s="1943" t="s">
        <v>2063</v>
      </c>
      <c r="C187" s="1942"/>
      <c r="D187" s="1941"/>
      <c r="E187" s="1942"/>
      <c r="F187" s="1941"/>
      <c r="G187" s="1941"/>
    </row>
    <row r="188" spans="1:7" ht="12" customHeight="1" x14ac:dyDescent="0.2">
      <c r="C188" s="947"/>
      <c r="D188" s="928"/>
      <c r="E188" s="947"/>
      <c r="F188" s="928"/>
      <c r="G188" s="928"/>
    </row>
    <row r="189" spans="1:7" x14ac:dyDescent="0.2">
      <c r="A189" s="1944" t="s">
        <v>2061</v>
      </c>
      <c r="B189" s="1945" t="s">
        <v>2060</v>
      </c>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row r="203" spans="1:7" x14ac:dyDescent="0.2">
      <c r="A203" s="928"/>
      <c r="B203" s="928"/>
      <c r="C203" s="947"/>
      <c r="D203" s="928"/>
      <c r="E203" s="947"/>
      <c r="F203" s="928"/>
      <c r="G203" s="928"/>
    </row>
    <row r="204" spans="1:7" x14ac:dyDescent="0.2">
      <c r="A204" s="928"/>
      <c r="B204" s="928"/>
      <c r="C204" s="947"/>
      <c r="D204" s="928"/>
      <c r="E204" s="947"/>
      <c r="F204" s="928"/>
      <c r="G204" s="928"/>
    </row>
    <row r="205" spans="1:7" x14ac:dyDescent="0.2">
      <c r="A205" s="928"/>
      <c r="B205" s="928"/>
      <c r="C205" s="947"/>
      <c r="D205" s="928"/>
      <c r="E205" s="947"/>
      <c r="F205" s="928"/>
      <c r="G205" s="928"/>
    </row>
    <row r="206" spans="1:7" x14ac:dyDescent="0.2">
      <c r="A206" s="928"/>
      <c r="B206" s="928"/>
      <c r="C206" s="947"/>
      <c r="D206" s="928"/>
      <c r="E206" s="947"/>
      <c r="F206" s="928"/>
      <c r="G206" s="928"/>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7"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41"/>
  <sheetViews>
    <sheetView showGridLines="0" workbookViewId="0">
      <pane ySplit="16" topLeftCell="A17" activePane="bottomLeft" state="frozen"/>
      <selection pane="bottomLeft" activeCell="C21" sqref="C21"/>
    </sheetView>
  </sheetViews>
  <sheetFormatPr defaultColWidth="9.140625" defaultRowHeight="15" x14ac:dyDescent="0.25"/>
  <cols>
    <col min="1" max="1" width="52" style="1556" customWidth="1"/>
    <col min="2" max="2" width="16.42578125" style="1557" bestFit="1" customWidth="1"/>
    <col min="3" max="3" width="33.7109375" style="1557" customWidth="1"/>
    <col min="4" max="4" width="16.28515625" style="1558" customWidth="1"/>
    <col min="5" max="5" width="0.140625" style="1558" hidden="1" customWidth="1"/>
    <col min="6" max="6" width="23.5703125" style="1558" customWidth="1"/>
    <col min="7" max="7" width="23.28515625" style="1557" customWidth="1"/>
    <col min="8" max="16384" width="9.140625" style="1547"/>
  </cols>
  <sheetData>
    <row r="1" spans="1:7" ht="15" customHeight="1" x14ac:dyDescent="0.25">
      <c r="A1" s="1673" t="s">
        <v>1937</v>
      </c>
      <c r="B1" s="1674"/>
      <c r="C1" s="1674"/>
      <c r="D1" s="1674"/>
      <c r="E1" s="1674"/>
      <c r="F1" s="1674"/>
      <c r="G1" s="1674"/>
    </row>
    <row r="2" spans="1:7" x14ac:dyDescent="0.25">
      <c r="A2" s="1671"/>
      <c r="B2" s="1671"/>
      <c r="C2" s="1672" t="s">
        <v>1036</v>
      </c>
      <c r="D2" s="1671"/>
      <c r="E2" s="1671"/>
      <c r="F2" s="1671"/>
      <c r="G2" s="1671"/>
    </row>
    <row r="3" spans="1:7" ht="5.25" customHeight="1" x14ac:dyDescent="0.25">
      <c r="A3" s="1559"/>
      <c r="B3" s="1559"/>
      <c r="C3" s="1559"/>
      <c r="D3" s="1559"/>
      <c r="E3" s="1559"/>
      <c r="F3" s="1559"/>
      <c r="G3" s="1559"/>
    </row>
    <row r="4" spans="1:7" ht="18.75" customHeight="1" x14ac:dyDescent="0.25">
      <c r="A4" s="2346" t="s">
        <v>1922</v>
      </c>
      <c r="B4" s="2347"/>
      <c r="C4" s="2347"/>
      <c r="D4" s="2347"/>
      <c r="E4" s="2347"/>
      <c r="F4" s="2347"/>
      <c r="G4" s="2348"/>
    </row>
    <row r="5" spans="1:7" x14ac:dyDescent="0.25">
      <c r="A5" s="2349"/>
      <c r="B5" s="2350"/>
      <c r="C5" s="2350"/>
      <c r="D5" s="2350"/>
      <c r="E5" s="2350"/>
      <c r="F5" s="2350"/>
      <c r="G5" s="2351"/>
    </row>
    <row r="6" spans="1:7" ht="18.75" x14ac:dyDescent="0.25">
      <c r="A6" s="1548" t="s">
        <v>1923</v>
      </c>
      <c r="B6" s="1549"/>
      <c r="C6" s="1549"/>
      <c r="D6" s="1549"/>
      <c r="E6" s="1549"/>
      <c r="F6" s="1549"/>
      <c r="G6" s="1550"/>
    </row>
    <row r="7" spans="1:7" ht="30.75" customHeight="1" x14ac:dyDescent="0.25">
      <c r="A7" s="2352" t="s">
        <v>2072</v>
      </c>
      <c r="B7" s="2353"/>
      <c r="C7" s="2353"/>
      <c r="D7" s="2353"/>
      <c r="E7" s="2353"/>
      <c r="F7" s="2353"/>
      <c r="G7" s="2354"/>
    </row>
    <row r="8" spans="1:7" ht="15.75" customHeight="1" x14ac:dyDescent="0.25">
      <c r="A8" s="2355" t="s">
        <v>2021</v>
      </c>
      <c r="B8" s="2356"/>
      <c r="C8" s="2356"/>
      <c r="D8" s="2356"/>
      <c r="E8" s="2356"/>
      <c r="F8" s="2356"/>
      <c r="G8" s="2357"/>
    </row>
    <row r="9" spans="1:7" ht="35.25" customHeight="1" x14ac:dyDescent="0.25">
      <c r="A9" s="2352" t="s">
        <v>2020</v>
      </c>
      <c r="B9" s="2353"/>
      <c r="C9" s="2353"/>
      <c r="D9" s="2353"/>
      <c r="E9" s="2353"/>
      <c r="F9" s="2353"/>
      <c r="G9" s="2354"/>
    </row>
    <row r="10" spans="1:7" ht="15" customHeight="1" x14ac:dyDescent="0.25">
      <c r="A10" s="1551" t="s">
        <v>1924</v>
      </c>
      <c r="B10" s="1552"/>
      <c r="C10" s="1552"/>
      <c r="D10" s="1552"/>
      <c r="E10" s="1552"/>
      <c r="F10" s="1552"/>
      <c r="G10" s="1553"/>
    </row>
    <row r="11" spans="1:7" ht="17.25" customHeight="1" x14ac:dyDescent="0.25">
      <c r="A11" s="2352" t="s">
        <v>1938</v>
      </c>
      <c r="B11" s="2353"/>
      <c r="C11" s="2353"/>
      <c r="D11" s="2353"/>
      <c r="E11" s="2353"/>
      <c r="F11" s="2353"/>
      <c r="G11" s="2354"/>
    </row>
    <row r="12" spans="1:7" ht="15" customHeight="1" x14ac:dyDescent="0.25">
      <c r="A12" s="1551" t="s">
        <v>1929</v>
      </c>
      <c r="B12" s="1552"/>
      <c r="C12" s="1552"/>
      <c r="D12" s="1552"/>
      <c r="E12" s="1552"/>
      <c r="F12" s="1552"/>
      <c r="G12" s="1553"/>
    </row>
    <row r="13" spans="1:7" ht="32.25" customHeight="1" x14ac:dyDescent="0.25">
      <c r="A13" s="2343" t="s">
        <v>1930</v>
      </c>
      <c r="B13" s="2344"/>
      <c r="C13" s="2344"/>
      <c r="D13" s="2344"/>
      <c r="E13" s="2344"/>
      <c r="F13" s="2344"/>
      <c r="G13" s="2345"/>
    </row>
    <row r="14" spans="1:7" x14ac:dyDescent="0.25">
      <c r="A14" s="1675" t="s">
        <v>1939</v>
      </c>
      <c r="B14" s="1676"/>
      <c r="C14" s="1676"/>
      <c r="D14" s="1676"/>
      <c r="E14" s="1676"/>
      <c r="F14" s="1676"/>
      <c r="G14" s="1677"/>
    </row>
    <row r="15" spans="1:7" ht="61.5" customHeight="1" x14ac:dyDescent="0.25">
      <c r="A15" s="1560" t="s">
        <v>1931</v>
      </c>
      <c r="B15" s="1560" t="s">
        <v>1932</v>
      </c>
      <c r="C15" s="1560" t="s">
        <v>1933</v>
      </c>
      <c r="D15" s="1561" t="s">
        <v>1934</v>
      </c>
      <c r="E15" s="1561" t="s">
        <v>1925</v>
      </c>
      <c r="F15" s="1561" t="s">
        <v>1935</v>
      </c>
      <c r="G15" s="1561" t="s">
        <v>1936</v>
      </c>
    </row>
    <row r="16" spans="1:7" x14ac:dyDescent="0.25">
      <c r="A16" s="1662" t="s">
        <v>1940</v>
      </c>
      <c r="B16" s="1663" t="s">
        <v>1928</v>
      </c>
      <c r="C16" s="1664" t="s">
        <v>1926</v>
      </c>
      <c r="D16" s="1665">
        <v>500000</v>
      </c>
      <c r="E16" s="1665">
        <f>IF(D16&lt;=25000,D16,IF(D16&gt;25000,25000,0))</f>
        <v>25000</v>
      </c>
      <c r="F16" s="1665">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6">
        <f>IF(F16=0,"0",D16-F16)</f>
        <v>475000</v>
      </c>
    </row>
    <row r="17" spans="1:8" x14ac:dyDescent="0.25">
      <c r="A17" s="2014" t="s">
        <v>2190</v>
      </c>
      <c r="B17" s="2015" t="s">
        <v>2191</v>
      </c>
      <c r="C17" s="2016" t="s">
        <v>2192</v>
      </c>
      <c r="D17" s="1859">
        <v>73095</v>
      </c>
      <c r="E17" s="1554">
        <f t="shared" ref="E17:E141" si="1">IF(D17&lt;=25000,D17,IF(D17&gt;25000,25000,0))</f>
        <v>25000</v>
      </c>
      <c r="F17" s="1807">
        <f t="shared" si="0"/>
        <v>25000</v>
      </c>
      <c r="G17" s="1808">
        <f>IF(F17=0,0,D17-F17)</f>
        <v>48095</v>
      </c>
      <c r="H17" s="1661"/>
    </row>
    <row r="18" spans="1:8" x14ac:dyDescent="0.25">
      <c r="A18" s="2014" t="s">
        <v>2193</v>
      </c>
      <c r="B18" s="2015" t="s">
        <v>2194</v>
      </c>
      <c r="C18" s="2016" t="s">
        <v>2195</v>
      </c>
      <c r="D18" s="1859">
        <v>15845</v>
      </c>
      <c r="E18" s="1554">
        <f t="shared" ref="E18:E140" si="2">IF(D18&lt;=25000,D18,IF(D18&gt;25000,25000,0))</f>
        <v>15845</v>
      </c>
      <c r="F18" s="1807">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8">
        <f t="shared" ref="G18:G140" si="4">IF(F18=0,0,D18-F18)</f>
        <v>0</v>
      </c>
    </row>
    <row r="19" spans="1:8" x14ac:dyDescent="0.25">
      <c r="A19" s="1667"/>
      <c r="B19" s="1861"/>
      <c r="C19" s="1670"/>
      <c r="D19" s="1859"/>
      <c r="E19" s="1554">
        <f t="shared" si="2"/>
        <v>0</v>
      </c>
      <c r="F19" s="1807">
        <f t="shared" si="3"/>
        <v>0</v>
      </c>
      <c r="G19" s="1808">
        <f t="shared" si="4"/>
        <v>0</v>
      </c>
    </row>
    <row r="20" spans="1:8" x14ac:dyDescent="0.25">
      <c r="A20" s="1667"/>
      <c r="B20" s="1860"/>
      <c r="C20" s="1670"/>
      <c r="D20" s="1859"/>
      <c r="E20" s="1554">
        <f t="shared" si="2"/>
        <v>0</v>
      </c>
      <c r="F20" s="1807">
        <f t="shared" si="3"/>
        <v>0</v>
      </c>
      <c r="G20" s="1808">
        <f t="shared" si="4"/>
        <v>0</v>
      </c>
    </row>
    <row r="21" spans="1:8" x14ac:dyDescent="0.25">
      <c r="A21" s="1667"/>
      <c r="B21" s="1860"/>
      <c r="C21" s="1670"/>
      <c r="D21" s="1859"/>
      <c r="E21" s="1554">
        <f t="shared" si="2"/>
        <v>0</v>
      </c>
      <c r="F21" s="1807">
        <f t="shared" si="3"/>
        <v>0</v>
      </c>
      <c r="G21" s="1808">
        <f t="shared" si="4"/>
        <v>0</v>
      </c>
    </row>
    <row r="22" spans="1:8" x14ac:dyDescent="0.25">
      <c r="A22" s="1667"/>
      <c r="B22" s="1860"/>
      <c r="C22" s="1670"/>
      <c r="D22" s="1859"/>
      <c r="E22" s="1554">
        <f t="shared" si="2"/>
        <v>0</v>
      </c>
      <c r="F22" s="1807">
        <f t="shared" si="3"/>
        <v>0</v>
      </c>
      <c r="G22" s="1808">
        <f t="shared" si="4"/>
        <v>0</v>
      </c>
    </row>
    <row r="23" spans="1:8" x14ac:dyDescent="0.25">
      <c r="A23" s="1667"/>
      <c r="B23" s="1860"/>
      <c r="C23" s="1670"/>
      <c r="D23" s="1859"/>
      <c r="E23" s="1554">
        <f t="shared" si="2"/>
        <v>0</v>
      </c>
      <c r="F23" s="1807">
        <f t="shared" si="3"/>
        <v>0</v>
      </c>
      <c r="G23" s="1808">
        <f t="shared" si="4"/>
        <v>0</v>
      </c>
    </row>
    <row r="24" spans="1:8" x14ac:dyDescent="0.25">
      <c r="A24" s="1667"/>
      <c r="B24" s="1861"/>
      <c r="C24" s="1670"/>
      <c r="D24" s="1859"/>
      <c r="E24" s="1554">
        <f t="shared" si="2"/>
        <v>0</v>
      </c>
      <c r="F24" s="1807">
        <f t="shared" si="3"/>
        <v>0</v>
      </c>
      <c r="G24" s="1808">
        <f t="shared" si="4"/>
        <v>0</v>
      </c>
    </row>
    <row r="25" spans="1:8" x14ac:dyDescent="0.25">
      <c r="A25" s="1667"/>
      <c r="B25" s="1860"/>
      <c r="C25" s="1670"/>
      <c r="D25" s="1859"/>
      <c r="E25" s="1554">
        <f t="shared" si="2"/>
        <v>0</v>
      </c>
      <c r="F25" s="1807">
        <f t="shared" si="3"/>
        <v>0</v>
      </c>
      <c r="G25" s="1808">
        <f t="shared" si="4"/>
        <v>0</v>
      </c>
    </row>
    <row r="26" spans="1:8" x14ac:dyDescent="0.25">
      <c r="A26" s="1667"/>
      <c r="B26" s="1861"/>
      <c r="C26" s="1668"/>
      <c r="D26" s="1859"/>
      <c r="E26" s="1554">
        <f t="shared" si="2"/>
        <v>0</v>
      </c>
      <c r="F26" s="1807">
        <f t="shared" si="3"/>
        <v>0</v>
      </c>
      <c r="G26" s="1808">
        <f t="shared" si="4"/>
        <v>0</v>
      </c>
    </row>
    <row r="27" spans="1:8" x14ac:dyDescent="0.25">
      <c r="A27" s="1667"/>
      <c r="B27" s="1861"/>
      <c r="C27" s="1668"/>
      <c r="D27" s="1859"/>
      <c r="E27" s="1554">
        <f t="shared" si="2"/>
        <v>0</v>
      </c>
      <c r="F27" s="1807">
        <f t="shared" si="3"/>
        <v>0</v>
      </c>
      <c r="G27" s="1808">
        <f t="shared" si="4"/>
        <v>0</v>
      </c>
    </row>
    <row r="28" spans="1:8" x14ac:dyDescent="0.25">
      <c r="A28" s="1667"/>
      <c r="B28" s="1861"/>
      <c r="C28" s="1668"/>
      <c r="D28" s="1859"/>
      <c r="E28" s="1554">
        <f t="shared" si="2"/>
        <v>0</v>
      </c>
      <c r="F28" s="1807">
        <f t="shared" si="3"/>
        <v>0</v>
      </c>
      <c r="G28" s="1808">
        <f t="shared" si="4"/>
        <v>0</v>
      </c>
    </row>
    <row r="29" spans="1:8" x14ac:dyDescent="0.25">
      <c r="A29" s="1667"/>
      <c r="B29" s="1861"/>
      <c r="C29" s="1668"/>
      <c r="D29" s="1859"/>
      <c r="E29" s="1554">
        <f t="shared" si="2"/>
        <v>0</v>
      </c>
      <c r="F29" s="1807">
        <f t="shared" si="3"/>
        <v>0</v>
      </c>
      <c r="G29" s="1808">
        <f t="shared" si="4"/>
        <v>0</v>
      </c>
    </row>
    <row r="30" spans="1:8" x14ac:dyDescent="0.25">
      <c r="A30" s="1667"/>
      <c r="B30" s="1861"/>
      <c r="C30" s="1668"/>
      <c r="D30" s="1859"/>
      <c r="E30" s="1554">
        <f t="shared" si="2"/>
        <v>0</v>
      </c>
      <c r="F30" s="1807">
        <f t="shared" si="3"/>
        <v>0</v>
      </c>
      <c r="G30" s="1808">
        <f t="shared" si="4"/>
        <v>0</v>
      </c>
    </row>
    <row r="31" spans="1:8" x14ac:dyDescent="0.25">
      <c r="A31" s="1667"/>
      <c r="B31" s="1861"/>
      <c r="C31" s="1668"/>
      <c r="D31" s="1859"/>
      <c r="E31" s="1554">
        <f t="shared" si="2"/>
        <v>0</v>
      </c>
      <c r="F31" s="1807">
        <f t="shared" si="3"/>
        <v>0</v>
      </c>
      <c r="G31" s="1808">
        <f t="shared" si="4"/>
        <v>0</v>
      </c>
    </row>
    <row r="32" spans="1:8" x14ac:dyDescent="0.25">
      <c r="A32" s="1667"/>
      <c r="B32" s="1861"/>
      <c r="C32" s="1668"/>
      <c r="D32" s="1859"/>
      <c r="E32" s="1554">
        <f t="shared" si="2"/>
        <v>0</v>
      </c>
      <c r="F32" s="1807">
        <f t="shared" si="3"/>
        <v>0</v>
      </c>
      <c r="G32" s="1808">
        <f t="shared" si="4"/>
        <v>0</v>
      </c>
    </row>
    <row r="33" spans="1:7" x14ac:dyDescent="0.25">
      <c r="A33" s="1667"/>
      <c r="B33" s="1861"/>
      <c r="C33" s="1668"/>
      <c r="D33" s="1859"/>
      <c r="E33" s="1554">
        <f t="shared" si="2"/>
        <v>0</v>
      </c>
      <c r="F33" s="1807">
        <f t="shared" si="3"/>
        <v>0</v>
      </c>
      <c r="G33" s="1808">
        <f t="shared" si="4"/>
        <v>0</v>
      </c>
    </row>
    <row r="34" spans="1:7" x14ac:dyDescent="0.25">
      <c r="A34" s="1667"/>
      <c r="B34" s="1861"/>
      <c r="C34" s="1668"/>
      <c r="D34" s="1859"/>
      <c r="E34" s="1554">
        <f t="shared" si="2"/>
        <v>0</v>
      </c>
      <c r="F34" s="1807">
        <f t="shared" si="3"/>
        <v>0</v>
      </c>
      <c r="G34" s="1808">
        <f t="shared" si="4"/>
        <v>0</v>
      </c>
    </row>
    <row r="35" spans="1:7" x14ac:dyDescent="0.25">
      <c r="A35" s="1667"/>
      <c r="B35" s="1861"/>
      <c r="C35" s="1668"/>
      <c r="D35" s="1859"/>
      <c r="E35" s="1554">
        <f t="shared" si="2"/>
        <v>0</v>
      </c>
      <c r="F35" s="1807">
        <f t="shared" si="3"/>
        <v>0</v>
      </c>
      <c r="G35" s="1808">
        <f t="shared" si="4"/>
        <v>0</v>
      </c>
    </row>
    <row r="36" spans="1:7" x14ac:dyDescent="0.25">
      <c r="A36" s="1667"/>
      <c r="B36" s="1861"/>
      <c r="C36" s="1668"/>
      <c r="D36" s="1859"/>
      <c r="E36" s="1554">
        <f t="shared" si="2"/>
        <v>0</v>
      </c>
      <c r="F36" s="1807">
        <f t="shared" si="3"/>
        <v>0</v>
      </c>
      <c r="G36" s="1808">
        <f t="shared" si="4"/>
        <v>0</v>
      </c>
    </row>
    <row r="37" spans="1:7" x14ac:dyDescent="0.25">
      <c r="A37" s="1667"/>
      <c r="B37" s="1861"/>
      <c r="C37" s="1668"/>
      <c r="D37" s="1859"/>
      <c r="E37" s="1554">
        <f t="shared" si="2"/>
        <v>0</v>
      </c>
      <c r="F37" s="1807">
        <f t="shared" si="3"/>
        <v>0</v>
      </c>
      <c r="G37" s="1808">
        <f t="shared" si="4"/>
        <v>0</v>
      </c>
    </row>
    <row r="38" spans="1:7" x14ac:dyDescent="0.25">
      <c r="A38" s="1667"/>
      <c r="B38" s="1681"/>
      <c r="C38" s="1668"/>
      <c r="D38" s="1859"/>
      <c r="E38" s="1554">
        <f t="shared" si="2"/>
        <v>0</v>
      </c>
      <c r="F38" s="1807">
        <f t="shared" si="3"/>
        <v>0</v>
      </c>
      <c r="G38" s="1808">
        <f t="shared" si="4"/>
        <v>0</v>
      </c>
    </row>
    <row r="39" spans="1:7" x14ac:dyDescent="0.25">
      <c r="A39" s="1667"/>
      <c r="B39" s="1681"/>
      <c r="C39" s="1668"/>
      <c r="D39" s="1859"/>
      <c r="E39" s="1554">
        <f t="shared" si="2"/>
        <v>0</v>
      </c>
      <c r="F39" s="1807">
        <f t="shared" si="3"/>
        <v>0</v>
      </c>
      <c r="G39" s="1808">
        <f t="shared" si="4"/>
        <v>0</v>
      </c>
    </row>
    <row r="40" spans="1:7" x14ac:dyDescent="0.25">
      <c r="A40" s="1667"/>
      <c r="B40" s="1681"/>
      <c r="C40" s="1668"/>
      <c r="D40" s="1859"/>
      <c r="E40" s="1554">
        <f t="shared" si="2"/>
        <v>0</v>
      </c>
      <c r="F40" s="1807">
        <f t="shared" si="3"/>
        <v>0</v>
      </c>
      <c r="G40" s="1808">
        <f t="shared" si="4"/>
        <v>0</v>
      </c>
    </row>
    <row r="41" spans="1:7" x14ac:dyDescent="0.25">
      <c r="A41" s="1667"/>
      <c r="B41" s="1681"/>
      <c r="C41" s="1668"/>
      <c r="D41" s="1859"/>
      <c r="E41" s="1554">
        <f t="shared" si="2"/>
        <v>0</v>
      </c>
      <c r="F41" s="1807">
        <f t="shared" si="3"/>
        <v>0</v>
      </c>
      <c r="G41" s="1808">
        <f t="shared" si="4"/>
        <v>0</v>
      </c>
    </row>
    <row r="42" spans="1:7" x14ac:dyDescent="0.25">
      <c r="A42" s="1667"/>
      <c r="B42" s="1681"/>
      <c r="C42" s="1668"/>
      <c r="D42" s="1859"/>
      <c r="E42" s="1554">
        <f t="shared" si="2"/>
        <v>0</v>
      </c>
      <c r="F42" s="1807">
        <f t="shared" si="3"/>
        <v>0</v>
      </c>
      <c r="G42" s="1808">
        <f t="shared" si="4"/>
        <v>0</v>
      </c>
    </row>
    <row r="43" spans="1:7" x14ac:dyDescent="0.25">
      <c r="A43" s="1667"/>
      <c r="B43" s="1681"/>
      <c r="C43" s="1668"/>
      <c r="D43" s="1859"/>
      <c r="E43" s="1554">
        <f t="shared" si="2"/>
        <v>0</v>
      </c>
      <c r="F43" s="1807">
        <f t="shared" si="3"/>
        <v>0</v>
      </c>
      <c r="G43" s="1808">
        <f t="shared" si="4"/>
        <v>0</v>
      </c>
    </row>
    <row r="44" spans="1:7" x14ac:dyDescent="0.25">
      <c r="A44" s="1667"/>
      <c r="B44" s="1681"/>
      <c r="C44" s="1668"/>
      <c r="D44" s="1859"/>
      <c r="E44" s="1554">
        <f t="shared" si="2"/>
        <v>0</v>
      </c>
      <c r="F44" s="1807">
        <f t="shared" si="3"/>
        <v>0</v>
      </c>
      <c r="G44" s="1808">
        <f t="shared" si="4"/>
        <v>0</v>
      </c>
    </row>
    <row r="45" spans="1:7" x14ac:dyDescent="0.25">
      <c r="A45" s="1667"/>
      <c r="B45" s="1681"/>
      <c r="C45" s="1668"/>
      <c r="D45" s="1859"/>
      <c r="E45" s="1554">
        <f t="shared" si="2"/>
        <v>0</v>
      </c>
      <c r="F45" s="1807">
        <f t="shared" si="3"/>
        <v>0</v>
      </c>
      <c r="G45" s="1808">
        <f t="shared" si="4"/>
        <v>0</v>
      </c>
    </row>
    <row r="46" spans="1:7" x14ac:dyDescent="0.25">
      <c r="A46" s="1667"/>
      <c r="B46" s="1681"/>
      <c r="C46" s="1668"/>
      <c r="D46" s="1859"/>
      <c r="E46" s="1554">
        <f t="shared" si="2"/>
        <v>0</v>
      </c>
      <c r="F46" s="1807">
        <f t="shared" si="3"/>
        <v>0</v>
      </c>
      <c r="G46" s="1808">
        <f t="shared" si="4"/>
        <v>0</v>
      </c>
    </row>
    <row r="47" spans="1:7" x14ac:dyDescent="0.25">
      <c r="A47" s="1667"/>
      <c r="B47" s="1681"/>
      <c r="C47" s="1668"/>
      <c r="D47" s="1859"/>
      <c r="E47" s="1554">
        <f t="shared" si="2"/>
        <v>0</v>
      </c>
      <c r="F47" s="1807">
        <f t="shared" si="3"/>
        <v>0</v>
      </c>
      <c r="G47" s="1808">
        <f t="shared" si="4"/>
        <v>0</v>
      </c>
    </row>
    <row r="48" spans="1:7" x14ac:dyDescent="0.25">
      <c r="A48" s="1667"/>
      <c r="B48" s="1681"/>
      <c r="C48" s="1668"/>
      <c r="D48" s="1859"/>
      <c r="E48" s="1554">
        <f t="shared" si="2"/>
        <v>0</v>
      </c>
      <c r="F48" s="1807">
        <f t="shared" si="3"/>
        <v>0</v>
      </c>
      <c r="G48" s="1808">
        <f t="shared" si="4"/>
        <v>0</v>
      </c>
    </row>
    <row r="49" spans="1:7" x14ac:dyDescent="0.25">
      <c r="A49" s="1667"/>
      <c r="B49" s="1681"/>
      <c r="C49" s="1668"/>
      <c r="D49" s="1859"/>
      <c r="E49" s="1554">
        <f t="shared" si="2"/>
        <v>0</v>
      </c>
      <c r="F49" s="1807">
        <f t="shared" si="3"/>
        <v>0</v>
      </c>
      <c r="G49" s="1808">
        <f t="shared" si="4"/>
        <v>0</v>
      </c>
    </row>
    <row r="50" spans="1:7" x14ac:dyDescent="0.25">
      <c r="A50" s="1667"/>
      <c r="B50" s="1681"/>
      <c r="C50" s="1668"/>
      <c r="D50" s="1859"/>
      <c r="E50" s="1554">
        <f t="shared" si="2"/>
        <v>0</v>
      </c>
      <c r="F50" s="1807">
        <f t="shared" si="3"/>
        <v>0</v>
      </c>
      <c r="G50" s="1808">
        <f t="shared" si="4"/>
        <v>0</v>
      </c>
    </row>
    <row r="51" spans="1:7" x14ac:dyDescent="0.25">
      <c r="A51" s="1667"/>
      <c r="B51" s="1681"/>
      <c r="C51" s="1668"/>
      <c r="D51" s="1859"/>
      <c r="E51" s="1554">
        <f t="shared" si="2"/>
        <v>0</v>
      </c>
      <c r="F51" s="1807">
        <f t="shared" si="3"/>
        <v>0</v>
      </c>
      <c r="G51" s="1808">
        <f t="shared" si="4"/>
        <v>0</v>
      </c>
    </row>
    <row r="52" spans="1:7" x14ac:dyDescent="0.25">
      <c r="A52" s="1667"/>
      <c r="B52" s="1681"/>
      <c r="C52" s="1668"/>
      <c r="D52" s="1859"/>
      <c r="E52" s="1554">
        <f t="shared" si="2"/>
        <v>0</v>
      </c>
      <c r="F52" s="1807">
        <f t="shared" si="3"/>
        <v>0</v>
      </c>
      <c r="G52" s="1808">
        <f t="shared" si="4"/>
        <v>0</v>
      </c>
    </row>
    <row r="53" spans="1:7" x14ac:dyDescent="0.25">
      <c r="A53" s="1667"/>
      <c r="B53" s="1681"/>
      <c r="C53" s="1668"/>
      <c r="D53" s="1859"/>
      <c r="E53" s="1554">
        <f t="shared" si="2"/>
        <v>0</v>
      </c>
      <c r="F53" s="1807">
        <f t="shared" si="3"/>
        <v>0</v>
      </c>
      <c r="G53" s="1808">
        <f t="shared" si="4"/>
        <v>0</v>
      </c>
    </row>
    <row r="54" spans="1:7" x14ac:dyDescent="0.25">
      <c r="A54" s="1667"/>
      <c r="B54" s="1681"/>
      <c r="C54" s="1668"/>
      <c r="D54" s="1859"/>
      <c r="E54" s="1554">
        <f t="shared" si="2"/>
        <v>0</v>
      </c>
      <c r="F54" s="1807">
        <f t="shared" si="3"/>
        <v>0</v>
      </c>
      <c r="G54" s="1808">
        <f t="shared" si="4"/>
        <v>0</v>
      </c>
    </row>
    <row r="55" spans="1:7" x14ac:dyDescent="0.25">
      <c r="A55" s="1667"/>
      <c r="B55" s="1681"/>
      <c r="C55" s="1668"/>
      <c r="D55" s="1859"/>
      <c r="E55" s="1554">
        <f t="shared" si="2"/>
        <v>0</v>
      </c>
      <c r="F55" s="1807">
        <f t="shared" si="3"/>
        <v>0</v>
      </c>
      <c r="G55" s="1808">
        <f t="shared" si="4"/>
        <v>0</v>
      </c>
    </row>
    <row r="56" spans="1:7" x14ac:dyDescent="0.25">
      <c r="A56" s="1667"/>
      <c r="B56" s="1681"/>
      <c r="C56" s="1668"/>
      <c r="D56" s="1859"/>
      <c r="E56" s="1554">
        <f t="shared" si="2"/>
        <v>0</v>
      </c>
      <c r="F56" s="1807">
        <f t="shared" si="3"/>
        <v>0</v>
      </c>
      <c r="G56" s="1808">
        <f t="shared" si="4"/>
        <v>0</v>
      </c>
    </row>
    <row r="57" spans="1:7" x14ac:dyDescent="0.25">
      <c r="A57" s="1667"/>
      <c r="B57" s="1681"/>
      <c r="C57" s="1668"/>
      <c r="D57" s="1859"/>
      <c r="E57" s="1554">
        <f t="shared" si="2"/>
        <v>0</v>
      </c>
      <c r="F57" s="1807">
        <f t="shared" si="3"/>
        <v>0</v>
      </c>
      <c r="G57" s="1808">
        <f t="shared" si="4"/>
        <v>0</v>
      </c>
    </row>
    <row r="58" spans="1:7" x14ac:dyDescent="0.25">
      <c r="A58" s="1667"/>
      <c r="B58" s="1681"/>
      <c r="C58" s="1668"/>
      <c r="D58" s="1859"/>
      <c r="E58" s="1554">
        <f t="shared" si="2"/>
        <v>0</v>
      </c>
      <c r="F58" s="1807">
        <f t="shared" si="3"/>
        <v>0</v>
      </c>
      <c r="G58" s="1808">
        <f t="shared" si="4"/>
        <v>0</v>
      </c>
    </row>
    <row r="59" spans="1:7" x14ac:dyDescent="0.25">
      <c r="A59" s="1667"/>
      <c r="B59" s="1681"/>
      <c r="C59" s="1668"/>
      <c r="D59" s="1859"/>
      <c r="E59" s="1554">
        <f t="shared" si="2"/>
        <v>0</v>
      </c>
      <c r="F59" s="1807">
        <f t="shared" si="3"/>
        <v>0</v>
      </c>
      <c r="G59" s="1808">
        <f t="shared" si="4"/>
        <v>0</v>
      </c>
    </row>
    <row r="60" spans="1:7" x14ac:dyDescent="0.25">
      <c r="A60" s="1667"/>
      <c r="B60" s="1681"/>
      <c r="C60" s="1668"/>
      <c r="D60" s="1859"/>
      <c r="E60" s="1554">
        <f t="shared" si="2"/>
        <v>0</v>
      </c>
      <c r="F60" s="1807">
        <f t="shared" si="3"/>
        <v>0</v>
      </c>
      <c r="G60" s="1808">
        <f t="shared" si="4"/>
        <v>0</v>
      </c>
    </row>
    <row r="61" spans="1:7" x14ac:dyDescent="0.25">
      <c r="A61" s="1667"/>
      <c r="B61" s="1681"/>
      <c r="C61" s="1668"/>
      <c r="D61" s="1859"/>
      <c r="E61" s="1554">
        <f t="shared" si="2"/>
        <v>0</v>
      </c>
      <c r="F61" s="1807">
        <f t="shared" si="3"/>
        <v>0</v>
      </c>
      <c r="G61" s="1808">
        <f t="shared" si="4"/>
        <v>0</v>
      </c>
    </row>
    <row r="62" spans="1:7" x14ac:dyDescent="0.25">
      <c r="A62" s="1667"/>
      <c r="B62" s="1681"/>
      <c r="C62" s="1668"/>
      <c r="D62" s="1859"/>
      <c r="E62" s="1554">
        <f t="shared" si="2"/>
        <v>0</v>
      </c>
      <c r="F62" s="1807">
        <f t="shared" si="3"/>
        <v>0</v>
      </c>
      <c r="G62" s="1808">
        <f t="shared" si="4"/>
        <v>0</v>
      </c>
    </row>
    <row r="63" spans="1:7" x14ac:dyDescent="0.25">
      <c r="A63" s="1667"/>
      <c r="B63" s="1681"/>
      <c r="C63" s="1668"/>
      <c r="D63" s="1859"/>
      <c r="E63" s="1554">
        <f t="shared" si="2"/>
        <v>0</v>
      </c>
      <c r="F63" s="1807">
        <f t="shared" si="3"/>
        <v>0</v>
      </c>
      <c r="G63" s="1808">
        <f t="shared" si="4"/>
        <v>0</v>
      </c>
    </row>
    <row r="64" spans="1:7" x14ac:dyDescent="0.25">
      <c r="A64" s="1669"/>
      <c r="B64" s="1681"/>
      <c r="C64" s="1670"/>
      <c r="D64" s="1859"/>
      <c r="E64" s="1554">
        <f t="shared" si="2"/>
        <v>0</v>
      </c>
      <c r="F64" s="1807">
        <f t="shared" si="3"/>
        <v>0</v>
      </c>
      <c r="G64" s="1808">
        <f t="shared" si="4"/>
        <v>0</v>
      </c>
    </row>
    <row r="65" spans="1:7" x14ac:dyDescent="0.25">
      <c r="A65" s="1667"/>
      <c r="B65" s="1681"/>
      <c r="C65" s="1668"/>
      <c r="D65" s="1859"/>
      <c r="E65" s="1554">
        <f t="shared" si="2"/>
        <v>0</v>
      </c>
      <c r="F65" s="1807">
        <f t="shared" si="3"/>
        <v>0</v>
      </c>
      <c r="G65" s="1808">
        <f t="shared" si="4"/>
        <v>0</v>
      </c>
    </row>
    <row r="66" spans="1:7" x14ac:dyDescent="0.25">
      <c r="A66" s="1667"/>
      <c r="B66" s="1681"/>
      <c r="C66" s="1668"/>
      <c r="D66" s="1859"/>
      <c r="E66" s="1554">
        <f t="shared" si="2"/>
        <v>0</v>
      </c>
      <c r="F66" s="1807">
        <f t="shared" si="3"/>
        <v>0</v>
      </c>
      <c r="G66" s="1808">
        <f t="shared" si="4"/>
        <v>0</v>
      </c>
    </row>
    <row r="67" spans="1:7" x14ac:dyDescent="0.25">
      <c r="A67" s="1667"/>
      <c r="B67" s="1681"/>
      <c r="C67" s="1668"/>
      <c r="D67" s="1859"/>
      <c r="E67" s="1554">
        <f t="shared" si="2"/>
        <v>0</v>
      </c>
      <c r="F67" s="1807">
        <f t="shared" si="3"/>
        <v>0</v>
      </c>
      <c r="G67" s="1808">
        <f t="shared" si="4"/>
        <v>0</v>
      </c>
    </row>
    <row r="68" spans="1:7" x14ac:dyDescent="0.25">
      <c r="A68" s="1667"/>
      <c r="B68" s="1681"/>
      <c r="C68" s="1668"/>
      <c r="D68" s="1859"/>
      <c r="E68" s="1554">
        <f t="shared" si="2"/>
        <v>0</v>
      </c>
      <c r="F68" s="1807">
        <f t="shared" si="3"/>
        <v>0</v>
      </c>
      <c r="G68" s="1808">
        <f t="shared" si="4"/>
        <v>0</v>
      </c>
    </row>
    <row r="69" spans="1:7" x14ac:dyDescent="0.25">
      <c r="A69" s="1667"/>
      <c r="B69" s="1681"/>
      <c r="C69" s="1668"/>
      <c r="D69" s="1859"/>
      <c r="E69" s="1554">
        <f t="shared" si="2"/>
        <v>0</v>
      </c>
      <c r="F69" s="1807">
        <f t="shared" si="3"/>
        <v>0</v>
      </c>
      <c r="G69" s="1808">
        <f t="shared" si="4"/>
        <v>0</v>
      </c>
    </row>
    <row r="70" spans="1:7" x14ac:dyDescent="0.25">
      <c r="A70" s="1667"/>
      <c r="B70" s="1681"/>
      <c r="C70" s="1668"/>
      <c r="D70" s="1859"/>
      <c r="E70" s="1554">
        <f t="shared" si="2"/>
        <v>0</v>
      </c>
      <c r="F70" s="1807">
        <f t="shared" si="3"/>
        <v>0</v>
      </c>
      <c r="G70" s="1808">
        <f t="shared" si="4"/>
        <v>0</v>
      </c>
    </row>
    <row r="71" spans="1:7" x14ac:dyDescent="0.25">
      <c r="A71" s="1667"/>
      <c r="B71" s="1681"/>
      <c r="C71" s="1668"/>
      <c r="D71" s="1859"/>
      <c r="E71" s="1554">
        <f t="shared" si="2"/>
        <v>0</v>
      </c>
      <c r="F71" s="1807">
        <f t="shared" si="3"/>
        <v>0</v>
      </c>
      <c r="G71" s="1808">
        <f t="shared" si="4"/>
        <v>0</v>
      </c>
    </row>
    <row r="72" spans="1:7" x14ac:dyDescent="0.25">
      <c r="A72" s="1667"/>
      <c r="B72" s="1681"/>
      <c r="C72" s="1668"/>
      <c r="D72" s="1859"/>
      <c r="E72" s="1554">
        <f t="shared" si="2"/>
        <v>0</v>
      </c>
      <c r="F72" s="1807">
        <f t="shared" si="3"/>
        <v>0</v>
      </c>
      <c r="G72" s="1808">
        <f t="shared" si="4"/>
        <v>0</v>
      </c>
    </row>
    <row r="73" spans="1:7" x14ac:dyDescent="0.25">
      <c r="A73" s="1667"/>
      <c r="B73" s="1681"/>
      <c r="C73" s="1668"/>
      <c r="D73" s="1859"/>
      <c r="E73" s="1554">
        <f t="shared" ref="E73:E84" si="5">IF(D73&lt;=25000,D73,IF(D73&gt;25000,25000,0))</f>
        <v>0</v>
      </c>
      <c r="F73" s="1807">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8">
        <f t="shared" ref="G73:G84" si="7">IF(F73=0,0,D73-F73)</f>
        <v>0</v>
      </c>
    </row>
    <row r="74" spans="1:7" x14ac:dyDescent="0.25">
      <c r="A74" s="1667"/>
      <c r="B74" s="1681"/>
      <c r="C74" s="1668"/>
      <c r="D74" s="1859"/>
      <c r="E74" s="1554">
        <f t="shared" si="5"/>
        <v>0</v>
      </c>
      <c r="F74" s="1807">
        <f t="shared" si="6"/>
        <v>0</v>
      </c>
      <c r="G74" s="1808">
        <f t="shared" si="7"/>
        <v>0</v>
      </c>
    </row>
    <row r="75" spans="1:7" x14ac:dyDescent="0.25">
      <c r="A75" s="1667"/>
      <c r="B75" s="1681"/>
      <c r="C75" s="1668"/>
      <c r="D75" s="1859"/>
      <c r="E75" s="1554">
        <f t="shared" si="5"/>
        <v>0</v>
      </c>
      <c r="F75" s="1807">
        <f t="shared" si="6"/>
        <v>0</v>
      </c>
      <c r="G75" s="1808">
        <f t="shared" si="7"/>
        <v>0</v>
      </c>
    </row>
    <row r="76" spans="1:7" x14ac:dyDescent="0.25">
      <c r="A76" s="1667"/>
      <c r="B76" s="1681"/>
      <c r="C76" s="1668"/>
      <c r="D76" s="1859"/>
      <c r="E76" s="1554">
        <f t="shared" si="5"/>
        <v>0</v>
      </c>
      <c r="F76" s="1807">
        <f t="shared" si="6"/>
        <v>0</v>
      </c>
      <c r="G76" s="1808">
        <f t="shared" si="7"/>
        <v>0</v>
      </c>
    </row>
    <row r="77" spans="1:7" x14ac:dyDescent="0.25">
      <c r="A77" s="1667"/>
      <c r="B77" s="1681"/>
      <c r="C77" s="1668"/>
      <c r="D77" s="1859"/>
      <c r="E77" s="1554">
        <f t="shared" si="5"/>
        <v>0</v>
      </c>
      <c r="F77" s="1807">
        <f t="shared" si="6"/>
        <v>0</v>
      </c>
      <c r="G77" s="1808">
        <f t="shared" si="7"/>
        <v>0</v>
      </c>
    </row>
    <row r="78" spans="1:7" x14ac:dyDescent="0.25">
      <c r="A78" s="1667"/>
      <c r="B78" s="1681"/>
      <c r="C78" s="1668"/>
      <c r="D78" s="1859"/>
      <c r="E78" s="1554">
        <f t="shared" si="5"/>
        <v>0</v>
      </c>
      <c r="F78" s="1807">
        <f t="shared" si="6"/>
        <v>0</v>
      </c>
      <c r="G78" s="1808">
        <f t="shared" si="7"/>
        <v>0</v>
      </c>
    </row>
    <row r="79" spans="1:7" x14ac:dyDescent="0.25">
      <c r="A79" s="1667"/>
      <c r="B79" s="1681"/>
      <c r="C79" s="1668"/>
      <c r="D79" s="1859"/>
      <c r="E79" s="1554">
        <f t="shared" si="5"/>
        <v>0</v>
      </c>
      <c r="F79" s="1807">
        <f t="shared" si="6"/>
        <v>0</v>
      </c>
      <c r="G79" s="1808">
        <f t="shared" si="7"/>
        <v>0</v>
      </c>
    </row>
    <row r="80" spans="1:7" x14ac:dyDescent="0.25">
      <c r="A80" s="1667"/>
      <c r="B80" s="1681"/>
      <c r="C80" s="1668"/>
      <c r="D80" s="1859"/>
      <c r="E80" s="1554">
        <f t="shared" si="5"/>
        <v>0</v>
      </c>
      <c r="F80" s="1807">
        <f t="shared" si="6"/>
        <v>0</v>
      </c>
      <c r="G80" s="1808">
        <f t="shared" si="7"/>
        <v>0</v>
      </c>
    </row>
    <row r="81" spans="1:7" x14ac:dyDescent="0.25">
      <c r="A81" s="1667"/>
      <c r="B81" s="1681"/>
      <c r="C81" s="1668"/>
      <c r="D81" s="1859"/>
      <c r="E81" s="1554">
        <f t="shared" si="5"/>
        <v>0</v>
      </c>
      <c r="F81" s="1807">
        <f t="shared" si="6"/>
        <v>0</v>
      </c>
      <c r="G81" s="1808">
        <f t="shared" si="7"/>
        <v>0</v>
      </c>
    </row>
    <row r="82" spans="1:7" x14ac:dyDescent="0.25">
      <c r="A82" s="1667"/>
      <c r="B82" s="1681"/>
      <c r="C82" s="1668"/>
      <c r="D82" s="1859"/>
      <c r="E82" s="1554">
        <f t="shared" si="5"/>
        <v>0</v>
      </c>
      <c r="F82" s="1807">
        <f t="shared" si="6"/>
        <v>0</v>
      </c>
      <c r="G82" s="1808">
        <f t="shared" si="7"/>
        <v>0</v>
      </c>
    </row>
    <row r="83" spans="1:7" x14ac:dyDescent="0.25">
      <c r="A83" s="1667"/>
      <c r="B83" s="1681"/>
      <c r="C83" s="1668"/>
      <c r="D83" s="1859"/>
      <c r="E83" s="1554">
        <f t="shared" si="5"/>
        <v>0</v>
      </c>
      <c r="F83" s="1807">
        <f t="shared" si="6"/>
        <v>0</v>
      </c>
      <c r="G83" s="1808">
        <f t="shared" si="7"/>
        <v>0</v>
      </c>
    </row>
    <row r="84" spans="1:7" x14ac:dyDescent="0.25">
      <c r="A84" s="1667"/>
      <c r="B84" s="1681"/>
      <c r="C84" s="1668"/>
      <c r="D84" s="1859"/>
      <c r="E84" s="1554">
        <f t="shared" si="5"/>
        <v>0</v>
      </c>
      <c r="F84" s="1807">
        <f t="shared" si="6"/>
        <v>0</v>
      </c>
      <c r="G84" s="1808">
        <f t="shared" si="7"/>
        <v>0</v>
      </c>
    </row>
    <row r="85" spans="1:7" x14ac:dyDescent="0.25">
      <c r="A85" s="1667"/>
      <c r="B85" s="1681"/>
      <c r="C85" s="1668"/>
      <c r="D85" s="1859"/>
      <c r="E85" s="1554">
        <f t="shared" si="2"/>
        <v>0</v>
      </c>
      <c r="F85" s="1807">
        <f t="shared" si="3"/>
        <v>0</v>
      </c>
      <c r="G85" s="1808">
        <f t="shared" si="4"/>
        <v>0</v>
      </c>
    </row>
    <row r="86" spans="1:7" x14ac:dyDescent="0.25">
      <c r="A86" s="1667"/>
      <c r="B86" s="1681"/>
      <c r="C86" s="1668"/>
      <c r="D86" s="1859"/>
      <c r="E86" s="1554">
        <f t="shared" si="2"/>
        <v>0</v>
      </c>
      <c r="F86" s="1807">
        <f t="shared" si="3"/>
        <v>0</v>
      </c>
      <c r="G86" s="1808">
        <f t="shared" si="4"/>
        <v>0</v>
      </c>
    </row>
    <row r="87" spans="1:7" x14ac:dyDescent="0.25">
      <c r="A87" s="1667"/>
      <c r="B87" s="1681"/>
      <c r="C87" s="1668"/>
      <c r="D87" s="1859"/>
      <c r="E87" s="1554">
        <f t="shared" si="2"/>
        <v>0</v>
      </c>
      <c r="F87" s="1807">
        <f t="shared" si="3"/>
        <v>0</v>
      </c>
      <c r="G87" s="1808">
        <f t="shared" si="4"/>
        <v>0</v>
      </c>
    </row>
    <row r="88" spans="1:7" x14ac:dyDescent="0.25">
      <c r="A88" s="1667"/>
      <c r="B88" s="1681"/>
      <c r="C88" s="1668"/>
      <c r="D88" s="1859"/>
      <c r="E88" s="1554">
        <f t="shared" si="2"/>
        <v>0</v>
      </c>
      <c r="F88" s="1807">
        <f t="shared" si="3"/>
        <v>0</v>
      </c>
      <c r="G88" s="1808">
        <f t="shared" si="4"/>
        <v>0</v>
      </c>
    </row>
    <row r="89" spans="1:7" x14ac:dyDescent="0.25">
      <c r="A89" s="1667"/>
      <c r="B89" s="1681"/>
      <c r="C89" s="1668"/>
      <c r="D89" s="1859"/>
      <c r="E89" s="1554">
        <f t="shared" si="2"/>
        <v>0</v>
      </c>
      <c r="F89" s="1807">
        <f t="shared" si="3"/>
        <v>0</v>
      </c>
      <c r="G89" s="1808">
        <f t="shared" si="4"/>
        <v>0</v>
      </c>
    </row>
    <row r="90" spans="1:7" x14ac:dyDescent="0.25">
      <c r="A90" s="1667"/>
      <c r="B90" s="1681"/>
      <c r="C90" s="1668"/>
      <c r="D90" s="1859"/>
      <c r="E90" s="1554">
        <f t="shared" si="2"/>
        <v>0</v>
      </c>
      <c r="F90" s="1807">
        <f t="shared" si="3"/>
        <v>0</v>
      </c>
      <c r="G90" s="1808">
        <f t="shared" si="4"/>
        <v>0</v>
      </c>
    </row>
    <row r="91" spans="1:7" x14ac:dyDescent="0.25">
      <c r="A91" s="1667"/>
      <c r="B91" s="1681"/>
      <c r="C91" s="1668"/>
      <c r="D91" s="1859"/>
      <c r="E91" s="1554">
        <f t="shared" si="2"/>
        <v>0</v>
      </c>
      <c r="F91" s="1807">
        <f t="shared" si="3"/>
        <v>0</v>
      </c>
      <c r="G91" s="1808">
        <f t="shared" si="4"/>
        <v>0</v>
      </c>
    </row>
    <row r="92" spans="1:7" x14ac:dyDescent="0.25">
      <c r="A92" s="1667"/>
      <c r="B92" s="1681"/>
      <c r="C92" s="1668"/>
      <c r="D92" s="1859"/>
      <c r="E92" s="1554">
        <f t="shared" si="2"/>
        <v>0</v>
      </c>
      <c r="F92" s="1807">
        <f t="shared" si="3"/>
        <v>0</v>
      </c>
      <c r="G92" s="1808">
        <f t="shared" si="4"/>
        <v>0</v>
      </c>
    </row>
    <row r="93" spans="1:7" x14ac:dyDescent="0.25">
      <c r="A93" s="1667"/>
      <c r="B93" s="1681"/>
      <c r="C93" s="1668"/>
      <c r="D93" s="1859"/>
      <c r="E93" s="1554">
        <f t="shared" ref="E93" si="8">IF(D93&lt;=25000,D93,IF(D93&gt;25000,25000,0))</f>
        <v>0</v>
      </c>
      <c r="F93" s="1807">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8">
        <f t="shared" ref="G93" si="10">IF(F93=0,0,D93-F93)</f>
        <v>0</v>
      </c>
    </row>
    <row r="94" spans="1:7" x14ac:dyDescent="0.25">
      <c r="A94" s="1667"/>
      <c r="B94" s="1681"/>
      <c r="C94" s="1668"/>
      <c r="D94" s="1859"/>
      <c r="E94" s="1554">
        <f t="shared" si="2"/>
        <v>0</v>
      </c>
      <c r="F94" s="1807">
        <f t="shared" si="3"/>
        <v>0</v>
      </c>
      <c r="G94" s="1808">
        <f t="shared" si="4"/>
        <v>0</v>
      </c>
    </row>
    <row r="95" spans="1:7" x14ac:dyDescent="0.25">
      <c r="A95" s="1667"/>
      <c r="B95" s="1681"/>
      <c r="C95" s="1668"/>
      <c r="D95" s="1859"/>
      <c r="E95" s="1554">
        <f t="shared" ref="E95:E98" si="11">IF(D95&lt;=25000,D95,IF(D95&gt;25000,25000,0))</f>
        <v>0</v>
      </c>
      <c r="F95" s="1807">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8">
        <f t="shared" ref="G95:G98" si="13">IF(F95=0,0,D95-F95)</f>
        <v>0</v>
      </c>
    </row>
    <row r="96" spans="1:7" x14ac:dyDescent="0.25">
      <c r="A96" s="1667"/>
      <c r="B96" s="1681"/>
      <c r="C96" s="1668"/>
      <c r="D96" s="1859"/>
      <c r="E96" s="1554">
        <f t="shared" si="11"/>
        <v>0</v>
      </c>
      <c r="F96" s="1807">
        <f t="shared" si="12"/>
        <v>0</v>
      </c>
      <c r="G96" s="1808">
        <f t="shared" si="13"/>
        <v>0</v>
      </c>
    </row>
    <row r="97" spans="1:7" x14ac:dyDescent="0.25">
      <c r="A97" s="1667"/>
      <c r="B97" s="1681"/>
      <c r="C97" s="1668"/>
      <c r="D97" s="1859"/>
      <c r="E97" s="1554">
        <f t="shared" si="11"/>
        <v>0</v>
      </c>
      <c r="F97" s="1807">
        <f t="shared" si="12"/>
        <v>0</v>
      </c>
      <c r="G97" s="1808">
        <f t="shared" si="13"/>
        <v>0</v>
      </c>
    </row>
    <row r="98" spans="1:7" x14ac:dyDescent="0.25">
      <c r="A98" s="1667"/>
      <c r="B98" s="1681"/>
      <c r="C98" s="1668"/>
      <c r="D98" s="1859"/>
      <c r="E98" s="1554">
        <f t="shared" si="11"/>
        <v>0</v>
      </c>
      <c r="F98" s="1807">
        <f t="shared" si="12"/>
        <v>0</v>
      </c>
      <c r="G98" s="1808">
        <f t="shared" si="13"/>
        <v>0</v>
      </c>
    </row>
    <row r="99" spans="1:7" x14ac:dyDescent="0.25">
      <c r="A99" s="1667"/>
      <c r="B99" s="1681"/>
      <c r="C99" s="1668"/>
      <c r="D99" s="1859"/>
      <c r="E99" s="1554">
        <f t="shared" ref="E99" si="14">IF(D99&lt;=25000,D99,IF(D99&gt;25000,25000,0))</f>
        <v>0</v>
      </c>
      <c r="F99" s="1807">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8">
        <f t="shared" ref="G99" si="16">IF(F99=0,0,D99-F99)</f>
        <v>0</v>
      </c>
    </row>
    <row r="100" spans="1:7" x14ac:dyDescent="0.25">
      <c r="A100" s="1667"/>
      <c r="B100" s="1681"/>
      <c r="C100" s="1668"/>
      <c r="D100" s="1859"/>
      <c r="E100" s="1554">
        <f t="shared" ref="E100:E112" si="17">IF(D100&lt;=25000,D100,IF(D100&gt;25000,25000,0))</f>
        <v>0</v>
      </c>
      <c r="F100" s="1807">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8">
        <f t="shared" ref="G100:G112" si="19">IF(F100=0,0,D100-F100)</f>
        <v>0</v>
      </c>
    </row>
    <row r="101" spans="1:7" x14ac:dyDescent="0.25">
      <c r="A101" s="1667"/>
      <c r="B101" s="1681"/>
      <c r="C101" s="1668"/>
      <c r="D101" s="1859"/>
      <c r="E101" s="1554">
        <f t="shared" si="17"/>
        <v>0</v>
      </c>
      <c r="F101" s="1807">
        <f t="shared" si="18"/>
        <v>0</v>
      </c>
      <c r="G101" s="1808">
        <f t="shared" si="19"/>
        <v>0</v>
      </c>
    </row>
    <row r="102" spans="1:7" x14ac:dyDescent="0.25">
      <c r="A102" s="1667"/>
      <c r="B102" s="1681"/>
      <c r="C102" s="1668"/>
      <c r="D102" s="1859"/>
      <c r="E102" s="1554">
        <f t="shared" si="17"/>
        <v>0</v>
      </c>
      <c r="F102" s="1807">
        <f t="shared" si="18"/>
        <v>0</v>
      </c>
      <c r="G102" s="1808">
        <f t="shared" si="19"/>
        <v>0</v>
      </c>
    </row>
    <row r="103" spans="1:7" x14ac:dyDescent="0.25">
      <c r="A103" s="1667"/>
      <c r="B103" s="1681"/>
      <c r="C103" s="1668"/>
      <c r="D103" s="1859"/>
      <c r="E103" s="1554">
        <f t="shared" si="17"/>
        <v>0</v>
      </c>
      <c r="F103" s="1807">
        <f t="shared" si="18"/>
        <v>0</v>
      </c>
      <c r="G103" s="1808">
        <f t="shared" si="19"/>
        <v>0</v>
      </c>
    </row>
    <row r="104" spans="1:7" x14ac:dyDescent="0.25">
      <c r="A104" s="1667"/>
      <c r="B104" s="1681"/>
      <c r="C104" s="1668"/>
      <c r="D104" s="1859"/>
      <c r="E104" s="1554">
        <f t="shared" si="17"/>
        <v>0</v>
      </c>
      <c r="F104" s="1807">
        <f t="shared" si="18"/>
        <v>0</v>
      </c>
      <c r="G104" s="1808">
        <f t="shared" si="19"/>
        <v>0</v>
      </c>
    </row>
    <row r="105" spans="1:7" x14ac:dyDescent="0.25">
      <c r="A105" s="1667"/>
      <c r="B105" s="1681"/>
      <c r="C105" s="1668"/>
      <c r="D105" s="1859"/>
      <c r="E105" s="1554">
        <f t="shared" si="17"/>
        <v>0</v>
      </c>
      <c r="F105" s="1807">
        <f t="shared" si="18"/>
        <v>0</v>
      </c>
      <c r="G105" s="1808">
        <f t="shared" si="19"/>
        <v>0</v>
      </c>
    </row>
    <row r="106" spans="1:7" x14ac:dyDescent="0.25">
      <c r="A106" s="1667"/>
      <c r="B106" s="1681"/>
      <c r="C106" s="1668"/>
      <c r="D106" s="1859"/>
      <c r="E106" s="1554">
        <f t="shared" si="17"/>
        <v>0</v>
      </c>
      <c r="F106" s="1807">
        <f t="shared" si="18"/>
        <v>0</v>
      </c>
      <c r="G106" s="1808">
        <f t="shared" si="19"/>
        <v>0</v>
      </c>
    </row>
    <row r="107" spans="1:7" x14ac:dyDescent="0.25">
      <c r="A107" s="1667"/>
      <c r="B107" s="1681"/>
      <c r="C107" s="1668"/>
      <c r="D107" s="1859"/>
      <c r="E107" s="1554">
        <f t="shared" si="17"/>
        <v>0</v>
      </c>
      <c r="F107" s="1807">
        <f t="shared" si="18"/>
        <v>0</v>
      </c>
      <c r="G107" s="1808">
        <f t="shared" si="19"/>
        <v>0</v>
      </c>
    </row>
    <row r="108" spans="1:7" x14ac:dyDescent="0.25">
      <c r="A108" s="1667"/>
      <c r="B108" s="1681"/>
      <c r="C108" s="1668"/>
      <c r="D108" s="1859"/>
      <c r="E108" s="1554">
        <f t="shared" si="17"/>
        <v>0</v>
      </c>
      <c r="F108" s="1807">
        <f t="shared" si="18"/>
        <v>0</v>
      </c>
      <c r="G108" s="1808">
        <f t="shared" si="19"/>
        <v>0</v>
      </c>
    </row>
    <row r="109" spans="1:7" x14ac:dyDescent="0.25">
      <c r="A109" s="1667"/>
      <c r="B109" s="1681"/>
      <c r="C109" s="1668"/>
      <c r="D109" s="1859"/>
      <c r="E109" s="1554">
        <f t="shared" si="17"/>
        <v>0</v>
      </c>
      <c r="F109" s="1807">
        <f t="shared" si="18"/>
        <v>0</v>
      </c>
      <c r="G109" s="1808">
        <f t="shared" si="19"/>
        <v>0</v>
      </c>
    </row>
    <row r="110" spans="1:7" x14ac:dyDescent="0.25">
      <c r="A110" s="1667"/>
      <c r="B110" s="1681"/>
      <c r="C110" s="1668"/>
      <c r="D110" s="1859"/>
      <c r="E110" s="1554">
        <f t="shared" si="17"/>
        <v>0</v>
      </c>
      <c r="F110" s="1807">
        <f t="shared" si="18"/>
        <v>0</v>
      </c>
      <c r="G110" s="1808">
        <f t="shared" si="19"/>
        <v>0</v>
      </c>
    </row>
    <row r="111" spans="1:7" x14ac:dyDescent="0.25">
      <c r="A111" s="1667"/>
      <c r="B111" s="1681"/>
      <c r="C111" s="1668"/>
      <c r="D111" s="1859"/>
      <c r="E111" s="1554">
        <f t="shared" si="17"/>
        <v>0</v>
      </c>
      <c r="F111" s="1807">
        <f t="shared" si="18"/>
        <v>0</v>
      </c>
      <c r="G111" s="1808">
        <f t="shared" si="19"/>
        <v>0</v>
      </c>
    </row>
    <row r="112" spans="1:7" x14ac:dyDescent="0.25">
      <c r="A112" s="1667"/>
      <c r="B112" s="1681"/>
      <c r="C112" s="1668"/>
      <c r="D112" s="1859"/>
      <c r="E112" s="1554">
        <f t="shared" si="17"/>
        <v>0</v>
      </c>
      <c r="F112" s="1807">
        <f t="shared" si="18"/>
        <v>0</v>
      </c>
      <c r="G112" s="1808">
        <f t="shared" si="19"/>
        <v>0</v>
      </c>
    </row>
    <row r="113" spans="1:7" x14ac:dyDescent="0.25">
      <c r="A113" s="1667"/>
      <c r="B113" s="1681"/>
      <c r="C113" s="1668"/>
      <c r="D113" s="1859"/>
      <c r="E113" s="1554">
        <f t="shared" ref="E113:E125" si="20">IF(D113&lt;=25000,D113,IF(D113&gt;25000,25000,0))</f>
        <v>0</v>
      </c>
      <c r="F113" s="1807">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8">
        <f t="shared" ref="G113:G125" si="22">IF(F113=0,0,D113-F113)</f>
        <v>0</v>
      </c>
    </row>
    <row r="114" spans="1:7" x14ac:dyDescent="0.25">
      <c r="A114" s="1667"/>
      <c r="B114" s="1681"/>
      <c r="C114" s="1668"/>
      <c r="D114" s="1859"/>
      <c r="E114" s="1554">
        <f t="shared" si="20"/>
        <v>0</v>
      </c>
      <c r="F114" s="1807">
        <f t="shared" si="21"/>
        <v>0</v>
      </c>
      <c r="G114" s="1808">
        <f t="shared" si="22"/>
        <v>0</v>
      </c>
    </row>
    <row r="115" spans="1:7" x14ac:dyDescent="0.25">
      <c r="A115" s="1667"/>
      <c r="B115" s="1681"/>
      <c r="C115" s="1668"/>
      <c r="D115" s="1859"/>
      <c r="E115" s="1554">
        <f t="shared" si="20"/>
        <v>0</v>
      </c>
      <c r="F115" s="1807">
        <f t="shared" si="21"/>
        <v>0</v>
      </c>
      <c r="G115" s="1808">
        <f t="shared" si="22"/>
        <v>0</v>
      </c>
    </row>
    <row r="116" spans="1:7" x14ac:dyDescent="0.25">
      <c r="A116" s="1667"/>
      <c r="B116" s="1681"/>
      <c r="C116" s="1668"/>
      <c r="D116" s="1859"/>
      <c r="E116" s="1554">
        <f t="shared" si="20"/>
        <v>0</v>
      </c>
      <c r="F116" s="1807">
        <f t="shared" si="21"/>
        <v>0</v>
      </c>
      <c r="G116" s="1808">
        <f t="shared" si="22"/>
        <v>0</v>
      </c>
    </row>
    <row r="117" spans="1:7" x14ac:dyDescent="0.25">
      <c r="A117" s="1667"/>
      <c r="B117" s="1681"/>
      <c r="C117" s="1668"/>
      <c r="D117" s="1859"/>
      <c r="E117" s="1554">
        <f t="shared" si="20"/>
        <v>0</v>
      </c>
      <c r="F117" s="1807">
        <f t="shared" si="21"/>
        <v>0</v>
      </c>
      <c r="G117" s="1808">
        <f t="shared" si="22"/>
        <v>0</v>
      </c>
    </row>
    <row r="118" spans="1:7" x14ac:dyDescent="0.25">
      <c r="A118" s="1667"/>
      <c r="B118" s="1681"/>
      <c r="C118" s="1668"/>
      <c r="D118" s="1859"/>
      <c r="E118" s="1554">
        <f t="shared" si="20"/>
        <v>0</v>
      </c>
      <c r="F118" s="1807">
        <f t="shared" si="21"/>
        <v>0</v>
      </c>
      <c r="G118" s="1808">
        <f t="shared" si="22"/>
        <v>0</v>
      </c>
    </row>
    <row r="119" spans="1:7" x14ac:dyDescent="0.25">
      <c r="A119" s="1667"/>
      <c r="B119" s="1681"/>
      <c r="C119" s="1668"/>
      <c r="D119" s="1859"/>
      <c r="E119" s="1554">
        <f t="shared" si="20"/>
        <v>0</v>
      </c>
      <c r="F119" s="1807">
        <f t="shared" si="21"/>
        <v>0</v>
      </c>
      <c r="G119" s="1808">
        <f t="shared" si="22"/>
        <v>0</v>
      </c>
    </row>
    <row r="120" spans="1:7" x14ac:dyDescent="0.25">
      <c r="A120" s="1667"/>
      <c r="B120" s="1681"/>
      <c r="C120" s="1668"/>
      <c r="D120" s="1859"/>
      <c r="E120" s="1554">
        <f t="shared" si="20"/>
        <v>0</v>
      </c>
      <c r="F120" s="1807">
        <f t="shared" si="21"/>
        <v>0</v>
      </c>
      <c r="G120" s="1808">
        <f t="shared" si="22"/>
        <v>0</v>
      </c>
    </row>
    <row r="121" spans="1:7" x14ac:dyDescent="0.25">
      <c r="A121" s="1667"/>
      <c r="B121" s="1681"/>
      <c r="C121" s="1668"/>
      <c r="D121" s="1859"/>
      <c r="E121" s="1554">
        <f t="shared" si="20"/>
        <v>0</v>
      </c>
      <c r="F121" s="1807">
        <f t="shared" si="21"/>
        <v>0</v>
      </c>
      <c r="G121" s="1808">
        <f t="shared" si="22"/>
        <v>0</v>
      </c>
    </row>
    <row r="122" spans="1:7" x14ac:dyDescent="0.25">
      <c r="A122" s="1667"/>
      <c r="B122" s="1681"/>
      <c r="C122" s="1668"/>
      <c r="D122" s="1859"/>
      <c r="E122" s="1554">
        <f t="shared" si="20"/>
        <v>0</v>
      </c>
      <c r="F122" s="1807">
        <f t="shared" si="21"/>
        <v>0</v>
      </c>
      <c r="G122" s="1808">
        <f t="shared" si="22"/>
        <v>0</v>
      </c>
    </row>
    <row r="123" spans="1:7" x14ac:dyDescent="0.25">
      <c r="A123" s="1667"/>
      <c r="B123" s="1681"/>
      <c r="C123" s="1668"/>
      <c r="D123" s="1859"/>
      <c r="E123" s="1554">
        <f t="shared" si="20"/>
        <v>0</v>
      </c>
      <c r="F123" s="1807">
        <f t="shared" si="21"/>
        <v>0</v>
      </c>
      <c r="G123" s="1808">
        <f t="shared" si="22"/>
        <v>0</v>
      </c>
    </row>
    <row r="124" spans="1:7" x14ac:dyDescent="0.25">
      <c r="A124" s="1667"/>
      <c r="B124" s="1681"/>
      <c r="C124" s="1668"/>
      <c r="D124" s="1859"/>
      <c r="E124" s="1554">
        <f t="shared" si="20"/>
        <v>0</v>
      </c>
      <c r="F124" s="1807">
        <f t="shared" si="21"/>
        <v>0</v>
      </c>
      <c r="G124" s="1808">
        <f t="shared" si="22"/>
        <v>0</v>
      </c>
    </row>
    <row r="125" spans="1:7" x14ac:dyDescent="0.25">
      <c r="A125" s="1667"/>
      <c r="B125" s="1681"/>
      <c r="C125" s="1668"/>
      <c r="D125" s="1859"/>
      <c r="E125" s="1554">
        <f t="shared" si="20"/>
        <v>0</v>
      </c>
      <c r="F125" s="1807">
        <f t="shared" si="21"/>
        <v>0</v>
      </c>
      <c r="G125" s="1808">
        <f t="shared" si="22"/>
        <v>0</v>
      </c>
    </row>
    <row r="126" spans="1:7" x14ac:dyDescent="0.25">
      <c r="A126" s="1667"/>
      <c r="B126" s="1681"/>
      <c r="C126" s="1668"/>
      <c r="D126" s="1859"/>
      <c r="E126" s="1554">
        <f t="shared" ref="E126:E134" si="23">IF(D126&lt;=25000,D126,IF(D126&gt;25000,25000,0))</f>
        <v>0</v>
      </c>
      <c r="F126" s="1807">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8">
        <f t="shared" ref="G126:G134" si="25">IF(F126=0,0,D126-F126)</f>
        <v>0</v>
      </c>
    </row>
    <row r="127" spans="1:7" x14ac:dyDescent="0.25">
      <c r="A127" s="1667"/>
      <c r="B127" s="1681"/>
      <c r="C127" s="1668"/>
      <c r="D127" s="1859"/>
      <c r="E127" s="1554">
        <f t="shared" si="23"/>
        <v>0</v>
      </c>
      <c r="F127" s="1807">
        <f t="shared" si="24"/>
        <v>0</v>
      </c>
      <c r="G127" s="1808">
        <f t="shared" si="25"/>
        <v>0</v>
      </c>
    </row>
    <row r="128" spans="1:7" x14ac:dyDescent="0.25">
      <c r="A128" s="1667"/>
      <c r="B128" s="1681"/>
      <c r="C128" s="1668"/>
      <c r="D128" s="1859"/>
      <c r="E128" s="1554">
        <f t="shared" si="23"/>
        <v>0</v>
      </c>
      <c r="F128" s="1807">
        <f t="shared" si="24"/>
        <v>0</v>
      </c>
      <c r="G128" s="1808">
        <f t="shared" si="25"/>
        <v>0</v>
      </c>
    </row>
    <row r="129" spans="1:7" x14ac:dyDescent="0.25">
      <c r="A129" s="1667"/>
      <c r="B129" s="1681"/>
      <c r="C129" s="1668"/>
      <c r="D129" s="1859"/>
      <c r="E129" s="1554">
        <f t="shared" si="23"/>
        <v>0</v>
      </c>
      <c r="F129" s="1807">
        <f t="shared" si="24"/>
        <v>0</v>
      </c>
      <c r="G129" s="1808">
        <f t="shared" si="25"/>
        <v>0</v>
      </c>
    </row>
    <row r="130" spans="1:7" x14ac:dyDescent="0.25">
      <c r="A130" s="1667"/>
      <c r="B130" s="1681"/>
      <c r="C130" s="1668"/>
      <c r="D130" s="1859"/>
      <c r="E130" s="1554">
        <f t="shared" si="23"/>
        <v>0</v>
      </c>
      <c r="F130" s="1807">
        <f t="shared" si="24"/>
        <v>0</v>
      </c>
      <c r="G130" s="1808">
        <f t="shared" si="25"/>
        <v>0</v>
      </c>
    </row>
    <row r="131" spans="1:7" x14ac:dyDescent="0.25">
      <c r="A131" s="1667"/>
      <c r="B131" s="1852"/>
      <c r="C131" s="1668"/>
      <c r="D131" s="1859"/>
      <c r="E131" s="1554">
        <f t="shared" si="23"/>
        <v>0</v>
      </c>
      <c r="F131" s="1807">
        <f t="shared" si="24"/>
        <v>0</v>
      </c>
      <c r="G131" s="1808">
        <f t="shared" si="25"/>
        <v>0</v>
      </c>
    </row>
    <row r="132" spans="1:7" x14ac:dyDescent="0.25">
      <c r="A132" s="1667"/>
      <c r="B132" s="1852"/>
      <c r="C132" s="1668"/>
      <c r="D132" s="1859"/>
      <c r="E132" s="1554">
        <f t="shared" si="23"/>
        <v>0</v>
      </c>
      <c r="F132" s="1807">
        <f t="shared" si="24"/>
        <v>0</v>
      </c>
      <c r="G132" s="1808">
        <f t="shared" si="25"/>
        <v>0</v>
      </c>
    </row>
    <row r="133" spans="1:7" x14ac:dyDescent="0.25">
      <c r="A133" s="1667"/>
      <c r="B133" s="1681"/>
      <c r="C133" s="1668"/>
      <c r="D133" s="1859"/>
      <c r="E133" s="1554">
        <f t="shared" si="23"/>
        <v>0</v>
      </c>
      <c r="F133" s="1807">
        <f t="shared" si="24"/>
        <v>0</v>
      </c>
      <c r="G133" s="1808">
        <f t="shared" si="25"/>
        <v>0</v>
      </c>
    </row>
    <row r="134" spans="1:7" x14ac:dyDescent="0.25">
      <c r="A134" s="1667"/>
      <c r="B134" s="1681"/>
      <c r="C134" s="1668"/>
      <c r="D134" s="1859"/>
      <c r="E134" s="1554">
        <f t="shared" si="23"/>
        <v>0</v>
      </c>
      <c r="F134" s="1807">
        <f t="shared" si="24"/>
        <v>0</v>
      </c>
      <c r="G134" s="1808">
        <f t="shared" si="25"/>
        <v>0</v>
      </c>
    </row>
    <row r="135" spans="1:7" x14ac:dyDescent="0.25">
      <c r="A135" s="1667"/>
      <c r="B135" s="1681"/>
      <c r="C135" s="1668"/>
      <c r="D135" s="1859"/>
      <c r="E135" s="1554">
        <f t="shared" ref="E135:E139" si="26">IF(D135&lt;=25000,D135,IF(D135&gt;25000,25000,0))</f>
        <v>0</v>
      </c>
      <c r="F135" s="1807">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8">
        <f t="shared" ref="G135:G139" si="28">IF(F135=0,0,D135-F135)</f>
        <v>0</v>
      </c>
    </row>
    <row r="136" spans="1:7" x14ac:dyDescent="0.25">
      <c r="A136" s="1667"/>
      <c r="B136" s="1681"/>
      <c r="C136" s="1668"/>
      <c r="D136" s="1859"/>
      <c r="E136" s="1554">
        <f t="shared" si="26"/>
        <v>0</v>
      </c>
      <c r="F136" s="1807">
        <f t="shared" si="27"/>
        <v>0</v>
      </c>
      <c r="G136" s="1808">
        <f t="shared" si="28"/>
        <v>0</v>
      </c>
    </row>
    <row r="137" spans="1:7" x14ac:dyDescent="0.25">
      <c r="A137" s="1667"/>
      <c r="B137" s="1681"/>
      <c r="C137" s="1668"/>
      <c r="D137" s="1859"/>
      <c r="E137" s="1554">
        <f t="shared" si="26"/>
        <v>0</v>
      </c>
      <c r="F137" s="1807">
        <f t="shared" si="27"/>
        <v>0</v>
      </c>
      <c r="G137" s="1808">
        <f t="shared" si="28"/>
        <v>0</v>
      </c>
    </row>
    <row r="138" spans="1:7" x14ac:dyDescent="0.25">
      <c r="A138" s="1667"/>
      <c r="B138" s="1681"/>
      <c r="C138" s="1668"/>
      <c r="D138" s="1859"/>
      <c r="E138" s="1554">
        <f t="shared" si="26"/>
        <v>0</v>
      </c>
      <c r="F138" s="1807">
        <f t="shared" si="27"/>
        <v>0</v>
      </c>
      <c r="G138" s="1808">
        <f t="shared" si="28"/>
        <v>0</v>
      </c>
    </row>
    <row r="139" spans="1:7" x14ac:dyDescent="0.25">
      <c r="A139" s="1667"/>
      <c r="B139" s="1681"/>
      <c r="C139" s="1668"/>
      <c r="D139" s="1859"/>
      <c r="E139" s="1554">
        <f t="shared" si="26"/>
        <v>0</v>
      </c>
      <c r="F139" s="1807">
        <f t="shared" si="27"/>
        <v>0</v>
      </c>
      <c r="G139" s="1808">
        <f t="shared" si="28"/>
        <v>0</v>
      </c>
    </row>
    <row r="140" spans="1:7" x14ac:dyDescent="0.25">
      <c r="A140" s="1667"/>
      <c r="B140" s="1680"/>
      <c r="C140" s="1668"/>
      <c r="D140" s="1859"/>
      <c r="E140" s="1554">
        <f t="shared" si="2"/>
        <v>0</v>
      </c>
      <c r="F140" s="1807">
        <f t="shared" si="3"/>
        <v>0</v>
      </c>
      <c r="G140" s="1808">
        <f t="shared" si="4"/>
        <v>0</v>
      </c>
    </row>
    <row r="141" spans="1:7" x14ac:dyDescent="0.25">
      <c r="A141" s="1811" t="s">
        <v>158</v>
      </c>
      <c r="B141" s="1812"/>
      <c r="C141" s="1813"/>
      <c r="D141" s="1809">
        <f>SUM(D17:D140)</f>
        <v>88940</v>
      </c>
      <c r="E141" s="1555">
        <f t="shared" si="1"/>
        <v>25000</v>
      </c>
      <c r="F141" s="1809">
        <f>SUM(F17:F140)</f>
        <v>25000</v>
      </c>
      <c r="G141" s="1810">
        <f>SUM(G17:G140)</f>
        <v>48095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I46"/>
  <sheetViews>
    <sheetView showGridLines="0" defaultGridColor="0" topLeftCell="A31" colorId="8" zoomScale="110" zoomScaleNormal="110" workbookViewId="0">
      <selection activeCell="E40" sqref="E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8" t="s">
        <v>1177</v>
      </c>
      <c r="B1" s="1649"/>
      <c r="C1" s="1650"/>
    </row>
    <row r="2" spans="1:9" x14ac:dyDescent="0.2">
      <c r="A2" s="950" t="s">
        <v>1178</v>
      </c>
      <c r="B2" s="951"/>
      <c r="C2" s="951"/>
      <c r="D2" s="951"/>
      <c r="E2" s="952"/>
      <c r="F2" s="952"/>
      <c r="G2" s="953"/>
    </row>
    <row r="3" spans="1:9" ht="12" customHeight="1" x14ac:dyDescent="0.2">
      <c r="A3" s="954" t="s">
        <v>1423</v>
      </c>
      <c r="B3" s="955"/>
      <c r="C3" s="955"/>
      <c r="D3" s="955"/>
      <c r="E3" s="956"/>
      <c r="F3" s="956"/>
      <c r="G3" s="957"/>
    </row>
    <row r="4" spans="1:9" x14ac:dyDescent="0.2">
      <c r="A4" s="958" t="s">
        <v>779</v>
      </c>
      <c r="B4" s="959"/>
      <c r="C4" s="959"/>
      <c r="D4" s="959"/>
      <c r="E4" s="960"/>
      <c r="F4" s="961"/>
      <c r="G4" s="962"/>
      <c r="H4" s="252"/>
      <c r="I4" s="252"/>
    </row>
    <row r="5" spans="1:9" s="343" customFormat="1" ht="57" customHeight="1" x14ac:dyDescent="0.2">
      <c r="A5" s="2358" t="s">
        <v>1778</v>
      </c>
      <c r="B5" s="2359"/>
      <c r="C5" s="2359"/>
      <c r="D5" s="2359"/>
      <c r="E5" s="2359"/>
      <c r="F5" s="2359"/>
      <c r="G5" s="2360"/>
      <c r="H5" s="252"/>
      <c r="I5" s="610"/>
    </row>
    <row r="6" spans="1:9" s="669" customFormat="1" x14ac:dyDescent="0.2">
      <c r="A6" s="1651" t="s">
        <v>214</v>
      </c>
      <c r="B6" s="964"/>
      <c r="C6" s="964"/>
      <c r="D6" s="965"/>
      <c r="E6" s="965"/>
      <c r="F6" s="966"/>
      <c r="G6" s="967"/>
      <c r="H6" s="162"/>
      <c r="I6" s="162"/>
    </row>
    <row r="7" spans="1:9" s="669" customFormat="1" ht="12" customHeight="1" x14ac:dyDescent="0.2">
      <c r="A7" s="968" t="s">
        <v>964</v>
      </c>
      <c r="B7" s="969"/>
      <c r="C7" s="969"/>
      <c r="D7" s="970"/>
      <c r="E7" s="971"/>
      <c r="F7" s="972"/>
      <c r="G7" s="973"/>
      <c r="H7" s="162"/>
      <c r="I7" s="162"/>
    </row>
    <row r="8" spans="1:9" s="669" customFormat="1" ht="12" customHeight="1" x14ac:dyDescent="0.2">
      <c r="A8" s="968" t="s">
        <v>131</v>
      </c>
      <c r="B8" s="969"/>
      <c r="C8" s="969"/>
      <c r="D8" s="970"/>
      <c r="E8" s="971"/>
      <c r="F8" s="972"/>
      <c r="G8" s="973"/>
      <c r="H8" s="162"/>
      <c r="I8" s="162"/>
    </row>
    <row r="9" spans="1:9" s="669" customFormat="1" ht="12" customHeight="1" x14ac:dyDescent="0.2">
      <c r="A9" s="968" t="s">
        <v>132</v>
      </c>
      <c r="B9" s="969"/>
      <c r="C9" s="969"/>
      <c r="D9" s="970"/>
      <c r="E9" s="971"/>
      <c r="F9" s="972"/>
      <c r="G9" s="973"/>
      <c r="H9" s="162"/>
      <c r="I9" s="162"/>
    </row>
    <row r="10" spans="1:9" s="669" customFormat="1" ht="12" customHeight="1" x14ac:dyDescent="0.2">
      <c r="A10" s="968" t="s">
        <v>2073</v>
      </c>
      <c r="B10" s="969"/>
      <c r="C10" s="974"/>
      <c r="D10" s="970"/>
      <c r="E10" s="971">
        <v>273251</v>
      </c>
      <c r="F10" s="972"/>
      <c r="G10" s="973"/>
      <c r="H10" s="162"/>
      <c r="I10" s="162"/>
    </row>
    <row r="11" spans="1:9" s="669" customFormat="1" ht="22.5" customHeight="1" x14ac:dyDescent="0.2">
      <c r="A11" s="2363" t="s">
        <v>1942</v>
      </c>
      <c r="B11" s="2364"/>
      <c r="C11" s="2364"/>
      <c r="D11" s="2365"/>
      <c r="E11" s="975">
        <v>46814</v>
      </c>
      <c r="F11" s="972"/>
      <c r="G11" s="976"/>
      <c r="H11" s="162"/>
      <c r="I11" s="162"/>
    </row>
    <row r="12" spans="1:9" s="669" customFormat="1" ht="12" customHeight="1" x14ac:dyDescent="0.2">
      <c r="A12" s="968" t="s">
        <v>133</v>
      </c>
      <c r="B12" s="969"/>
      <c r="C12" s="969"/>
      <c r="D12" s="970"/>
      <c r="E12" s="971"/>
      <c r="F12" s="972"/>
      <c r="G12" s="973"/>
      <c r="H12" s="162"/>
      <c r="I12" s="162"/>
    </row>
    <row r="13" spans="1:9" s="669" customFormat="1" ht="12" customHeight="1" x14ac:dyDescent="0.2">
      <c r="A13" s="968" t="s">
        <v>212</v>
      </c>
      <c r="B13" s="969"/>
      <c r="C13" s="969"/>
      <c r="D13" s="970"/>
      <c r="E13" s="971"/>
      <c r="F13" s="972"/>
      <c r="G13" s="973"/>
      <c r="H13" s="162"/>
      <c r="I13" s="162"/>
    </row>
    <row r="14" spans="1:9" s="669" customFormat="1" ht="12" customHeight="1" x14ac:dyDescent="0.2">
      <c r="A14" s="968" t="s">
        <v>213</v>
      </c>
      <c r="B14" s="969"/>
      <c r="C14" s="969"/>
      <c r="D14" s="970"/>
      <c r="E14" s="971"/>
      <c r="F14" s="977"/>
      <c r="G14" s="978"/>
      <c r="H14" s="162"/>
      <c r="I14" s="162"/>
    </row>
    <row r="15" spans="1:9" s="669" customFormat="1" ht="12" customHeight="1" x14ac:dyDescent="0.2">
      <c r="A15" s="963" t="s">
        <v>389</v>
      </c>
      <c r="B15" s="965"/>
      <c r="C15" s="965"/>
      <c r="D15" s="965"/>
      <c r="E15" s="965"/>
      <c r="F15" s="965"/>
      <c r="G15" s="979"/>
      <c r="H15" s="162"/>
      <c r="I15" s="162"/>
    </row>
    <row r="16" spans="1:9" s="669" customFormat="1" x14ac:dyDescent="0.2">
      <c r="A16" s="980" t="s">
        <v>1443</v>
      </c>
      <c r="B16" s="981"/>
      <c r="C16" s="982"/>
      <c r="D16" s="961"/>
      <c r="E16" s="956"/>
      <c r="F16" s="956"/>
      <c r="G16" s="957"/>
      <c r="H16" s="162"/>
      <c r="I16" s="162"/>
    </row>
    <row r="17" spans="1:9" s="669" customFormat="1" ht="12" customHeight="1" x14ac:dyDescent="0.2">
      <c r="A17" s="983"/>
      <c r="B17" s="984"/>
      <c r="C17" s="329"/>
      <c r="D17" s="1652" t="s">
        <v>553</v>
      </c>
      <c r="E17" s="1653"/>
      <c r="F17" s="1652" t="s">
        <v>453</v>
      </c>
      <c r="G17" s="1654"/>
      <c r="H17" s="162"/>
      <c r="I17" s="162"/>
    </row>
    <row r="18" spans="1:9" s="259" customFormat="1" ht="11.25" x14ac:dyDescent="0.2">
      <c r="A18" s="986"/>
      <c r="C18" s="987" t="s">
        <v>454</v>
      </c>
      <c r="D18" s="1655" t="s">
        <v>455</v>
      </c>
      <c r="E18" s="1655" t="s">
        <v>55</v>
      </c>
      <c r="F18" s="1655" t="s">
        <v>455</v>
      </c>
      <c r="G18" s="1655" t="s">
        <v>55</v>
      </c>
      <c r="H18" s="178"/>
      <c r="I18" s="178"/>
    </row>
    <row r="19" spans="1:9" s="669" customFormat="1" ht="12" customHeight="1" x14ac:dyDescent="0.2">
      <c r="A19" s="988" t="s">
        <v>476</v>
      </c>
      <c r="B19" s="989"/>
      <c r="C19" s="990" t="s">
        <v>591</v>
      </c>
      <c r="D19" s="1814"/>
      <c r="E19" s="1815">
        <f>'Expenditures 15-22'!K33-SUM('Expenditures 15-22'!G33,'Expenditures 15-22'!I33)+'Expenditures 15-22'!D229</f>
        <v>17045360</v>
      </c>
      <c r="F19" s="1814"/>
      <c r="G19" s="1816">
        <f>'Expenditures 15-22'!K33-SUM('Expenditures 15-22'!G33,'Expenditures 15-22'!I33)+'Expenditures 15-22'!D229</f>
        <v>17045360</v>
      </c>
      <c r="H19" s="985"/>
      <c r="I19" s="162"/>
    </row>
    <row r="20" spans="1:9" s="669" customFormat="1" ht="12" customHeight="1" x14ac:dyDescent="0.2">
      <c r="A20" s="988" t="s">
        <v>56</v>
      </c>
      <c r="B20" s="989"/>
      <c r="C20" s="991"/>
      <c r="D20" s="1817"/>
      <c r="E20" s="1817"/>
      <c r="F20" s="1817"/>
      <c r="G20" s="1818"/>
      <c r="H20" s="985"/>
      <c r="I20" s="162"/>
    </row>
    <row r="21" spans="1:9" s="669" customFormat="1" ht="12" customHeight="1" x14ac:dyDescent="0.2">
      <c r="A21" s="992" t="s">
        <v>421</v>
      </c>
      <c r="B21" s="993"/>
      <c r="C21" s="991">
        <v>2100</v>
      </c>
      <c r="D21" s="1817"/>
      <c r="E21" s="1819">
        <f>'Expenditures 15-22'!K42-SUM('Expenditures 15-22'!G42,'Expenditures 15-22'!I42)+'Expenditures 15-22'!K120-SUM('Expenditures 15-22'!G120,'Expenditures 15-22'!I120)+'Expenditures 15-22'!K180-SUM('Expenditures 15-22'!G180,'Expenditures 15-22'!I180)+'Expenditures 15-22'!D238</f>
        <v>1658977</v>
      </c>
      <c r="F21" s="1817"/>
      <c r="G21" s="1820">
        <f>'Expenditures 15-22'!K42-SUM('Expenditures 15-22'!G42,'Expenditures 15-22'!I42)+'Expenditures 15-22'!K120-SUM('Expenditures 15-22'!G120,'Expenditures 15-22'!I120)+'Expenditures 15-22'!K180-SUM('Expenditures 15-22'!G180,'Expenditures 15-22'!I180)+'Expenditures 15-22'!D238</f>
        <v>1658977</v>
      </c>
      <c r="H21" s="985"/>
      <c r="I21" s="162"/>
    </row>
    <row r="22" spans="1:9" s="669" customFormat="1" ht="12" customHeight="1" x14ac:dyDescent="0.2">
      <c r="A22" s="992" t="s">
        <v>585</v>
      </c>
      <c r="B22" s="993"/>
      <c r="C22" s="991">
        <v>2200</v>
      </c>
      <c r="D22" s="1817"/>
      <c r="E22" s="1819">
        <f>'Expenditures 15-22'!K47-SUM('Expenditures 15-22'!G47,'Expenditures 15-22'!I47)+'Expenditures 15-22'!D243</f>
        <v>2360231</v>
      </c>
      <c r="F22" s="1817"/>
      <c r="G22" s="1820">
        <f>'Expenditures 15-22'!K47-SUM('Expenditures 15-22'!G47,'Expenditures 15-22'!I47)+'Expenditures 15-22'!D243</f>
        <v>2360231</v>
      </c>
      <c r="H22" s="985"/>
      <c r="I22" s="162"/>
    </row>
    <row r="23" spans="1:9" s="669" customFormat="1" ht="12" customHeight="1" x14ac:dyDescent="0.2">
      <c r="A23" s="992" t="s">
        <v>586</v>
      </c>
      <c r="B23" s="993"/>
      <c r="C23" s="991">
        <v>2300</v>
      </c>
      <c r="D23" s="1817"/>
      <c r="E23" s="1819">
        <f>'Expenditures 15-22'!K53-SUM('Expenditures 15-22'!G53,'Expenditures 15-22'!I53)+'Expenditures 15-22'!D257+'Expenditures 15-22'!K330-SUM('Expenditures 15-22'!G330,'Expenditures 15-22'!I330)</f>
        <v>987140</v>
      </c>
      <c r="F23" s="1817"/>
      <c r="G23" s="1819">
        <f>'Expenditures 15-22'!K53-SUM('Expenditures 15-22'!G53,'Expenditures 15-22'!I53)+'Expenditures 15-22'!D257+'Expenditures 15-22'!K330-SUM('Expenditures 15-22'!G330,'Expenditures 15-22'!I330)</f>
        <v>987140</v>
      </c>
      <c r="H23" s="985"/>
      <c r="I23" s="162"/>
    </row>
    <row r="24" spans="1:9" s="669" customFormat="1" ht="12" customHeight="1" x14ac:dyDescent="0.2">
      <c r="A24" s="992" t="s">
        <v>587</v>
      </c>
      <c r="B24" s="993"/>
      <c r="C24" s="991">
        <v>2400</v>
      </c>
      <c r="D24" s="1817"/>
      <c r="E24" s="1819">
        <f>'Expenditures 15-22'!K57-SUM('Expenditures 15-22'!G57,'Expenditures 15-22'!I57)+'Expenditures 15-22'!D261</f>
        <v>1564430</v>
      </c>
      <c r="F24" s="1817"/>
      <c r="G24" s="1820">
        <f>'Expenditures 15-22'!K57-SUM('Expenditures 15-22'!G57,'Expenditures 15-22'!I57)+'Expenditures 15-22'!D261</f>
        <v>1564430</v>
      </c>
      <c r="H24" s="985"/>
      <c r="I24" s="162"/>
    </row>
    <row r="25" spans="1:9" s="669" customFormat="1" ht="12" customHeight="1" x14ac:dyDescent="0.2">
      <c r="A25" s="988" t="s">
        <v>588</v>
      </c>
      <c r="B25" s="994"/>
      <c r="C25" s="991"/>
      <c r="D25" s="1817"/>
      <c r="E25" s="1819"/>
      <c r="F25" s="1817"/>
      <c r="G25" s="1820"/>
      <c r="H25" s="985"/>
      <c r="I25" s="162"/>
    </row>
    <row r="26" spans="1:9" s="669" customFormat="1" ht="12" customHeight="1" x14ac:dyDescent="0.2">
      <c r="A26" s="992" t="s">
        <v>536</v>
      </c>
      <c r="B26" s="995"/>
      <c r="C26" s="991">
        <v>2510</v>
      </c>
      <c r="D26" s="1819">
        <f>'Expenditures 15-22'!K59-SUM('Expenditures 15-22'!G59,'Expenditures 15-22'!I59)+'Expenditures 15-22'!D263-E7</f>
        <v>261871</v>
      </c>
      <c r="E26" s="1819">
        <f>'Expenditures 15-22'!K122-SUM('Expenditures 15-22'!G122,'Expenditures 15-22'!I122)+E7</f>
        <v>0</v>
      </c>
      <c r="F26" s="1819">
        <f>'Expenditures 15-22'!K59-SUM('Expenditures 15-22'!G59,'Expenditures 15-22'!I59)+'Expenditures 15-22'!D263-E7</f>
        <v>261871</v>
      </c>
      <c r="G26" s="1820">
        <f>'Expenditures 15-22'!K122-SUM('Expenditures 15-22'!G122,'Expenditures 15-22'!I122)+E7</f>
        <v>0</v>
      </c>
      <c r="H26" s="985"/>
      <c r="I26" s="162"/>
    </row>
    <row r="27" spans="1:9" s="669" customFormat="1" ht="12" customHeight="1" x14ac:dyDescent="0.2">
      <c r="A27" s="992" t="s">
        <v>483</v>
      </c>
      <c r="B27" s="995"/>
      <c r="C27" s="991">
        <v>2520</v>
      </c>
      <c r="D27" s="1819">
        <f>'Expenditures 15-22'!K60-SUM('Expenditures 15-22'!G60,'Expenditures 15-22'!I60)+'Expenditures 15-22'!D264-E8</f>
        <v>203164</v>
      </c>
      <c r="E27" s="1819">
        <f>E8</f>
        <v>0</v>
      </c>
      <c r="F27" s="1819">
        <f>'Expenditures 15-22'!K60-SUM('Expenditures 15-22'!G60,'Expenditures 15-22'!I60)+'Expenditures 15-22'!D264-E8</f>
        <v>203164</v>
      </c>
      <c r="G27" s="1820">
        <f>E8</f>
        <v>0</v>
      </c>
      <c r="H27" s="985"/>
      <c r="I27" s="162"/>
    </row>
    <row r="28" spans="1:9" s="669" customFormat="1" ht="12" customHeight="1" x14ac:dyDescent="0.2">
      <c r="A28" s="992" t="s">
        <v>537</v>
      </c>
      <c r="B28" s="995"/>
      <c r="C28" s="991">
        <v>2540</v>
      </c>
      <c r="D28" s="1821"/>
      <c r="E28" s="1819">
        <f>'Expenditures 15-22'!K61-SUM('Expenditures 15-22'!G61,'Expenditures 15-22'!I61)+'Expenditures 15-22'!K124-SUM('Expenditures 15-22'!G124,'Expenditures 15-22'!I124)+'Expenditures 15-22'!D266</f>
        <v>3116479</v>
      </c>
      <c r="F28" s="1821">
        <f>'Expenditures 15-22'!K61-SUM('Expenditures 15-22'!G61,'Expenditures 15-22'!I61)+'Expenditures 15-22'!K124-SUM('Expenditures 15-22'!G124,'Expenditures 15-22'!I124)+'Expenditures 15-22'!D266-E9</f>
        <v>3116479</v>
      </c>
      <c r="G28" s="1820">
        <f>E9</f>
        <v>0</v>
      </c>
      <c r="H28" s="985"/>
      <c r="I28" s="162"/>
    </row>
    <row r="29" spans="1:9" ht="12" customHeight="1" x14ac:dyDescent="0.2">
      <c r="A29" s="992" t="s">
        <v>538</v>
      </c>
      <c r="B29" s="995"/>
      <c r="C29" s="991">
        <v>2550</v>
      </c>
      <c r="D29" s="1817"/>
      <c r="E29" s="1819">
        <f>'Expenditures 15-22'!K62-SUM('Expenditures 15-22'!G62,'Expenditures 15-22'!I62)+'Expenditures 15-22'!K125-SUM('Expenditures 15-22'!G125,'Expenditures 15-22'!I125)+'Expenditures 15-22'!K182-SUM('Expenditures 15-22'!G182,'Expenditures 15-22'!I182)+'Expenditures 15-22'!D267</f>
        <v>1522731</v>
      </c>
      <c r="F29" s="1817"/>
      <c r="G29" s="1820">
        <f>'Expenditures 15-22'!K62-SUM('Expenditures 15-22'!G62,'Expenditures 15-22'!I62)+'Expenditures 15-22'!K125-SUM('Expenditures 15-22'!G125,'Expenditures 15-22'!I125)+'Expenditures 15-22'!K182-SUM('Expenditures 15-22'!G182,'Expenditures 15-22'!I182)+'Expenditures 15-22'!D267</f>
        <v>1522731</v>
      </c>
      <c r="H29" s="983"/>
    </row>
    <row r="30" spans="1:9" ht="12" customHeight="1" x14ac:dyDescent="0.2">
      <c r="A30" s="992" t="s">
        <v>102</v>
      </c>
      <c r="B30" s="995"/>
      <c r="C30" s="991">
        <v>2560</v>
      </c>
      <c r="D30" s="1817"/>
      <c r="E30" s="1819">
        <f>'Expenditures 15-22'!K63-SUM('Expenditures 15-22'!G63,'Expenditures 15-22'!I63)+'Expenditures 15-22'!D268-E10</f>
        <v>266280</v>
      </c>
      <c r="F30" s="1817"/>
      <c r="G30" s="1819">
        <f>'Expenditures 15-22'!K63-SUM('Expenditures 15-22'!G63,'Expenditures 15-22'!I63)+'Expenditures 15-22'!D268-E10</f>
        <v>266280</v>
      </c>
    </row>
    <row r="31" spans="1:9" ht="12" customHeight="1" x14ac:dyDescent="0.2">
      <c r="A31" s="992" t="s">
        <v>103</v>
      </c>
      <c r="B31" s="995"/>
      <c r="C31" s="991">
        <v>2570</v>
      </c>
      <c r="D31" s="1819">
        <f>'Expenditures 15-22'!K64-SUM('Expenditures 15-22'!G64,'Expenditures 15-22'!I64)+'Expenditures 15-22'!D269-E12</f>
        <v>73536</v>
      </c>
      <c r="E31" s="1819">
        <f>E12</f>
        <v>0</v>
      </c>
      <c r="F31" s="1819">
        <f>'Expenditures 15-22'!K64-SUM('Expenditures 15-22'!G64,'Expenditures 15-22'!I64)+'Expenditures 15-22'!D269-E12</f>
        <v>73536</v>
      </c>
      <c r="G31" s="1819">
        <f>E12</f>
        <v>0</v>
      </c>
    </row>
    <row r="32" spans="1:9" ht="12" customHeight="1" x14ac:dyDescent="0.2">
      <c r="A32" s="988" t="s">
        <v>539</v>
      </c>
      <c r="B32" s="994"/>
      <c r="C32" s="991"/>
      <c r="D32" s="1817"/>
      <c r="E32" s="1817"/>
      <c r="F32" s="1817"/>
      <c r="G32" s="1817"/>
    </row>
    <row r="33" spans="1:7" ht="12" customHeight="1" x14ac:dyDescent="0.2">
      <c r="A33" s="992" t="s">
        <v>540</v>
      </c>
      <c r="B33" s="995"/>
      <c r="C33" s="991">
        <v>2610</v>
      </c>
      <c r="D33" s="1817"/>
      <c r="E33" s="1819">
        <f>'Expenditures 15-22'!K67-SUM('Expenditures 15-22'!G67,'Expenditures 15-22'!I67)+'Expenditures 15-22'!D272</f>
        <v>0</v>
      </c>
      <c r="F33" s="1817"/>
      <c r="G33" s="1819">
        <f>'Expenditures 15-22'!K67-SUM('Expenditures 15-22'!G67,'Expenditures 15-22'!I67)+'Expenditures 15-22'!D272</f>
        <v>0</v>
      </c>
    </row>
    <row r="34" spans="1:7" ht="12" customHeight="1" x14ac:dyDescent="0.2">
      <c r="A34" s="992" t="s">
        <v>541</v>
      </c>
      <c r="B34" s="995"/>
      <c r="C34" s="991">
        <v>2620</v>
      </c>
      <c r="D34" s="1817"/>
      <c r="E34" s="1819">
        <f>'Expenditures 15-22'!K68-SUM('Expenditures 15-22'!G68,'Expenditures 15-22'!I68)+'Expenditures 15-22'!D273</f>
        <v>0</v>
      </c>
      <c r="F34" s="1817"/>
      <c r="G34" s="1819">
        <f>'Expenditures 15-22'!K68-SUM('Expenditures 15-22'!G68,'Expenditures 15-22'!I68)+'Expenditures 15-22'!D273</f>
        <v>0</v>
      </c>
    </row>
    <row r="35" spans="1:7" ht="12" customHeight="1" x14ac:dyDescent="0.2">
      <c r="A35" s="992" t="s">
        <v>1121</v>
      </c>
      <c r="B35" s="995"/>
      <c r="C35" s="991">
        <v>2630</v>
      </c>
      <c r="D35" s="1817"/>
      <c r="E35" s="1819">
        <f>'Expenditures 15-22'!K69-SUM('Expenditures 15-22'!G69,'Expenditures 15-22'!I69)+'Expenditures 15-22'!D274</f>
        <v>0</v>
      </c>
      <c r="F35" s="1817"/>
      <c r="G35" s="1819">
        <f>'Expenditures 15-22'!K69-SUM('Expenditures 15-22'!G69,'Expenditures 15-22'!I69)+'Expenditures 15-22'!D274</f>
        <v>0</v>
      </c>
    </row>
    <row r="36" spans="1:7" ht="12" customHeight="1" x14ac:dyDescent="0.2">
      <c r="A36" s="992" t="s">
        <v>423</v>
      </c>
      <c r="B36" s="995"/>
      <c r="C36" s="991">
        <v>2640</v>
      </c>
      <c r="D36" s="1819">
        <f>'Expenditures 15-22'!K70-SUM('Expenditures 15-22'!G70,'Expenditures 15-22'!I70)+'Expenditures 15-22'!D275-E13</f>
        <v>0</v>
      </c>
      <c r="E36" s="1819">
        <f>E13</f>
        <v>0</v>
      </c>
      <c r="F36" s="1819">
        <f>'Expenditures 15-22'!K70-SUM('Expenditures 15-22'!G70,'Expenditures 15-22'!I70)+'Expenditures 15-22'!D275-E13</f>
        <v>0</v>
      </c>
      <c r="G36" s="1819">
        <f>E13</f>
        <v>0</v>
      </c>
    </row>
    <row r="37" spans="1:7" ht="12" customHeight="1" x14ac:dyDescent="0.2">
      <c r="A37" s="992" t="s">
        <v>424</v>
      </c>
      <c r="B37" s="995"/>
      <c r="C37" s="991">
        <v>2660</v>
      </c>
      <c r="D37" s="1819">
        <f>'Expenditures 15-22'!K71-SUM('Expenditures 15-22'!G71,'Expenditures 15-22'!I71)+'Expenditures 15-22'!D276-E14</f>
        <v>0</v>
      </c>
      <c r="E37" s="1819">
        <f>E14</f>
        <v>0</v>
      </c>
      <c r="F37" s="1819">
        <f>'Expenditures 15-22'!K71-SUM('Expenditures 15-22'!G71,'Expenditures 15-22'!I71)+'Expenditures 15-22'!D276-E14</f>
        <v>0</v>
      </c>
      <c r="G37" s="1819">
        <f>E14</f>
        <v>0</v>
      </c>
    </row>
    <row r="38" spans="1:7" ht="12" customHeight="1" x14ac:dyDescent="0.2">
      <c r="A38" s="988" t="s">
        <v>542</v>
      </c>
      <c r="B38" s="989"/>
      <c r="C38" s="991">
        <v>2900</v>
      </c>
      <c r="D38" s="1817"/>
      <c r="E38" s="1819">
        <f>'Expenditures 15-22'!K73-SUM('Expenditures 15-22'!G73,'Expenditures 15-22'!I73)+'Expenditures 15-22'!K128-SUM('Expenditures 15-22'!G128,'Expenditures 15-22'!I128)+'Expenditures 15-22'!K183-SUM('Expenditures 15-22'!G183,'Expenditures 15-22'!I183)+'Expenditures 15-22'!D278</f>
        <v>331</v>
      </c>
      <c r="F38" s="1817"/>
      <c r="G38" s="1819">
        <f>'Expenditures 15-22'!K73-SUM('Expenditures 15-22'!G73,'Expenditures 15-22'!I73)+'Expenditures 15-22'!K128-SUM('Expenditures 15-22'!G128,'Expenditures 15-22'!I128)+'Expenditures 15-22'!K183-SUM('Expenditures 15-22'!G183,'Expenditures 15-22'!I183)+'Expenditures 15-22'!D278</f>
        <v>331</v>
      </c>
    </row>
    <row r="39" spans="1:7" ht="12" customHeight="1" x14ac:dyDescent="0.2">
      <c r="A39" s="988" t="s">
        <v>469</v>
      </c>
      <c r="B39" s="989"/>
      <c r="C39" s="991">
        <v>3000</v>
      </c>
      <c r="D39" s="1817"/>
      <c r="E39" s="1819">
        <f>'Expenditures 15-22'!K75-SUM('Expenditures 15-22'!G75,'Expenditures 15-22'!I75)+'Expenditures 15-22'!K130-SUM('Expenditures 15-22'!G130,'Expenditures 15-22'!I130)+'Expenditures 15-22'!K185-SUM('Expenditures 15-22'!G185,'Expenditures 15-22'!I185)+'Expenditures 15-22'!D280</f>
        <v>188099</v>
      </c>
      <c r="F39" s="1817"/>
      <c r="G39" s="1819">
        <f>'Expenditures 15-22'!K75-SUM('Expenditures 15-22'!G75,'Expenditures 15-22'!I75)+'Expenditures 15-22'!K130-SUM('Expenditures 15-22'!G130,'Expenditures 15-22'!I130)+'Expenditures 15-22'!K185-SUM('Expenditures 15-22'!G185,'Expenditures 15-22'!I185)+'Expenditures 15-22'!D280</f>
        <v>188099</v>
      </c>
    </row>
    <row r="40" spans="1:7" ht="12" customHeight="1" x14ac:dyDescent="0.2">
      <c r="A40" s="988" t="s">
        <v>1927</v>
      </c>
      <c r="B40" s="989"/>
      <c r="C40" s="991"/>
      <c r="D40" s="1817"/>
      <c r="E40" s="1821">
        <f>-'Contracts Paid in CY 29'!G141</f>
        <v>-48095</v>
      </c>
      <c r="F40" s="1817"/>
      <c r="G40" s="1821">
        <f>-'Contracts Paid in CY 29'!G141</f>
        <v>-48095</v>
      </c>
    </row>
    <row r="41" spans="1:7" ht="12" customHeight="1" x14ac:dyDescent="0.2">
      <c r="A41" s="996" t="s">
        <v>158</v>
      </c>
      <c r="B41" s="997"/>
      <c r="C41" s="998"/>
      <c r="D41" s="1821">
        <f>SUM(D19:D39)</f>
        <v>538571</v>
      </c>
      <c r="E41" s="1821">
        <f>SUM(E19:E40)</f>
        <v>28661963</v>
      </c>
      <c r="F41" s="1821">
        <f>SUM(F19:F39)</f>
        <v>3655050</v>
      </c>
      <c r="G41" s="1821">
        <f>SUM(G19:G40)</f>
        <v>25545484</v>
      </c>
    </row>
    <row r="42" spans="1:7" x14ac:dyDescent="0.2">
      <c r="A42" s="985"/>
      <c r="B42" s="162"/>
      <c r="C42" s="999"/>
      <c r="D42" s="2361" t="s">
        <v>543</v>
      </c>
      <c r="E42" s="2362"/>
      <c r="F42" s="1000" t="s">
        <v>544</v>
      </c>
      <c r="G42" s="1001"/>
    </row>
    <row r="43" spans="1:7" ht="12" customHeight="1" x14ac:dyDescent="0.2">
      <c r="A43" s="985"/>
      <c r="B43" s="162"/>
      <c r="C43" s="999"/>
      <c r="D43" s="1822" t="s">
        <v>493</v>
      </c>
      <c r="E43" s="1823">
        <f>D41</f>
        <v>538571</v>
      </c>
      <c r="F43" s="1822" t="s">
        <v>495</v>
      </c>
      <c r="G43" s="1823">
        <f>F41</f>
        <v>3655050</v>
      </c>
    </row>
    <row r="44" spans="1:7" ht="12" customHeight="1" x14ac:dyDescent="0.2">
      <c r="A44" s="985"/>
      <c r="B44" s="162"/>
      <c r="C44" s="999"/>
      <c r="D44" s="1822" t="s">
        <v>494</v>
      </c>
      <c r="E44" s="1823">
        <f>E41</f>
        <v>28661963</v>
      </c>
      <c r="F44" s="1822" t="s">
        <v>494</v>
      </c>
      <c r="G44" s="1823">
        <f>G41</f>
        <v>25545484</v>
      </c>
    </row>
    <row r="45" spans="1:7" ht="12" customHeight="1" x14ac:dyDescent="0.2">
      <c r="A45" s="985"/>
      <c r="B45" s="162"/>
      <c r="C45" s="162"/>
      <c r="D45" s="1824" t="s">
        <v>1063</v>
      </c>
      <c r="E45" s="1825">
        <f>(E43/E44)</f>
        <v>1.8790443627325876E-2</v>
      </c>
      <c r="F45" s="1824" t="s">
        <v>1063</v>
      </c>
      <c r="G45" s="1825">
        <f>(G43/G44)</f>
        <v>0.14308008413541901</v>
      </c>
    </row>
    <row r="46" spans="1:7" x14ac:dyDescent="0.2">
      <c r="A46" s="1002"/>
      <c r="B46" s="1003"/>
      <c r="C46" s="1003"/>
      <c r="D46" s="1004"/>
      <c r="E46" s="1005"/>
      <c r="F46" s="1004"/>
      <c r="G46" s="1005"/>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L97"/>
  <sheetViews>
    <sheetView showGridLines="0" zoomScale="110" zoomScaleNormal="110" workbookViewId="0">
      <pane ySplit="4" topLeftCell="A5" activePane="bottomLeft" state="frozen"/>
      <selection pane="bottomLeft" activeCell="E21" sqref="E21"/>
    </sheetView>
  </sheetViews>
  <sheetFormatPr defaultColWidth="9.140625" defaultRowHeight="12.75" x14ac:dyDescent="0.2"/>
  <cols>
    <col min="1" max="1" width="54.5703125" style="1893" customWidth="1"/>
    <col min="2" max="2" width="4.140625" style="1893" customWidth="1"/>
    <col min="3" max="4" width="9.85546875" style="1864" customWidth="1"/>
    <col min="5" max="5" width="12.5703125" style="1894" customWidth="1"/>
    <col min="6" max="6" width="67.5703125" style="1864" customWidth="1"/>
    <col min="7" max="7" width="9.140625" style="1864" customWidth="1"/>
    <col min="8" max="8" width="5.5703125" style="1895" bestFit="1" customWidth="1"/>
    <col min="9" max="10" width="2" style="1895" bestFit="1" customWidth="1"/>
    <col min="11" max="11" width="9" style="1895" customWidth="1"/>
    <col min="12" max="16384" width="9.140625" style="1864"/>
  </cols>
  <sheetData>
    <row r="1" spans="1:10" x14ac:dyDescent="0.2">
      <c r="A1" s="2380" t="s">
        <v>1446</v>
      </c>
      <c r="B1" s="2380"/>
      <c r="C1" s="2380"/>
      <c r="D1" s="2380"/>
      <c r="E1" s="2380"/>
      <c r="F1" s="2380"/>
    </row>
    <row r="2" spans="1:10" x14ac:dyDescent="0.2">
      <c r="A2" s="1904" t="s">
        <v>2045</v>
      </c>
      <c r="B2" s="1865"/>
      <c r="C2" s="1904"/>
      <c r="D2" s="1865"/>
      <c r="E2" s="1865"/>
      <c r="F2" s="1866"/>
    </row>
    <row r="3" spans="1:10" x14ac:dyDescent="0.2">
      <c r="A3" s="1904" t="s">
        <v>1700</v>
      </c>
      <c r="B3" s="1865"/>
      <c r="C3" s="1904"/>
      <c r="D3" s="1865"/>
      <c r="E3" s="1865"/>
      <c r="F3" s="1866"/>
    </row>
    <row r="4" spans="1:10" ht="3.75" customHeight="1" x14ac:dyDescent="0.2">
      <c r="A4" s="1865"/>
      <c r="B4" s="1865"/>
      <c r="C4" s="1865"/>
      <c r="D4" s="1865"/>
      <c r="E4" s="1865"/>
      <c r="F4" s="1866"/>
    </row>
    <row r="5" spans="1:10" ht="15" x14ac:dyDescent="0.25">
      <c r="A5" s="2381" t="s">
        <v>1627</v>
      </c>
      <c r="B5" s="2382"/>
      <c r="C5" s="2383"/>
      <c r="D5" s="2383"/>
      <c r="E5" s="2383"/>
      <c r="F5" s="2383"/>
    </row>
    <row r="6" spans="1:10" ht="12" customHeight="1" x14ac:dyDescent="0.25">
      <c r="A6" s="1867"/>
      <c r="B6" s="1868"/>
      <c r="C6" s="2384" t="str">
        <f>COVER!A17</f>
        <v>McHenry CHSD 156</v>
      </c>
      <c r="D6" s="2384"/>
      <c r="E6" s="2384"/>
      <c r="F6" s="1869"/>
    </row>
    <row r="7" spans="1:10" ht="11.25" customHeight="1" thickBot="1" x14ac:dyDescent="0.3">
      <c r="A7" s="1867"/>
      <c r="B7" s="1868"/>
      <c r="C7" s="2385">
        <f>COVER!A13</f>
        <v>44063156016</v>
      </c>
      <c r="D7" s="2385"/>
      <c r="E7" s="2385"/>
      <c r="F7" s="1869"/>
    </row>
    <row r="8" spans="1:10" ht="25.5" customHeight="1" thickBot="1" x14ac:dyDescent="0.25">
      <c r="A8" s="1910" t="s">
        <v>2022</v>
      </c>
      <c r="B8" s="1870"/>
      <c r="C8" s="1906" t="s">
        <v>1780</v>
      </c>
      <c r="D8" s="1905" t="s">
        <v>1781</v>
      </c>
      <c r="E8" s="1907" t="s">
        <v>1447</v>
      </c>
      <c r="F8" s="1905" t="s">
        <v>1782</v>
      </c>
      <c r="H8" s="1871" t="b">
        <v>0</v>
      </c>
    </row>
    <row r="9" spans="1:10" ht="15.75" customHeight="1" x14ac:dyDescent="0.2">
      <c r="A9" s="1872" t="s">
        <v>1623</v>
      </c>
      <c r="B9" s="1873"/>
      <c r="C9" s="1874"/>
      <c r="D9" s="1874"/>
      <c r="E9" s="1875"/>
      <c r="F9" s="1876"/>
    </row>
    <row r="10" spans="1:10" ht="27.75" customHeight="1" x14ac:dyDescent="0.2">
      <c r="A10" s="1877" t="s">
        <v>1779</v>
      </c>
      <c r="B10" s="1878"/>
      <c r="C10" s="1879"/>
      <c r="D10" s="1879"/>
      <c r="E10" s="1908" t="s">
        <v>1448</v>
      </c>
      <c r="F10" s="1909" t="s">
        <v>1449</v>
      </c>
    </row>
    <row r="11" spans="1:10" ht="12" customHeight="1" x14ac:dyDescent="0.2">
      <c r="A11" s="1880" t="s">
        <v>1450</v>
      </c>
      <c r="B11" s="1881"/>
      <c r="C11" s="1882"/>
      <c r="D11" s="1882"/>
      <c r="E11" s="1883"/>
      <c r="F11" s="1884"/>
      <c r="H11" s="1895">
        <f>IF(C11="X",5,0)</f>
        <v>0</v>
      </c>
      <c r="I11" s="1895">
        <f>IF(D11="X",5,0)</f>
        <v>0</v>
      </c>
      <c r="J11" s="1895">
        <f>IF(E11="X",5,0)</f>
        <v>0</v>
      </c>
    </row>
    <row r="12" spans="1:10" ht="12" customHeight="1" x14ac:dyDescent="0.2">
      <c r="A12" s="1880" t="s">
        <v>1451</v>
      </c>
      <c r="B12" s="1881"/>
      <c r="C12" s="1882" t="s">
        <v>2165</v>
      </c>
      <c r="D12" s="1882" t="s">
        <v>2165</v>
      </c>
      <c r="E12" s="1885"/>
      <c r="F12" s="1884" t="s">
        <v>2185</v>
      </c>
      <c r="H12" s="1895">
        <f t="shared" ref="H12:H33" si="0">IF(C12="X",5,0)</f>
        <v>5</v>
      </c>
      <c r="I12" s="1895">
        <f t="shared" ref="I12:I33" si="1">IF(D12="X",5,0)</f>
        <v>5</v>
      </c>
      <c r="J12" s="1895">
        <f t="shared" ref="J12:J33" si="2">IF(E12="X",5,0)</f>
        <v>0</v>
      </c>
    </row>
    <row r="13" spans="1:10" ht="12" customHeight="1" x14ac:dyDescent="0.2">
      <c r="A13" s="1880" t="s">
        <v>1452</v>
      </c>
      <c r="B13" s="1881"/>
      <c r="C13" s="1882"/>
      <c r="D13" s="1882"/>
      <c r="E13" s="1885"/>
      <c r="F13" s="1884"/>
      <c r="H13" s="1895">
        <f t="shared" si="0"/>
        <v>0</v>
      </c>
      <c r="I13" s="1895">
        <f t="shared" si="1"/>
        <v>0</v>
      </c>
      <c r="J13" s="1895">
        <f t="shared" si="2"/>
        <v>0</v>
      </c>
    </row>
    <row r="14" spans="1:10" ht="12" customHeight="1" x14ac:dyDescent="0.2">
      <c r="A14" s="1880" t="s">
        <v>1453</v>
      </c>
      <c r="B14" s="1881"/>
      <c r="C14" s="1882"/>
      <c r="D14" s="1882"/>
      <c r="E14" s="1885"/>
      <c r="F14" s="1884"/>
      <c r="H14" s="1895">
        <f t="shared" si="0"/>
        <v>0</v>
      </c>
      <c r="I14" s="1895">
        <f t="shared" si="1"/>
        <v>0</v>
      </c>
      <c r="J14" s="1895">
        <f t="shared" si="2"/>
        <v>0</v>
      </c>
    </row>
    <row r="15" spans="1:10" ht="12" customHeight="1" x14ac:dyDescent="0.2">
      <c r="A15" s="1880" t="s">
        <v>1454</v>
      </c>
      <c r="B15" s="1881"/>
      <c r="C15" s="1882"/>
      <c r="D15" s="1882"/>
      <c r="E15" s="1885"/>
      <c r="F15" s="1884"/>
      <c r="H15" s="1895">
        <f t="shared" si="0"/>
        <v>0</v>
      </c>
      <c r="I15" s="1895">
        <f t="shared" si="1"/>
        <v>0</v>
      </c>
      <c r="J15" s="1895">
        <f t="shared" si="2"/>
        <v>0</v>
      </c>
    </row>
    <row r="16" spans="1:10" ht="12" customHeight="1" x14ac:dyDescent="0.2">
      <c r="A16" s="1880" t="s">
        <v>1455</v>
      </c>
      <c r="B16" s="1881"/>
      <c r="C16" s="1882"/>
      <c r="D16" s="1882"/>
      <c r="E16" s="1885"/>
      <c r="F16" s="1884"/>
      <c r="H16" s="1895">
        <f t="shared" si="0"/>
        <v>0</v>
      </c>
      <c r="I16" s="1895">
        <f t="shared" si="1"/>
        <v>0</v>
      </c>
      <c r="J16" s="1895">
        <f t="shared" si="2"/>
        <v>0</v>
      </c>
    </row>
    <row r="17" spans="1:12" ht="12" customHeight="1" x14ac:dyDescent="0.2">
      <c r="A17" s="1880" t="s">
        <v>1456</v>
      </c>
      <c r="B17" s="1881"/>
      <c r="C17" s="1882"/>
      <c r="D17" s="1882"/>
      <c r="E17" s="1885"/>
      <c r="F17" s="1884"/>
      <c r="H17" s="1895">
        <f t="shared" si="0"/>
        <v>0</v>
      </c>
      <c r="I17" s="1895">
        <f t="shared" si="1"/>
        <v>0</v>
      </c>
      <c r="J17" s="1895">
        <f t="shared" si="2"/>
        <v>0</v>
      </c>
    </row>
    <row r="18" spans="1:12" ht="12" customHeight="1" x14ac:dyDescent="0.2">
      <c r="A18" s="1880" t="s">
        <v>1457</v>
      </c>
      <c r="B18" s="1881"/>
      <c r="C18" s="1882"/>
      <c r="D18" s="1882"/>
      <c r="E18" s="1885"/>
      <c r="F18" s="1884"/>
      <c r="H18" s="1895">
        <f t="shared" si="0"/>
        <v>0</v>
      </c>
      <c r="I18" s="1895">
        <f t="shared" si="1"/>
        <v>0</v>
      </c>
      <c r="J18" s="1895">
        <f t="shared" si="2"/>
        <v>0</v>
      </c>
    </row>
    <row r="19" spans="1:12" ht="12" customHeight="1" x14ac:dyDescent="0.2">
      <c r="A19" s="1880" t="s">
        <v>1608</v>
      </c>
      <c r="B19" s="1881"/>
      <c r="C19" s="1882" t="s">
        <v>2165</v>
      </c>
      <c r="D19" s="1882" t="s">
        <v>2165</v>
      </c>
      <c r="E19" s="1885"/>
      <c r="F19" s="1884" t="s">
        <v>2186</v>
      </c>
      <c r="H19" s="1895">
        <f t="shared" si="0"/>
        <v>5</v>
      </c>
      <c r="I19" s="1895">
        <f t="shared" si="1"/>
        <v>5</v>
      </c>
      <c r="J19" s="1895">
        <f t="shared" si="2"/>
        <v>0</v>
      </c>
    </row>
    <row r="20" spans="1:12" ht="12" customHeight="1" x14ac:dyDescent="0.2">
      <c r="A20" s="1880" t="s">
        <v>1609</v>
      </c>
      <c r="B20" s="1881"/>
      <c r="C20" s="1882"/>
      <c r="D20" s="1882"/>
      <c r="E20" s="1885"/>
      <c r="F20" s="1884"/>
      <c r="H20" s="1895">
        <f t="shared" si="0"/>
        <v>0</v>
      </c>
      <c r="I20" s="1895">
        <f t="shared" si="1"/>
        <v>0</v>
      </c>
      <c r="J20" s="1895">
        <f t="shared" si="2"/>
        <v>0</v>
      </c>
    </row>
    <row r="21" spans="1:12" ht="12" customHeight="1" x14ac:dyDescent="0.2">
      <c r="A21" s="1880" t="s">
        <v>1610</v>
      </c>
      <c r="B21" s="1881"/>
      <c r="C21" s="1882" t="s">
        <v>2165</v>
      </c>
      <c r="D21" s="1882" t="s">
        <v>2165</v>
      </c>
      <c r="E21" s="1885"/>
      <c r="F21" s="1884" t="s">
        <v>2187</v>
      </c>
      <c r="H21" s="1895">
        <f t="shared" si="0"/>
        <v>5</v>
      </c>
      <c r="I21" s="1895">
        <f t="shared" si="1"/>
        <v>5</v>
      </c>
      <c r="J21" s="1895">
        <f t="shared" si="2"/>
        <v>0</v>
      </c>
    </row>
    <row r="22" spans="1:12" ht="12" customHeight="1" x14ac:dyDescent="0.2">
      <c r="A22" s="1880" t="s">
        <v>1611</v>
      </c>
      <c r="B22" s="1881"/>
      <c r="C22" s="1882"/>
      <c r="D22" s="1882"/>
      <c r="E22" s="1885"/>
      <c r="F22" s="1884"/>
      <c r="H22" s="1895">
        <f t="shared" si="0"/>
        <v>0</v>
      </c>
      <c r="I22" s="1895">
        <f t="shared" si="1"/>
        <v>0</v>
      </c>
      <c r="J22" s="1895">
        <f t="shared" si="2"/>
        <v>0</v>
      </c>
    </row>
    <row r="23" spans="1:12" ht="12" customHeight="1" x14ac:dyDescent="0.2">
      <c r="A23" s="1880" t="s">
        <v>1612</v>
      </c>
      <c r="B23" s="1881"/>
      <c r="C23" s="1882"/>
      <c r="D23" s="1882"/>
      <c r="E23" s="1885"/>
      <c r="F23" s="1884"/>
      <c r="H23" s="1895">
        <f t="shared" si="0"/>
        <v>0</v>
      </c>
      <c r="I23" s="1895">
        <f t="shared" si="1"/>
        <v>0</v>
      </c>
      <c r="J23" s="1895">
        <f t="shared" si="2"/>
        <v>0</v>
      </c>
    </row>
    <row r="24" spans="1:12" ht="12" customHeight="1" x14ac:dyDescent="0.2">
      <c r="A24" s="1880" t="s">
        <v>1613</v>
      </c>
      <c r="B24" s="1881"/>
      <c r="C24" s="1882"/>
      <c r="D24" s="1882"/>
      <c r="E24" s="1885"/>
      <c r="F24" s="1884"/>
      <c r="H24" s="1895">
        <f t="shared" si="0"/>
        <v>0</v>
      </c>
      <c r="I24" s="1895">
        <f t="shared" si="1"/>
        <v>0</v>
      </c>
      <c r="J24" s="1895">
        <f t="shared" si="2"/>
        <v>0</v>
      </c>
    </row>
    <row r="25" spans="1:12" ht="12" customHeight="1" x14ac:dyDescent="0.2">
      <c r="A25" s="1880" t="s">
        <v>1614</v>
      </c>
      <c r="B25" s="1881"/>
      <c r="C25" s="1882"/>
      <c r="D25" s="1882"/>
      <c r="E25" s="1885"/>
      <c r="F25" s="1884"/>
      <c r="H25" s="1895">
        <f t="shared" si="0"/>
        <v>0</v>
      </c>
      <c r="I25" s="1895">
        <f t="shared" si="1"/>
        <v>0</v>
      </c>
      <c r="J25" s="1895">
        <f t="shared" si="2"/>
        <v>0</v>
      </c>
    </row>
    <row r="26" spans="1:12" ht="12" customHeight="1" x14ac:dyDescent="0.2">
      <c r="A26" s="1880" t="s">
        <v>1615</v>
      </c>
      <c r="B26" s="1881"/>
      <c r="C26" s="1882" t="s">
        <v>2165</v>
      </c>
      <c r="D26" s="1882" t="s">
        <v>2165</v>
      </c>
      <c r="E26" s="1885"/>
      <c r="F26" s="1884" t="s">
        <v>2174</v>
      </c>
      <c r="H26" s="1895">
        <f t="shared" si="0"/>
        <v>5</v>
      </c>
      <c r="I26" s="1895">
        <f t="shared" si="1"/>
        <v>5</v>
      </c>
      <c r="J26" s="1895">
        <f t="shared" si="2"/>
        <v>0</v>
      </c>
    </row>
    <row r="27" spans="1:12" ht="18.75" x14ac:dyDescent="0.2">
      <c r="A27" s="1880" t="s">
        <v>1616</v>
      </c>
      <c r="B27" s="1881"/>
      <c r="C27" s="1882"/>
      <c r="D27" s="1882"/>
      <c r="E27" s="1885"/>
      <c r="F27" s="1884"/>
      <c r="H27" s="1895">
        <f t="shared" si="0"/>
        <v>0</v>
      </c>
      <c r="I27" s="1895">
        <f t="shared" si="1"/>
        <v>0</v>
      </c>
      <c r="J27" s="1895">
        <f t="shared" si="2"/>
        <v>0</v>
      </c>
    </row>
    <row r="28" spans="1:12" ht="12" customHeight="1" x14ac:dyDescent="0.2">
      <c r="A28" s="1880" t="s">
        <v>1617</v>
      </c>
      <c r="B28" s="1881"/>
      <c r="C28" s="1882"/>
      <c r="D28" s="1882"/>
      <c r="E28" s="1885"/>
      <c r="F28" s="1884"/>
      <c r="H28" s="1895">
        <f t="shared" si="0"/>
        <v>0</v>
      </c>
      <c r="I28" s="1895">
        <f t="shared" si="1"/>
        <v>0</v>
      </c>
      <c r="J28" s="1895">
        <f t="shared" si="2"/>
        <v>0</v>
      </c>
    </row>
    <row r="29" spans="1:12" ht="12" customHeight="1" x14ac:dyDescent="0.2">
      <c r="A29" s="1880" t="s">
        <v>1618</v>
      </c>
      <c r="B29" s="1881"/>
      <c r="C29" s="1882"/>
      <c r="D29" s="1882"/>
      <c r="E29" s="1885"/>
      <c r="F29" s="1884"/>
      <c r="H29" s="1895">
        <f t="shared" si="0"/>
        <v>0</v>
      </c>
      <c r="I29" s="1895">
        <f t="shared" si="1"/>
        <v>0</v>
      </c>
      <c r="J29" s="1895">
        <f t="shared" si="2"/>
        <v>0</v>
      </c>
    </row>
    <row r="30" spans="1:12" ht="12" customHeight="1" x14ac:dyDescent="0.2">
      <c r="A30" s="1880" t="s">
        <v>1619</v>
      </c>
      <c r="B30" s="1881"/>
      <c r="C30" s="1882" t="s">
        <v>2165</v>
      </c>
      <c r="D30" s="1882" t="s">
        <v>2165</v>
      </c>
      <c r="E30" s="1885"/>
      <c r="F30" s="1884" t="s">
        <v>2188</v>
      </c>
      <c r="H30" s="1895">
        <f t="shared" si="0"/>
        <v>5</v>
      </c>
      <c r="I30" s="1895">
        <f t="shared" si="1"/>
        <v>5</v>
      </c>
      <c r="J30" s="1895">
        <f t="shared" si="2"/>
        <v>0</v>
      </c>
    </row>
    <row r="31" spans="1:12" ht="12" customHeight="1" x14ac:dyDescent="0.2">
      <c r="A31" s="1880" t="s">
        <v>1620</v>
      </c>
      <c r="B31" s="1881"/>
      <c r="C31" s="1882"/>
      <c r="D31" s="1882"/>
      <c r="E31" s="1885"/>
      <c r="F31" s="1884"/>
      <c r="H31" s="1895">
        <f t="shared" si="0"/>
        <v>0</v>
      </c>
      <c r="I31" s="1895">
        <f t="shared" si="1"/>
        <v>0</v>
      </c>
      <c r="J31" s="1895">
        <f t="shared" si="2"/>
        <v>0</v>
      </c>
      <c r="L31" s="1886"/>
    </row>
    <row r="32" spans="1:12" ht="12" customHeight="1" x14ac:dyDescent="0.2">
      <c r="A32" s="1880" t="s">
        <v>1621</v>
      </c>
      <c r="B32" s="1881"/>
      <c r="C32" s="1882" t="s">
        <v>2165</v>
      </c>
      <c r="D32" s="1882" t="s">
        <v>2165</v>
      </c>
      <c r="E32" s="1885"/>
      <c r="F32" s="1884" t="s">
        <v>2189</v>
      </c>
      <c r="H32" s="1895">
        <f t="shared" si="0"/>
        <v>5</v>
      </c>
      <c r="I32" s="1895">
        <f t="shared" si="1"/>
        <v>5</v>
      </c>
      <c r="J32" s="1895">
        <f t="shared" si="2"/>
        <v>0</v>
      </c>
    </row>
    <row r="33" spans="1:11" ht="12" customHeight="1" x14ac:dyDescent="0.2">
      <c r="A33" s="1880" t="s">
        <v>1622</v>
      </c>
      <c r="B33" s="1881"/>
      <c r="C33" s="1882"/>
      <c r="D33" s="1882"/>
      <c r="E33" s="1885"/>
      <c r="F33" s="1884"/>
      <c r="H33" s="1895">
        <f t="shared" si="0"/>
        <v>0</v>
      </c>
      <c r="I33" s="1895">
        <f t="shared" si="1"/>
        <v>0</v>
      </c>
      <c r="J33" s="1895">
        <f t="shared" si="2"/>
        <v>0</v>
      </c>
    </row>
    <row r="34" spans="1:11" ht="12" customHeight="1" x14ac:dyDescent="0.25">
      <c r="A34" s="1887"/>
      <c r="B34" s="1887"/>
      <c r="C34" s="1887"/>
      <c r="D34" s="1887"/>
      <c r="E34" s="1887"/>
      <c r="F34" s="1887"/>
      <c r="H34" s="1895">
        <f>SUM(H11:H32)</f>
        <v>30</v>
      </c>
      <c r="I34" s="1895">
        <f>SUM(I11:I32)</f>
        <v>30</v>
      </c>
      <c r="J34" s="1895">
        <f>SUM(J11:J32)</f>
        <v>0</v>
      </c>
      <c r="K34" s="1895">
        <f>SUM(H34:J34)</f>
        <v>60</v>
      </c>
    </row>
    <row r="35" spans="1:11" ht="12" customHeight="1" x14ac:dyDescent="0.2">
      <c r="A35" s="1888" t="s">
        <v>1459</v>
      </c>
      <c r="B35" s="1889"/>
      <c r="C35" s="2386"/>
      <c r="D35" s="2386"/>
      <c r="E35" s="2386"/>
      <c r="F35" s="2387"/>
    </row>
    <row r="36" spans="1:11" ht="12" customHeight="1" x14ac:dyDescent="0.2">
      <c r="A36" s="2369"/>
      <c r="B36" s="2370"/>
      <c r="C36" s="2370"/>
      <c r="D36" s="2370"/>
      <c r="E36" s="2370"/>
      <c r="F36" s="2371"/>
    </row>
    <row r="37" spans="1:11" ht="12" customHeight="1" x14ac:dyDescent="0.2">
      <c r="A37" s="2369"/>
      <c r="B37" s="2370"/>
      <c r="C37" s="2370"/>
      <c r="D37" s="2370"/>
      <c r="E37" s="2370"/>
      <c r="F37" s="2371"/>
    </row>
    <row r="38" spans="1:11" ht="12" customHeight="1" x14ac:dyDescent="0.2">
      <c r="A38" s="2372"/>
      <c r="B38" s="2373"/>
      <c r="C38" s="2373"/>
      <c r="D38" s="2373"/>
      <c r="E38" s="2373"/>
      <c r="F38" s="2374"/>
    </row>
    <row r="39" spans="1:11" ht="4.5" hidden="1" customHeight="1" x14ac:dyDescent="0.2">
      <c r="A39" s="1890"/>
      <c r="B39" s="1890"/>
      <c r="C39" s="1890"/>
      <c r="D39" s="1890"/>
      <c r="E39" s="1890"/>
      <c r="F39" s="1890"/>
    </row>
    <row r="40" spans="1:11" s="1887" customFormat="1" ht="12" customHeight="1" x14ac:dyDescent="0.25">
      <c r="A40" s="1891" t="s">
        <v>1458</v>
      </c>
      <c r="B40" s="1892"/>
      <c r="C40" s="2375"/>
      <c r="D40" s="2375"/>
      <c r="E40" s="2375"/>
      <c r="F40" s="2376"/>
      <c r="H40" s="1896"/>
      <c r="I40" s="1896"/>
      <c r="J40" s="1896"/>
      <c r="K40" s="1896"/>
    </row>
    <row r="41" spans="1:11" s="1887" customFormat="1" ht="12" customHeight="1" x14ac:dyDescent="0.25">
      <c r="A41" s="2377"/>
      <c r="B41" s="2378"/>
      <c r="C41" s="2378"/>
      <c r="D41" s="2378"/>
      <c r="E41" s="2378"/>
      <c r="F41" s="2379"/>
      <c r="H41" s="1896"/>
      <c r="I41" s="1896"/>
      <c r="J41" s="1896"/>
      <c r="K41" s="1896"/>
    </row>
    <row r="42" spans="1:11" s="1887" customFormat="1" ht="12" customHeight="1" x14ac:dyDescent="0.25">
      <c r="A42" s="2377"/>
      <c r="B42" s="2378"/>
      <c r="C42" s="2378"/>
      <c r="D42" s="2378"/>
      <c r="E42" s="2378"/>
      <c r="F42" s="2379"/>
      <c r="H42" s="1896"/>
      <c r="I42" s="1896"/>
      <c r="J42" s="1896"/>
      <c r="K42" s="1896"/>
    </row>
    <row r="43" spans="1:11" s="1887" customFormat="1" ht="15" x14ac:dyDescent="0.25">
      <c r="A43" s="2366"/>
      <c r="B43" s="2367"/>
      <c r="C43" s="2367"/>
      <c r="D43" s="2367"/>
      <c r="E43" s="2367"/>
      <c r="F43" s="2368"/>
      <c r="H43" s="1896"/>
      <c r="I43" s="1896"/>
      <c r="J43" s="1896"/>
      <c r="K43" s="1896"/>
    </row>
    <row r="44" spans="1:11" s="1887" customFormat="1" ht="12" hidden="1" customHeight="1" x14ac:dyDescent="0.25">
      <c r="A44" s="2366"/>
      <c r="B44" s="2367"/>
      <c r="C44" s="2367"/>
      <c r="D44" s="2367"/>
      <c r="E44" s="2367"/>
      <c r="F44" s="2368"/>
      <c r="H44" s="1896"/>
      <c r="I44" s="1896"/>
      <c r="J44" s="1896"/>
      <c r="K44" s="1896"/>
    </row>
    <row r="45" spans="1:11" s="1887" customFormat="1" ht="12" customHeight="1" x14ac:dyDescent="0.25">
      <c r="H45" s="1896"/>
      <c r="I45" s="1896"/>
      <c r="J45" s="1896"/>
      <c r="K45" s="1896"/>
    </row>
    <row r="46" spans="1:11" s="1887" customFormat="1" ht="9.75" customHeight="1" x14ac:dyDescent="0.25">
      <c r="H46" s="1896"/>
      <c r="I46" s="1896"/>
      <c r="J46" s="1896"/>
      <c r="K46" s="1896"/>
    </row>
    <row r="47" spans="1:11" s="1887" customFormat="1" ht="13.5" customHeight="1" x14ac:dyDescent="0.25">
      <c r="H47" s="1896"/>
      <c r="I47" s="1896"/>
      <c r="J47" s="1896"/>
      <c r="K47" s="1896"/>
    </row>
    <row r="48" spans="1:11" s="1887" customFormat="1" ht="15" x14ac:dyDescent="0.25">
      <c r="H48" s="1896"/>
      <c r="I48" s="1896"/>
      <c r="J48" s="1896"/>
      <c r="K48" s="1896"/>
    </row>
    <row r="49" spans="1:11" s="1887" customFormat="1" ht="15" hidden="1" x14ac:dyDescent="0.25">
      <c r="A49" s="1887" t="b">
        <v>0</v>
      </c>
      <c r="H49" s="1896"/>
      <c r="I49" s="1896"/>
      <c r="J49" s="1896"/>
      <c r="K49" s="1896"/>
    </row>
    <row r="50" spans="1:11" s="1887" customFormat="1" ht="15" x14ac:dyDescent="0.25">
      <c r="H50" s="1896"/>
      <c r="I50" s="1896"/>
      <c r="J50" s="1896"/>
      <c r="K50" s="1896"/>
    </row>
    <row r="51" spans="1:11" s="1887" customFormat="1" ht="15" x14ac:dyDescent="0.25">
      <c r="H51" s="1896"/>
      <c r="I51" s="1896"/>
      <c r="J51" s="1896"/>
      <c r="K51" s="1896"/>
    </row>
    <row r="52" spans="1:11" s="1887" customFormat="1" ht="15" x14ac:dyDescent="0.25">
      <c r="H52" s="1896"/>
      <c r="I52" s="1896"/>
      <c r="J52" s="1896"/>
      <c r="K52" s="1896"/>
    </row>
    <row r="53" spans="1:11" s="1887" customFormat="1" ht="15" x14ac:dyDescent="0.25">
      <c r="H53" s="1896"/>
      <c r="I53" s="1896"/>
      <c r="J53" s="1896"/>
      <c r="K53" s="1896"/>
    </row>
    <row r="54" spans="1:11" s="1887" customFormat="1" ht="15" x14ac:dyDescent="0.25">
      <c r="H54" s="1896"/>
      <c r="I54" s="1896"/>
      <c r="J54" s="1896"/>
      <c r="K54" s="1896"/>
    </row>
    <row r="55" spans="1:11" s="1887" customFormat="1" ht="15" x14ac:dyDescent="0.25">
      <c r="H55" s="1896"/>
      <c r="I55" s="1896"/>
      <c r="J55" s="1896"/>
      <c r="K55" s="1896"/>
    </row>
    <row r="56" spans="1:11" s="1887" customFormat="1" ht="15" x14ac:dyDescent="0.25">
      <c r="H56" s="1896"/>
      <c r="I56" s="1896"/>
      <c r="J56" s="1896"/>
      <c r="K56" s="1896"/>
    </row>
    <row r="57" spans="1:11" s="1887" customFormat="1" ht="15" x14ac:dyDescent="0.25">
      <c r="H57" s="1896"/>
      <c r="I57" s="1896"/>
      <c r="J57" s="1896"/>
      <c r="K57" s="1896"/>
    </row>
    <row r="58" spans="1:11" s="1887" customFormat="1" ht="15" x14ac:dyDescent="0.25">
      <c r="H58" s="1896"/>
      <c r="I58" s="1896"/>
      <c r="J58" s="1896"/>
      <c r="K58" s="1896"/>
    </row>
    <row r="59" spans="1:11" s="1887" customFormat="1" ht="15" x14ac:dyDescent="0.25">
      <c r="H59" s="1896"/>
      <c r="I59" s="1896"/>
      <c r="J59" s="1896"/>
      <c r="K59" s="1896"/>
    </row>
    <row r="60" spans="1:11" s="1887" customFormat="1" ht="15" x14ac:dyDescent="0.25">
      <c r="H60" s="1896"/>
      <c r="I60" s="1896"/>
      <c r="J60" s="1896"/>
      <c r="K60" s="1896"/>
    </row>
    <row r="61" spans="1:11" s="1887" customFormat="1" ht="15" x14ac:dyDescent="0.25">
      <c r="H61" s="1896"/>
      <c r="I61" s="1896"/>
      <c r="J61" s="1896"/>
      <c r="K61" s="1896"/>
    </row>
    <row r="62" spans="1:11" s="1887" customFormat="1" ht="15" x14ac:dyDescent="0.25">
      <c r="H62" s="1896"/>
      <c r="I62" s="1896"/>
      <c r="J62" s="1896"/>
      <c r="K62" s="1896"/>
    </row>
    <row r="63" spans="1:11" s="1887" customFormat="1" ht="15" x14ac:dyDescent="0.25">
      <c r="H63" s="1896"/>
      <c r="I63" s="1896"/>
      <c r="J63" s="1896"/>
      <c r="K63" s="1896"/>
    </row>
    <row r="64" spans="1:11" s="1887" customFormat="1" ht="15" x14ac:dyDescent="0.25">
      <c r="H64" s="1896"/>
      <c r="I64" s="1896"/>
      <c r="J64" s="1896"/>
      <c r="K64" s="1896"/>
    </row>
    <row r="65" spans="8:11" s="1887" customFormat="1" ht="15" x14ac:dyDescent="0.25">
      <c r="H65" s="1896"/>
      <c r="I65" s="1896"/>
      <c r="J65" s="1896"/>
      <c r="K65" s="1896"/>
    </row>
    <row r="66" spans="8:11" s="1887" customFormat="1" ht="15" x14ac:dyDescent="0.25">
      <c r="H66" s="1896"/>
      <c r="I66" s="1896"/>
      <c r="J66" s="1896"/>
      <c r="K66" s="1896"/>
    </row>
    <row r="67" spans="8:11" s="1887" customFormat="1" ht="15" x14ac:dyDescent="0.25">
      <c r="H67" s="1896"/>
      <c r="I67" s="1896"/>
      <c r="J67" s="1896"/>
      <c r="K67" s="1896"/>
    </row>
    <row r="68" spans="8:11" s="1887" customFormat="1" ht="15" x14ac:dyDescent="0.25">
      <c r="H68" s="1896"/>
      <c r="I68" s="1896"/>
      <c r="J68" s="1896"/>
      <c r="K68" s="1896"/>
    </row>
    <row r="69" spans="8:11" s="1887" customFormat="1" ht="15" x14ac:dyDescent="0.25">
      <c r="H69" s="1896"/>
      <c r="I69" s="1896"/>
      <c r="J69" s="1896"/>
      <c r="K69" s="1896"/>
    </row>
    <row r="70" spans="8:11" s="1887" customFormat="1" ht="15" x14ac:dyDescent="0.25">
      <c r="H70" s="1896"/>
      <c r="I70" s="1896"/>
      <c r="J70" s="1896"/>
      <c r="K70" s="1896"/>
    </row>
    <row r="71" spans="8:11" s="1887" customFormat="1" ht="15" x14ac:dyDescent="0.25">
      <c r="H71" s="1896"/>
      <c r="I71" s="1896"/>
      <c r="J71" s="1896"/>
      <c r="K71" s="1896"/>
    </row>
    <row r="72" spans="8:11" s="1887" customFormat="1" ht="15" x14ac:dyDescent="0.25">
      <c r="H72" s="1896"/>
      <c r="I72" s="1896"/>
      <c r="J72" s="1896"/>
      <c r="K72" s="1896"/>
    </row>
    <row r="73" spans="8:11" s="1887" customFormat="1" ht="15" x14ac:dyDescent="0.25">
      <c r="H73" s="1896"/>
      <c r="I73" s="1896"/>
      <c r="J73" s="1896"/>
      <c r="K73" s="1896"/>
    </row>
    <row r="74" spans="8:11" s="1887" customFormat="1" ht="15" x14ac:dyDescent="0.25">
      <c r="H74" s="1896"/>
      <c r="I74" s="1896"/>
      <c r="J74" s="1896"/>
      <c r="K74" s="1896"/>
    </row>
    <row r="75" spans="8:11" s="1887" customFormat="1" ht="15" x14ac:dyDescent="0.25">
      <c r="H75" s="1896"/>
      <c r="I75" s="1896"/>
      <c r="J75" s="1896"/>
      <c r="K75" s="1896"/>
    </row>
    <row r="76" spans="8:11" s="1887" customFormat="1" ht="15" x14ac:dyDescent="0.25">
      <c r="H76" s="1896"/>
      <c r="I76" s="1896"/>
      <c r="J76" s="1896"/>
      <c r="K76" s="1896"/>
    </row>
    <row r="77" spans="8:11" s="1887" customFormat="1" ht="15" x14ac:dyDescent="0.25">
      <c r="H77" s="1896"/>
      <c r="I77" s="1896"/>
      <c r="J77" s="1896"/>
      <c r="K77" s="1896"/>
    </row>
    <row r="78" spans="8:11" s="1887" customFormat="1" ht="15" x14ac:dyDescent="0.25">
      <c r="H78" s="1896"/>
      <c r="I78" s="1896"/>
      <c r="J78" s="1896"/>
      <c r="K78" s="1896"/>
    </row>
    <row r="79" spans="8:11" s="1887" customFormat="1" ht="15" x14ac:dyDescent="0.25">
      <c r="H79" s="1896"/>
      <c r="I79" s="1896"/>
      <c r="J79" s="1896"/>
      <c r="K79" s="1896"/>
    </row>
    <row r="80" spans="8:11" s="1887" customFormat="1" ht="15" x14ac:dyDescent="0.25">
      <c r="H80" s="1896"/>
      <c r="I80" s="1896"/>
      <c r="J80" s="1896"/>
      <c r="K80" s="1896"/>
    </row>
    <row r="81" spans="8:11" s="1887" customFormat="1" ht="15" x14ac:dyDescent="0.25">
      <c r="H81" s="1896"/>
      <c r="I81" s="1896"/>
      <c r="J81" s="1896"/>
      <c r="K81" s="1896"/>
    </row>
    <row r="82" spans="8:11" s="1887" customFormat="1" ht="15" x14ac:dyDescent="0.25">
      <c r="H82" s="1896"/>
      <c r="I82" s="1896"/>
      <c r="J82" s="1896"/>
      <c r="K82" s="1896"/>
    </row>
    <row r="83" spans="8:11" s="1887" customFormat="1" ht="15" x14ac:dyDescent="0.25">
      <c r="H83" s="1896"/>
      <c r="I83" s="1896"/>
      <c r="J83" s="1896"/>
      <c r="K83" s="1896"/>
    </row>
    <row r="84" spans="8:11" s="1887" customFormat="1" ht="15" x14ac:dyDescent="0.25">
      <c r="H84" s="1896"/>
      <c r="I84" s="1896"/>
      <c r="J84" s="1896"/>
      <c r="K84" s="1896"/>
    </row>
    <row r="85" spans="8:11" s="1887" customFormat="1" ht="15" x14ac:dyDescent="0.25">
      <c r="H85" s="1896"/>
      <c r="I85" s="1896"/>
      <c r="J85" s="1896"/>
      <c r="K85" s="1896"/>
    </row>
    <row r="86" spans="8:11" s="1887" customFormat="1" ht="15" x14ac:dyDescent="0.25">
      <c r="H86" s="1896"/>
      <c r="I86" s="1896"/>
      <c r="J86" s="1896"/>
      <c r="K86" s="1896"/>
    </row>
    <row r="87" spans="8:11" s="1887" customFormat="1" ht="15" x14ac:dyDescent="0.25">
      <c r="H87" s="1896"/>
      <c r="I87" s="1896"/>
      <c r="J87" s="1896"/>
      <c r="K87" s="1896"/>
    </row>
    <row r="88" spans="8:11" s="1887" customFormat="1" ht="15" x14ac:dyDescent="0.25">
      <c r="H88" s="1896"/>
      <c r="I88" s="1896"/>
      <c r="J88" s="1896"/>
      <c r="K88" s="1896"/>
    </row>
    <row r="89" spans="8:11" s="1887" customFormat="1" ht="15" x14ac:dyDescent="0.25">
      <c r="H89" s="1896"/>
      <c r="I89" s="1896"/>
      <c r="J89" s="1896"/>
      <c r="K89" s="1896"/>
    </row>
    <row r="90" spans="8:11" s="1887" customFormat="1" ht="15" x14ac:dyDescent="0.25">
      <c r="H90" s="1896"/>
      <c r="I90" s="1896"/>
      <c r="J90" s="1896"/>
      <c r="K90" s="1896"/>
    </row>
    <row r="91" spans="8:11" s="1887" customFormat="1" ht="15" x14ac:dyDescent="0.25">
      <c r="H91" s="1896"/>
      <c r="I91" s="1896"/>
      <c r="J91" s="1896"/>
      <c r="K91" s="1896"/>
    </row>
    <row r="92" spans="8:11" s="1887" customFormat="1" ht="15" x14ac:dyDescent="0.25">
      <c r="H92" s="1896"/>
      <c r="I92" s="1896"/>
      <c r="J92" s="1896"/>
      <c r="K92" s="1896"/>
    </row>
    <row r="93" spans="8:11" s="1887" customFormat="1" ht="15" x14ac:dyDescent="0.25">
      <c r="H93" s="1896"/>
      <c r="I93" s="1896"/>
      <c r="J93" s="1896"/>
      <c r="K93" s="1896"/>
    </row>
    <row r="94" spans="8:11" s="1887" customFormat="1" ht="15" x14ac:dyDescent="0.25">
      <c r="H94" s="1896"/>
      <c r="I94" s="1896"/>
      <c r="J94" s="1896"/>
      <c r="K94" s="1896"/>
    </row>
    <row r="95" spans="8:11" s="1887" customFormat="1" ht="15" x14ac:dyDescent="0.25">
      <c r="H95" s="1896"/>
      <c r="I95" s="1896"/>
      <c r="J95" s="1896"/>
      <c r="K95" s="1896"/>
    </row>
    <row r="96" spans="8:11" s="1887" customFormat="1" ht="15" x14ac:dyDescent="0.25">
      <c r="H96" s="1896"/>
      <c r="I96" s="1896"/>
      <c r="J96" s="1896"/>
      <c r="K96" s="1896"/>
    </row>
    <row r="97" spans="8:11" s="1887" customFormat="1" ht="15" x14ac:dyDescent="0.25">
      <c r="H97" s="1896"/>
      <c r="I97" s="1896"/>
      <c r="J97" s="1896"/>
      <c r="K97" s="1896"/>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Q40"/>
  <sheetViews>
    <sheetView showGridLines="0" defaultGridColor="0" colorId="8" zoomScale="110" zoomScaleNormal="110" workbookViewId="0">
      <selection activeCell="J33" sqref="J33"/>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425</v>
      </c>
      <c r="G1" s="1011"/>
    </row>
    <row r="2" spans="1:17" ht="11.85" customHeight="1" x14ac:dyDescent="0.2">
      <c r="A2" s="1006"/>
      <c r="B2" s="1007"/>
      <c r="E2" s="1009"/>
      <c r="F2" s="1012" t="s">
        <v>308</v>
      </c>
      <c r="G2" s="1011"/>
    </row>
    <row r="3" spans="1:17" ht="11.85" customHeight="1" x14ac:dyDescent="0.2">
      <c r="E3" s="1009"/>
      <c r="F3" s="1012" t="s">
        <v>426</v>
      </c>
      <c r="G3" s="1009"/>
    </row>
    <row r="4" spans="1:17" ht="11.85" customHeight="1" x14ac:dyDescent="0.2">
      <c r="E4" s="1009"/>
      <c r="F4" s="1012" t="s">
        <v>923</v>
      </c>
      <c r="G4" s="1009"/>
    </row>
    <row r="5" spans="1:17" ht="12.2" customHeight="1" x14ac:dyDescent="0.2">
      <c r="F5" s="1012"/>
    </row>
    <row r="6" spans="1:17" x14ac:dyDescent="0.2">
      <c r="A6" s="1911" t="s">
        <v>693</v>
      </c>
      <c r="B6" s="1656"/>
      <c r="C6" s="1656"/>
      <c r="D6" s="1656"/>
      <c r="E6" s="1657"/>
      <c r="F6" s="1013"/>
      <c r="G6" s="1007"/>
      <c r="H6" s="1014" t="s">
        <v>1086</v>
      </c>
      <c r="I6" s="2393" t="str">
        <f>COVER!A17</f>
        <v>McHenry CHSD 156</v>
      </c>
      <c r="J6" s="2394"/>
      <c r="Q6" s="1678"/>
    </row>
    <row r="7" spans="1:17" x14ac:dyDescent="0.2">
      <c r="A7" s="2395" t="s">
        <v>924</v>
      </c>
      <c r="B7" s="2396"/>
      <c r="C7" s="2396"/>
      <c r="D7" s="2396"/>
      <c r="E7" s="2397"/>
      <c r="F7" s="1015"/>
      <c r="G7" s="1007"/>
      <c r="H7" s="1014" t="s">
        <v>390</v>
      </c>
      <c r="I7" s="2398">
        <f>COVER!A13</f>
        <v>44063156016</v>
      </c>
      <c r="J7" s="2398"/>
    </row>
    <row r="8" spans="1:17" ht="8.25" customHeight="1" x14ac:dyDescent="0.2">
      <c r="A8" s="1658"/>
      <c r="B8" s="1659"/>
      <c r="C8" s="1659"/>
      <c r="D8" s="1659"/>
      <c r="E8" s="1660"/>
      <c r="F8" s="1016"/>
      <c r="G8" s="1017"/>
      <c r="H8" s="1017"/>
      <c r="I8" s="1017"/>
      <c r="J8" s="1017"/>
    </row>
    <row r="9" spans="1:17" ht="13.5" customHeight="1" x14ac:dyDescent="0.2">
      <c r="A9" s="1018"/>
      <c r="B9" s="1019"/>
      <c r="C9" s="1019"/>
      <c r="D9" s="1020"/>
      <c r="E9" s="1912" t="s">
        <v>1701</v>
      </c>
      <c r="F9" s="1021"/>
      <c r="G9" s="1021"/>
      <c r="H9" s="1913" t="s">
        <v>1702</v>
      </c>
      <c r="I9" s="1021"/>
      <c r="J9" s="1022"/>
    </row>
    <row r="10" spans="1:17" s="1030" customFormat="1" ht="13.5" customHeight="1" x14ac:dyDescent="0.2">
      <c r="A10" s="1023"/>
      <c r="B10" s="1024"/>
      <c r="C10" s="1025"/>
      <c r="D10" s="1026"/>
      <c r="E10" s="1027" t="s">
        <v>445</v>
      </c>
      <c r="F10" s="1028" t="s">
        <v>446</v>
      </c>
      <c r="G10" s="1029"/>
      <c r="H10" s="1028" t="s">
        <v>445</v>
      </c>
      <c r="I10" s="1028" t="s">
        <v>446</v>
      </c>
      <c r="J10" s="1028"/>
    </row>
    <row r="11" spans="1:17" s="1030" customFormat="1" ht="22.5" x14ac:dyDescent="0.2">
      <c r="A11" s="2399" t="s">
        <v>502</v>
      </c>
      <c r="B11" s="2400"/>
      <c r="C11" s="2401"/>
      <c r="D11" s="1031" t="s">
        <v>926</v>
      </c>
      <c r="E11" s="1031" t="s">
        <v>66</v>
      </c>
      <c r="F11" s="1031" t="s">
        <v>6</v>
      </c>
      <c r="G11" s="1032" t="s">
        <v>158</v>
      </c>
      <c r="H11" s="1032" t="s">
        <v>66</v>
      </c>
      <c r="I11" s="1031" t="s">
        <v>6</v>
      </c>
      <c r="J11" s="1032" t="s">
        <v>158</v>
      </c>
    </row>
    <row r="12" spans="1:17" ht="15" customHeight="1" x14ac:dyDescent="0.2">
      <c r="A12" s="1033">
        <v>1</v>
      </c>
      <c r="B12" s="1034" t="s">
        <v>872</v>
      </c>
      <c r="C12" s="1035"/>
      <c r="D12" s="1036">
        <v>2320</v>
      </c>
      <c r="E12" s="1826">
        <f>'Expenditures 15-22'!K50</f>
        <v>509997</v>
      </c>
      <c r="F12" s="1037"/>
      <c r="G12" s="1826">
        <f t="shared" ref="G12:G18" si="0">SUM(E12:F12)</f>
        <v>509997</v>
      </c>
      <c r="H12" s="1038">
        <v>540907</v>
      </c>
      <c r="I12" s="1037"/>
      <c r="J12" s="1826">
        <f t="shared" ref="J12:J18" si="1">SUM(H12:I12)</f>
        <v>540907</v>
      </c>
    </row>
    <row r="13" spans="1:17" ht="15" customHeight="1" x14ac:dyDescent="0.2">
      <c r="A13" s="1033">
        <v>2</v>
      </c>
      <c r="B13" s="1034" t="s">
        <v>44</v>
      </c>
      <c r="C13" s="1035"/>
      <c r="D13" s="1036">
        <v>2330</v>
      </c>
      <c r="E13" s="1826">
        <f>'Expenditures 15-22'!K51</f>
        <v>0</v>
      </c>
      <c r="F13" s="1037"/>
      <c r="G13" s="1826">
        <f t="shared" si="0"/>
        <v>0</v>
      </c>
      <c r="H13" s="1038">
        <v>0</v>
      </c>
      <c r="I13" s="1037"/>
      <c r="J13" s="1826">
        <f t="shared" si="1"/>
        <v>0</v>
      </c>
    </row>
    <row r="14" spans="1:17" ht="15" customHeight="1" x14ac:dyDescent="0.2">
      <c r="A14" s="1033">
        <v>3</v>
      </c>
      <c r="B14" s="1034" t="s">
        <v>45</v>
      </c>
      <c r="C14" s="1035"/>
      <c r="D14" s="1039">
        <v>2490</v>
      </c>
      <c r="E14" s="1826">
        <f>'Expenditures 15-22'!K56</f>
        <v>0</v>
      </c>
      <c r="F14" s="1037"/>
      <c r="G14" s="1826">
        <f t="shared" si="0"/>
        <v>0</v>
      </c>
      <c r="H14" s="1038">
        <v>0</v>
      </c>
      <c r="I14" s="1037"/>
      <c r="J14" s="1826">
        <f t="shared" si="1"/>
        <v>0</v>
      </c>
    </row>
    <row r="15" spans="1:17" ht="15" customHeight="1" x14ac:dyDescent="0.2">
      <c r="A15" s="1033">
        <v>4</v>
      </c>
      <c r="B15" s="1034" t="s">
        <v>1128</v>
      </c>
      <c r="C15" s="1035"/>
      <c r="D15" s="1036">
        <v>2510</v>
      </c>
      <c r="E15" s="1826">
        <f>'Expenditures 15-22'!K59</f>
        <v>259381</v>
      </c>
      <c r="F15" s="1826">
        <f>'Expenditures 15-22'!K122</f>
        <v>0</v>
      </c>
      <c r="G15" s="1826">
        <f t="shared" si="0"/>
        <v>259381</v>
      </c>
      <c r="H15" s="1038">
        <v>267536</v>
      </c>
      <c r="I15" s="1038">
        <v>0</v>
      </c>
      <c r="J15" s="1826">
        <f t="shared" si="1"/>
        <v>267536</v>
      </c>
    </row>
    <row r="16" spans="1:17" ht="15" customHeight="1" x14ac:dyDescent="0.2">
      <c r="A16" s="1033">
        <v>5</v>
      </c>
      <c r="B16" s="1034" t="s">
        <v>103</v>
      </c>
      <c r="C16" s="1035"/>
      <c r="D16" s="1036">
        <v>2570</v>
      </c>
      <c r="E16" s="1826">
        <f>'Expenditures 15-22'!K64</f>
        <v>74540</v>
      </c>
      <c r="F16" s="1037"/>
      <c r="G16" s="1826">
        <f t="shared" si="0"/>
        <v>74540</v>
      </c>
      <c r="H16" s="1038">
        <v>76000</v>
      </c>
      <c r="I16" s="1037"/>
      <c r="J16" s="1826">
        <f t="shared" si="1"/>
        <v>76000</v>
      </c>
    </row>
    <row r="17" spans="1:10" ht="15" customHeight="1" x14ac:dyDescent="0.2">
      <c r="A17" s="1033">
        <v>6</v>
      </c>
      <c r="B17" s="1034" t="s">
        <v>1120</v>
      </c>
      <c r="C17" s="1035"/>
      <c r="D17" s="1036">
        <v>2610</v>
      </c>
      <c r="E17" s="1826">
        <f>'Expenditures 15-22'!K67</f>
        <v>0</v>
      </c>
      <c r="F17" s="1037"/>
      <c r="G17" s="1826">
        <f t="shared" si="0"/>
        <v>0</v>
      </c>
      <c r="H17" s="1038">
        <v>0</v>
      </c>
      <c r="I17" s="1037"/>
      <c r="J17" s="1826">
        <f t="shared" si="1"/>
        <v>0</v>
      </c>
    </row>
    <row r="18" spans="1:10" ht="22.5" customHeight="1" x14ac:dyDescent="0.2">
      <c r="A18" s="1040">
        <v>7</v>
      </c>
      <c r="B18" s="2402" t="s">
        <v>7</v>
      </c>
      <c r="C18" s="2403"/>
      <c r="D18" s="2404"/>
      <c r="E18" s="1041"/>
      <c r="F18" s="1041"/>
      <c r="G18" s="1827">
        <f t="shared" si="0"/>
        <v>0</v>
      </c>
      <c r="H18" s="1038">
        <v>0</v>
      </c>
      <c r="I18" s="1038"/>
      <c r="J18" s="1826">
        <f t="shared" si="1"/>
        <v>0</v>
      </c>
    </row>
    <row r="19" spans="1:10" ht="12.75" customHeight="1" thickBot="1" x14ac:dyDescent="0.25">
      <c r="A19" s="1033">
        <v>8</v>
      </c>
      <c r="B19" s="1042" t="s">
        <v>1223</v>
      </c>
      <c r="D19" s="1043"/>
      <c r="E19" s="1828">
        <f t="shared" ref="E19:J19" si="2">SUM(E12:E17)-E18</f>
        <v>843918</v>
      </c>
      <c r="F19" s="1828">
        <f t="shared" si="2"/>
        <v>0</v>
      </c>
      <c r="G19" s="1828">
        <f t="shared" si="2"/>
        <v>843918</v>
      </c>
      <c r="H19" s="1828">
        <f t="shared" si="2"/>
        <v>884443</v>
      </c>
      <c r="I19" s="1828">
        <f t="shared" si="2"/>
        <v>0</v>
      </c>
      <c r="J19" s="1828">
        <f t="shared" si="2"/>
        <v>884443</v>
      </c>
    </row>
    <row r="20" spans="1:10" ht="13.5" thickTop="1" x14ac:dyDescent="0.2">
      <c r="A20" s="1033">
        <v>9</v>
      </c>
      <c r="B20" s="2405" t="s">
        <v>1703</v>
      </c>
      <c r="C20" s="2405"/>
      <c r="D20" s="2406"/>
      <c r="E20" s="1044"/>
      <c r="F20" s="1044"/>
      <c r="G20" s="1044"/>
      <c r="H20" s="1044"/>
      <c r="I20" s="1044"/>
      <c r="J20" s="1829">
        <f>IF(AND(G19&gt;0,J19&gt;0),(((J19-G19)/G19)),"Enter Budget Data")</f>
        <v>4.8020068300474693E-2</v>
      </c>
    </row>
    <row r="21" spans="1:10" ht="9" customHeight="1" x14ac:dyDescent="0.2">
      <c r="B21" s="1045"/>
    </row>
    <row r="22" spans="1:10" x14ac:dyDescent="0.2">
      <c r="A22" s="1046" t="s">
        <v>135</v>
      </c>
      <c r="B22" s="1045"/>
    </row>
    <row r="23" spans="1:10" x14ac:dyDescent="0.2">
      <c r="A23" s="1009" t="s">
        <v>1704</v>
      </c>
      <c r="B23" s="1045"/>
    </row>
    <row r="24" spans="1:10" x14ac:dyDescent="0.2">
      <c r="A24" s="1009" t="s">
        <v>1705</v>
      </c>
      <c r="B24" s="1045"/>
    </row>
    <row r="25" spans="1:10" x14ac:dyDescent="0.2">
      <c r="A25" s="1047"/>
      <c r="B25" s="1045"/>
    </row>
    <row r="26" spans="1:10" ht="20.100000000000001" customHeight="1" x14ac:dyDescent="0.2">
      <c r="B26" s="1045"/>
      <c r="C26" s="2411"/>
      <c r="D26" s="2411"/>
      <c r="E26" s="1048"/>
      <c r="F26" s="2410"/>
      <c r="G26" s="2410"/>
    </row>
    <row r="27" spans="1:10" x14ac:dyDescent="0.2">
      <c r="B27" s="1045"/>
      <c r="C27" s="1049" t="s">
        <v>1093</v>
      </c>
      <c r="D27" s="1050"/>
      <c r="E27" s="1051"/>
      <c r="F27" s="2407" t="s">
        <v>1589</v>
      </c>
      <c r="G27" s="2407"/>
    </row>
    <row r="28" spans="1:10" ht="28.5" customHeight="1" x14ac:dyDescent="0.2">
      <c r="B28" s="1045"/>
      <c r="C28" s="2409"/>
      <c r="D28" s="2409"/>
      <c r="E28" s="1052"/>
      <c r="F28" s="2409"/>
      <c r="G28" s="2409"/>
    </row>
    <row r="29" spans="1:10" x14ac:dyDescent="0.2">
      <c r="B29" s="1045"/>
      <c r="C29" s="1053" t="s">
        <v>1642</v>
      </c>
      <c r="E29" s="1054"/>
      <c r="F29" s="2408" t="s">
        <v>1590</v>
      </c>
      <c r="G29" s="2408"/>
    </row>
    <row r="30" spans="1:10" ht="9" customHeight="1" x14ac:dyDescent="0.2">
      <c r="B30" s="1045"/>
      <c r="C30" s="1055"/>
      <c r="E30" s="1056"/>
      <c r="F30" s="1057"/>
      <c r="G30" s="1057"/>
    </row>
    <row r="31" spans="1:10" ht="15" customHeight="1" x14ac:dyDescent="0.2">
      <c r="A31" s="1009"/>
      <c r="B31" s="1058" t="s">
        <v>1094</v>
      </c>
    </row>
    <row r="32" spans="1:10" ht="9" customHeight="1" x14ac:dyDescent="0.2">
      <c r="A32" s="1009"/>
      <c r="B32" s="1046"/>
    </row>
    <row r="33" spans="1:10" ht="12.75" customHeight="1" x14ac:dyDescent="0.2">
      <c r="A33" s="1009"/>
      <c r="B33" s="1059"/>
      <c r="C33" s="2390" t="s">
        <v>134</v>
      </c>
      <c r="D33" s="2391"/>
      <c r="E33" s="2391"/>
      <c r="F33" s="2391"/>
      <c r="G33" s="2391"/>
      <c r="H33" s="2391"/>
      <c r="I33" s="2391"/>
    </row>
    <row r="34" spans="1:10" ht="10.35" customHeight="1" x14ac:dyDescent="0.2">
      <c r="C34" s="2391"/>
      <c r="D34" s="2391"/>
      <c r="E34" s="2391"/>
      <c r="F34" s="2391"/>
      <c r="G34" s="2391"/>
      <c r="H34" s="2391"/>
      <c r="I34" s="2391"/>
    </row>
    <row r="35" spans="1:10" ht="7.5" customHeight="1" x14ac:dyDescent="0.2">
      <c r="C35" s="1060"/>
    </row>
    <row r="36" spans="1:10" ht="13.5" customHeight="1" x14ac:dyDescent="0.2">
      <c r="B36" s="1059"/>
      <c r="C36" s="2392" t="s">
        <v>1941</v>
      </c>
      <c r="D36" s="2391"/>
      <c r="E36" s="2391"/>
      <c r="F36" s="2391"/>
      <c r="G36" s="2391"/>
      <c r="H36" s="2391"/>
      <c r="I36" s="2391"/>
      <c r="J36" s="1061"/>
    </row>
    <row r="37" spans="1:10" ht="22.5" customHeight="1" x14ac:dyDescent="0.2">
      <c r="C37" s="2391"/>
      <c r="D37" s="2391"/>
      <c r="E37" s="2391"/>
      <c r="F37" s="2391"/>
      <c r="G37" s="2391"/>
      <c r="H37" s="2391"/>
      <c r="I37" s="2391"/>
      <c r="J37" s="1061"/>
    </row>
    <row r="38" spans="1:10" ht="7.5" customHeight="1" x14ac:dyDescent="0.2">
      <c r="C38" s="1060"/>
      <c r="D38" s="1062"/>
      <c r="E38" s="1063"/>
      <c r="F38" s="1064"/>
      <c r="G38" s="1063"/>
    </row>
    <row r="39" spans="1:10" ht="13.5" customHeight="1" x14ac:dyDescent="0.2">
      <c r="B39" s="1059"/>
      <c r="C39" s="2388" t="s">
        <v>937</v>
      </c>
      <c r="D39" s="2389"/>
      <c r="E39" s="2389"/>
      <c r="F39" s="2389"/>
      <c r="G39" s="2389"/>
      <c r="H39" s="2389"/>
      <c r="I39" s="2389"/>
    </row>
    <row r="40" spans="1:10" ht="13.35" customHeight="1" x14ac:dyDescent="0.2">
      <c r="A40" s="1009"/>
      <c r="C40" s="1065"/>
      <c r="D40" s="1065"/>
      <c r="E40" s="1065"/>
      <c r="F40" s="1065"/>
      <c r="G40" s="1065"/>
      <c r="H40" s="1065"/>
      <c r="I40" s="1065"/>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2:D67"/>
  <sheetViews>
    <sheetView showGridLines="0" topLeftCell="A3" zoomScale="110" zoomScaleNormal="110" workbookViewId="0">
      <selection activeCell="H42" sqref="H42"/>
    </sheetView>
  </sheetViews>
  <sheetFormatPr defaultColWidth="9.140625" defaultRowHeight="12.75" x14ac:dyDescent="0.2"/>
  <cols>
    <col min="1" max="1" width="3" style="329" customWidth="1"/>
    <col min="2" max="2" width="59.42578125" style="329" customWidth="1"/>
    <col min="3" max="3" width="3.140625" style="329" hidden="1" customWidth="1"/>
    <col min="4" max="16384" width="9.140625" style="329"/>
  </cols>
  <sheetData>
    <row r="2" spans="1:4" x14ac:dyDescent="0.2">
      <c r="A2" s="389" t="s">
        <v>276</v>
      </c>
    </row>
    <row r="3" spans="1:4" x14ac:dyDescent="0.2">
      <c r="A3" s="329" t="s">
        <v>277</v>
      </c>
    </row>
    <row r="5" spans="1:4" x14ac:dyDescent="0.2">
      <c r="A5" s="2010">
        <v>1</v>
      </c>
      <c r="B5" s="2009" t="s">
        <v>2143</v>
      </c>
      <c r="C5" s="2008"/>
      <c r="D5" s="2009" t="s">
        <v>2144</v>
      </c>
    </row>
    <row r="6" spans="1:4" x14ac:dyDescent="0.2">
      <c r="A6" s="2010">
        <v>2</v>
      </c>
      <c r="B6" s="2009" t="s">
        <v>2145</v>
      </c>
      <c r="C6" s="2008"/>
      <c r="D6" s="2009" t="s">
        <v>2146</v>
      </c>
    </row>
    <row r="7" spans="1:4" ht="12" customHeight="1" x14ac:dyDescent="0.2">
      <c r="A7" s="2010">
        <v>3</v>
      </c>
      <c r="B7" s="2009" t="s">
        <v>2147</v>
      </c>
      <c r="C7" s="2008"/>
      <c r="D7" s="2009" t="s">
        <v>2199</v>
      </c>
    </row>
    <row r="8" spans="1:4" s="2009" customFormat="1" ht="12" customHeight="1" x14ac:dyDescent="0.2">
      <c r="A8" s="2010"/>
      <c r="C8" s="2011"/>
      <c r="D8" s="2009" t="s">
        <v>2198</v>
      </c>
    </row>
    <row r="9" spans="1:4" x14ac:dyDescent="0.2">
      <c r="A9" s="2010">
        <v>4</v>
      </c>
      <c r="B9" s="2009" t="s">
        <v>2148</v>
      </c>
      <c r="C9" s="2008"/>
      <c r="D9" s="2009" t="s">
        <v>2200</v>
      </c>
    </row>
    <row r="10" spans="1:4" s="2009" customFormat="1" x14ac:dyDescent="0.2">
      <c r="A10" s="2010"/>
      <c r="C10" s="2011"/>
      <c r="D10" s="2009" t="s">
        <v>2201</v>
      </c>
    </row>
    <row r="11" spans="1:4" x14ac:dyDescent="0.2">
      <c r="A11" s="2010">
        <v>5</v>
      </c>
      <c r="B11" s="2009" t="s">
        <v>2149</v>
      </c>
      <c r="C11" s="2008"/>
      <c r="D11" s="2009" t="s">
        <v>2150</v>
      </c>
    </row>
    <row r="12" spans="1:4" x14ac:dyDescent="0.2">
      <c r="A12" s="2010">
        <v>6</v>
      </c>
      <c r="B12" s="2009" t="s">
        <v>2151</v>
      </c>
      <c r="C12" s="2008"/>
      <c r="D12" s="2009" t="s">
        <v>2152</v>
      </c>
    </row>
    <row r="13" spans="1:4" x14ac:dyDescent="0.2">
      <c r="A13" s="2010">
        <v>7</v>
      </c>
      <c r="B13" s="2009" t="s">
        <v>2153</v>
      </c>
      <c r="C13" s="2008"/>
      <c r="D13" s="2009" t="s">
        <v>2154</v>
      </c>
    </row>
    <row r="14" spans="1:4" x14ac:dyDescent="0.2">
      <c r="A14" s="2010">
        <v>8</v>
      </c>
      <c r="B14" s="2009" t="s">
        <v>2155</v>
      </c>
      <c r="C14" s="2008"/>
      <c r="D14" s="2009" t="s">
        <v>2156</v>
      </c>
    </row>
    <row r="15" spans="1:4" x14ac:dyDescent="0.2">
      <c r="A15" s="2010">
        <v>9</v>
      </c>
      <c r="B15" s="2009" t="s">
        <v>2157</v>
      </c>
      <c r="C15" s="2008"/>
      <c r="D15" s="2009" t="s">
        <v>2158</v>
      </c>
    </row>
    <row r="16" spans="1:4" x14ac:dyDescent="0.2">
      <c r="A16" s="2010">
        <v>10</v>
      </c>
      <c r="B16" s="2009" t="s">
        <v>2159</v>
      </c>
      <c r="C16" s="2008"/>
      <c r="D16" s="2009" t="s">
        <v>2160</v>
      </c>
    </row>
    <row r="17" spans="1:4" x14ac:dyDescent="0.2">
      <c r="A17" s="2010">
        <v>11</v>
      </c>
      <c r="B17" s="2009" t="s">
        <v>2161</v>
      </c>
      <c r="C17" s="2008"/>
      <c r="D17" s="2009" t="s">
        <v>2162</v>
      </c>
    </row>
    <row r="18" spans="1:4" x14ac:dyDescent="0.2">
      <c r="A18" s="2010">
        <v>12</v>
      </c>
      <c r="B18" s="2009" t="s">
        <v>2196</v>
      </c>
      <c r="C18" s="2008"/>
      <c r="D18" s="2009" t="s">
        <v>2163</v>
      </c>
    </row>
    <row r="19" spans="1:4" x14ac:dyDescent="0.2">
      <c r="A19" s="2010">
        <v>13</v>
      </c>
      <c r="B19" s="2009" t="s">
        <v>2197</v>
      </c>
      <c r="C19" s="2008"/>
      <c r="D19" s="2009" t="s">
        <v>2164</v>
      </c>
    </row>
    <row r="20" spans="1:4" x14ac:dyDescent="0.2">
      <c r="A20" s="2010"/>
      <c r="B20" s="2008"/>
      <c r="C20" s="2008"/>
      <c r="D20" s="2008"/>
    </row>
    <row r="21" spans="1:4" x14ac:dyDescent="0.2">
      <c r="A21" s="1066"/>
    </row>
    <row r="22" spans="1:4" x14ac:dyDescent="0.2">
      <c r="A22" s="1066"/>
    </row>
    <row r="23" spans="1:4" x14ac:dyDescent="0.2">
      <c r="A23" s="1066"/>
    </row>
    <row r="24" spans="1:4" x14ac:dyDescent="0.2">
      <c r="A24" s="1066"/>
    </row>
    <row r="25" spans="1:4" x14ac:dyDescent="0.2">
      <c r="A25" s="1066"/>
    </row>
    <row r="26" spans="1:4" x14ac:dyDescent="0.2">
      <c r="A26" s="1066"/>
    </row>
    <row r="27" spans="1:4" x14ac:dyDescent="0.2">
      <c r="A27" s="1066"/>
    </row>
    <row r="28" spans="1:4" x14ac:dyDescent="0.2">
      <c r="A28" s="1066"/>
    </row>
    <row r="29" spans="1:4" x14ac:dyDescent="0.2">
      <c r="A29" s="1066"/>
    </row>
    <row r="30" spans="1:4" x14ac:dyDescent="0.2">
      <c r="A30" s="1066"/>
    </row>
    <row r="31" spans="1:4" x14ac:dyDescent="0.2">
      <c r="A31" s="1066"/>
    </row>
    <row r="32" spans="1:4"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1" x14ac:dyDescent="0.2">
      <c r="A49" s="1066"/>
    </row>
    <row r="50" spans="1:1" x14ac:dyDescent="0.2">
      <c r="A50" s="1066"/>
    </row>
    <row r="51" spans="1:1" x14ac:dyDescent="0.2">
      <c r="A51" s="1066"/>
    </row>
    <row r="52" spans="1:1" x14ac:dyDescent="0.2">
      <c r="A52" s="1066"/>
    </row>
    <row r="53" spans="1:1" x14ac:dyDescent="0.2">
      <c r="A53" s="1066"/>
    </row>
    <row r="54" spans="1:1" x14ac:dyDescent="0.2">
      <c r="A54" s="1066"/>
    </row>
    <row r="55" spans="1:1" x14ac:dyDescent="0.2">
      <c r="A55" s="1066"/>
    </row>
    <row r="56" spans="1:1" x14ac:dyDescent="0.2">
      <c r="A56" s="1066"/>
    </row>
    <row r="57" spans="1:1" x14ac:dyDescent="0.2">
      <c r="A57" s="1066"/>
    </row>
    <row r="58" spans="1:1" x14ac:dyDescent="0.2">
      <c r="A58" s="1066"/>
    </row>
    <row r="59" spans="1:1" x14ac:dyDescent="0.2">
      <c r="A59" s="1066"/>
    </row>
    <row r="60" spans="1:1" x14ac:dyDescent="0.2">
      <c r="A60" s="1066"/>
    </row>
    <row r="61" spans="1:1" x14ac:dyDescent="0.2">
      <c r="A61" s="1066"/>
    </row>
    <row r="62" spans="1:1" x14ac:dyDescent="0.2">
      <c r="A62" s="1066"/>
    </row>
    <row r="63" spans="1:1" x14ac:dyDescent="0.2">
      <c r="A63" s="1066"/>
    </row>
    <row r="64" spans="1:1" x14ac:dyDescent="0.2">
      <c r="A64" s="1066"/>
    </row>
    <row r="65" spans="1:2" x14ac:dyDescent="0.2">
      <c r="A65" s="1066"/>
    </row>
    <row r="66" spans="1:2" x14ac:dyDescent="0.2">
      <c r="A66" s="1066"/>
      <c r="B66" s="258" t="str">
        <f>COVER!A17</f>
        <v>McHenry CHSD 156</v>
      </c>
    </row>
    <row r="67" spans="1:2" x14ac:dyDescent="0.2">
      <c r="B67" s="1067">
        <f>COVER!A13</f>
        <v>44063156016</v>
      </c>
    </row>
  </sheetData>
  <phoneticPr fontId="17"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84"/>
  <sheetViews>
    <sheetView showGridLines="0" zoomScale="110" zoomScaleNormal="110" workbookViewId="0">
      <selection sqref="A1:A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1" t="s">
        <v>1709</v>
      </c>
    </row>
    <row r="23" spans="1:5" x14ac:dyDescent="0.2">
      <c r="A23" s="168"/>
      <c r="B23" s="162" t="s">
        <v>1966</v>
      </c>
      <c r="D23" s="167" t="s">
        <v>658</v>
      </c>
      <c r="E23" s="1851"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29" t="s">
        <v>1125</v>
      </c>
      <c r="B35" s="2129"/>
      <c r="C35" s="2129"/>
      <c r="D35" s="2129"/>
      <c r="E35" s="212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26" t="s">
        <v>715</v>
      </c>
      <c r="B40" s="2126"/>
      <c r="C40" s="2126"/>
      <c r="D40" s="2126"/>
      <c r="E40" s="2126"/>
    </row>
    <row r="41" spans="1:5" x14ac:dyDescent="0.2">
      <c r="A41" s="2127" t="s">
        <v>1706</v>
      </c>
      <c r="B41" s="2127"/>
      <c r="C41" s="2127"/>
      <c r="D41" s="2127"/>
      <c r="E41" s="2127"/>
    </row>
    <row r="42" spans="1:5" ht="12.75" customHeight="1" x14ac:dyDescent="0.2">
      <c r="A42" s="2128" t="s">
        <v>1080</v>
      </c>
      <c r="B42" s="2128"/>
      <c r="C42" s="2128"/>
      <c r="D42" s="2128"/>
      <c r="E42" s="2128"/>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0" t="s">
        <v>1876</v>
      </c>
    </row>
    <row r="60" spans="1:3" x14ac:dyDescent="0.2">
      <c r="A60" s="196"/>
      <c r="B60" s="1500"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2"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1"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D19"/>
  <sheetViews>
    <sheetView showGridLines="0" defaultGridColor="0"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7"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B050"/>
  </sheetPr>
  <dimension ref="A11:F18"/>
  <sheetViews>
    <sheetView showGridLines="0" zoomScale="110" zoomScaleNormal="110" workbookViewId="0">
      <selection activeCell="B12" sqref="B1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1573</v>
      </c>
    </row>
    <row r="15" spans="1:6" x14ac:dyDescent="0.2">
      <c r="A15" s="389" t="s">
        <v>912</v>
      </c>
    </row>
    <row r="16" spans="1:6" s="1068" customFormat="1" ht="45" customHeight="1" x14ac:dyDescent="0.2">
      <c r="A16" s="1070"/>
      <c r="B16" s="1070" t="s">
        <v>1783</v>
      </c>
    </row>
    <row r="17" spans="1:2" ht="6" customHeight="1" x14ac:dyDescent="0.2"/>
    <row r="18" spans="1:2" ht="24.75" customHeight="1" x14ac:dyDescent="0.2">
      <c r="A18" s="2412" t="s">
        <v>1784</v>
      </c>
      <c r="B18" s="2412"/>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4"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4"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pageSetUpPr fitToPage="1"/>
  </sheetPr>
  <dimension ref="A1:H48"/>
  <sheetViews>
    <sheetView showGridLines="0" showZeros="0" zoomScale="110" zoomScaleNormal="110" workbookViewId="0">
      <selection activeCell="H27" sqref="H2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13" t="s">
        <v>1790</v>
      </c>
      <c r="B1" s="2414"/>
      <c r="C1" s="2414"/>
      <c r="D1" s="2414"/>
      <c r="E1" s="2414"/>
      <c r="F1" s="2415"/>
    </row>
    <row r="2" spans="1:8" ht="45" customHeight="1" x14ac:dyDescent="0.2">
      <c r="A2" s="2423" t="s">
        <v>1791</v>
      </c>
      <c r="B2" s="2424"/>
      <c r="C2" s="2424"/>
      <c r="D2" s="2424"/>
      <c r="E2" s="2424"/>
      <c r="F2" s="2425"/>
      <c r="G2" s="1071"/>
      <c r="H2" s="1071"/>
    </row>
    <row r="3" spans="1:8" ht="57" customHeight="1" x14ac:dyDescent="0.2">
      <c r="A3" s="2426" t="s">
        <v>1786</v>
      </c>
      <c r="B3" s="2427"/>
      <c r="C3" s="2427"/>
      <c r="D3" s="2427"/>
      <c r="E3" s="2427"/>
      <c r="F3" s="2428"/>
      <c r="G3" s="1071"/>
      <c r="H3" s="1071"/>
    </row>
    <row r="4" spans="1:8" ht="14.25" customHeight="1" x14ac:dyDescent="0.2">
      <c r="A4" s="2432" t="s">
        <v>2053</v>
      </c>
      <c r="B4" s="2433"/>
      <c r="C4" s="2433"/>
      <c r="D4" s="2433"/>
      <c r="E4" s="2433"/>
      <c r="F4" s="2434"/>
      <c r="G4" s="1071"/>
      <c r="H4" s="1071"/>
    </row>
    <row r="5" spans="1:8" ht="14.25" customHeight="1" x14ac:dyDescent="0.2">
      <c r="A5" s="2435" t="s">
        <v>2054</v>
      </c>
      <c r="B5" s="2436"/>
      <c r="C5" s="2436"/>
      <c r="D5" s="2436"/>
      <c r="E5" s="2436"/>
      <c r="F5" s="2437"/>
      <c r="G5" s="1071"/>
      <c r="H5" s="1071"/>
    </row>
    <row r="6" spans="1:8" s="1072" customFormat="1" ht="41.25" customHeight="1" x14ac:dyDescent="0.2">
      <c r="A6" s="2429" t="s">
        <v>1792</v>
      </c>
      <c r="B6" s="2430"/>
      <c r="C6" s="2430"/>
      <c r="D6" s="2430"/>
      <c r="E6" s="2430"/>
      <c r="F6" s="2431"/>
    </row>
    <row r="7" spans="1:8" ht="42" customHeight="1" x14ac:dyDescent="0.2">
      <c r="A7" s="1073" t="s">
        <v>502</v>
      </c>
      <c r="B7" s="1074" t="s">
        <v>1576</v>
      </c>
      <c r="C7" s="1074" t="s">
        <v>1577</v>
      </c>
      <c r="D7" s="1074" t="s">
        <v>1575</v>
      </c>
      <c r="E7" s="1074" t="s">
        <v>1578</v>
      </c>
      <c r="F7" s="1074" t="s">
        <v>1434</v>
      </c>
    </row>
    <row r="8" spans="1:8" s="1076" customFormat="1" ht="14.25" customHeight="1" x14ac:dyDescent="0.2">
      <c r="A8" s="1075" t="s">
        <v>1435</v>
      </c>
      <c r="B8" s="1830">
        <f>'Acct Summary 7-8'!C8</f>
        <v>29278788</v>
      </c>
      <c r="C8" s="1830">
        <f>'Acct Summary 7-8'!D8</f>
        <v>2578191</v>
      </c>
      <c r="D8" s="1830">
        <f>'Acct Summary 7-8'!F8</f>
        <v>1490517</v>
      </c>
      <c r="E8" s="1830">
        <f>'Acct Summary 7-8'!I8</f>
        <v>113328</v>
      </c>
      <c r="F8" s="1830">
        <f>SUM(B8:E8)</f>
        <v>33460824</v>
      </c>
    </row>
    <row r="9" spans="1:8" s="1076" customFormat="1" ht="14.25" customHeight="1" thickBot="1" x14ac:dyDescent="0.25">
      <c r="A9" s="1075" t="s">
        <v>1436</v>
      </c>
      <c r="B9" s="1831">
        <f>'Acct Summary 7-8'!C17</f>
        <v>25474220</v>
      </c>
      <c r="C9" s="1831">
        <f>'Acct Summary 7-8'!D17</f>
        <v>4136679</v>
      </c>
      <c r="D9" s="1831">
        <f>'Acct Summary 7-8'!F17</f>
        <v>1401758</v>
      </c>
      <c r="E9" s="1830"/>
      <c r="F9" s="1830">
        <f>SUM(B9:E9)</f>
        <v>31012657</v>
      </c>
    </row>
    <row r="10" spans="1:8" s="1076" customFormat="1" ht="14.25" thickTop="1" thickBot="1" x14ac:dyDescent="0.25">
      <c r="A10" s="1077" t="s">
        <v>1437</v>
      </c>
      <c r="B10" s="1832">
        <f>(B8-B9)</f>
        <v>3804568</v>
      </c>
      <c r="C10" s="1832">
        <f>(C8-C9)</f>
        <v>-1558488</v>
      </c>
      <c r="D10" s="1832">
        <f>(D8-D9)</f>
        <v>88759</v>
      </c>
      <c r="E10" s="1831">
        <f>(E8-E9)</f>
        <v>113328</v>
      </c>
      <c r="F10" s="1833">
        <f>SUM(F8-F9)</f>
        <v>2448167</v>
      </c>
    </row>
    <row r="11" spans="1:8" s="1076" customFormat="1" ht="14.25" thickTop="1" thickBot="1" x14ac:dyDescent="0.25">
      <c r="A11" s="1078" t="s">
        <v>1785</v>
      </c>
      <c r="B11" s="1834">
        <f>'Acct Summary 7-8'!C81</f>
        <v>16212649</v>
      </c>
      <c r="C11" s="1834">
        <f>'Acct Summary 7-8'!D81</f>
        <v>3640439</v>
      </c>
      <c r="D11" s="1834">
        <f>'Acct Summary 7-8'!F81</f>
        <v>637078</v>
      </c>
      <c r="E11" s="1834">
        <f>'Acct Summary 7-8'!I81</f>
        <v>690959</v>
      </c>
      <c r="F11" s="1835">
        <f>SUM(B11:E11)</f>
        <v>21181125</v>
      </c>
    </row>
    <row r="12" spans="1:8" ht="16.5" customHeight="1" thickTop="1" x14ac:dyDescent="0.2">
      <c r="A12" s="1079"/>
      <c r="B12" s="1080"/>
      <c r="C12" s="2417" t="str">
        <f>IF(AND(F10&lt;0,F11&gt;=0,ABS(F10*3)&gt;ABS(F11)),A16,IF(AND(F10&lt;0,F11&gt;0,ABS(F10*3)&lt;=ABS(F11)),A17,IF(AND(F10&lt;0,F11&lt;0),A16,IF(F11=0,A19,A18))))</f>
        <v>Balanced - no deficit reduction plan is required.</v>
      </c>
      <c r="D12" s="2418"/>
      <c r="E12" s="2418"/>
      <c r="F12" s="2419"/>
    </row>
    <row r="13" spans="1:8" ht="19.5" customHeight="1" x14ac:dyDescent="0.2">
      <c r="A13" s="1081"/>
      <c r="B13" s="1082"/>
      <c r="C13" s="2417"/>
      <c r="D13" s="2418"/>
      <c r="E13" s="2418"/>
      <c r="F13" s="2419"/>
      <c r="H13" s="1071"/>
    </row>
    <row r="14" spans="1:8" ht="19.5" customHeight="1" x14ac:dyDescent="0.2">
      <c r="A14" s="1081"/>
      <c r="B14" s="1082"/>
      <c r="C14" s="2417"/>
      <c r="D14" s="2418"/>
      <c r="E14" s="2418"/>
      <c r="F14" s="2419"/>
      <c r="H14" s="1071"/>
    </row>
    <row r="15" spans="1:8" ht="17.25" customHeight="1" x14ac:dyDescent="0.2">
      <c r="A15" s="1081"/>
      <c r="B15" s="1082"/>
      <c r="C15" s="2420"/>
      <c r="D15" s="2421"/>
      <c r="E15" s="2421"/>
      <c r="F15" s="2422"/>
      <c r="H15" s="1071"/>
    </row>
    <row r="16" spans="1:8" s="310" customFormat="1" ht="51.75" hidden="1" customHeight="1" x14ac:dyDescent="0.2">
      <c r="A16" s="2416" t="s">
        <v>1787</v>
      </c>
      <c r="B16" s="2416"/>
      <c r="C16" s="2416"/>
      <c r="D16" s="2416"/>
      <c r="E16" s="2416"/>
      <c r="F16" s="310" t="s">
        <v>1438</v>
      </c>
    </row>
    <row r="17" spans="1:6" hidden="1" x14ac:dyDescent="0.2">
      <c r="A17" s="316" t="s">
        <v>1788</v>
      </c>
      <c r="F17" s="1083"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4"/>
    </row>
    <row r="48" spans="3:3" x14ac:dyDescent="0.2">
      <c r="C48" s="1083"/>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2" colorId="8" zoomScale="110" zoomScaleNormal="110" workbookViewId="0">
      <selection activeCell="C76" sqref="C76"/>
    </sheetView>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914"/>
      <c r="B2" s="1915"/>
      <c r="C2" s="1916"/>
      <c r="D2" s="1917"/>
    </row>
    <row r="3" spans="1:4" ht="36" customHeight="1" x14ac:dyDescent="0.2">
      <c r="A3" s="2438" t="s">
        <v>686</v>
      </c>
      <c r="B3" s="2439"/>
      <c r="C3" s="2439"/>
      <c r="D3" s="2440"/>
    </row>
    <row r="4" spans="1:4" x14ac:dyDescent="0.2">
      <c r="A4" s="1149" t="s">
        <v>1793</v>
      </c>
      <c r="B4" s="1150"/>
      <c r="C4" s="1151"/>
      <c r="D4" s="1152"/>
    </row>
    <row r="5" spans="1:4" ht="21" customHeight="1" x14ac:dyDescent="0.2">
      <c r="A5" s="1145"/>
      <c r="B5" s="1146">
        <v>1</v>
      </c>
      <c r="C5" s="1147" t="s">
        <v>1943</v>
      </c>
      <c r="D5" s="1148"/>
    </row>
    <row r="6" spans="1:4" s="669" customFormat="1" ht="14.25" customHeight="1" x14ac:dyDescent="0.2">
      <c r="A6" s="1135"/>
      <c r="B6" s="1090">
        <f t="shared" ref="B6:B13" si="0">B5+1</f>
        <v>2</v>
      </c>
      <c r="C6" s="1091" t="s">
        <v>919</v>
      </c>
      <c r="D6" s="1092"/>
    </row>
    <row r="7" spans="1:4" s="669" customFormat="1" ht="12.75" x14ac:dyDescent="0.2">
      <c r="A7" s="1135"/>
      <c r="B7" s="1090">
        <f t="shared" si="0"/>
        <v>3</v>
      </c>
      <c r="C7" s="2449" t="s">
        <v>1584</v>
      </c>
      <c r="D7" s="2450"/>
    </row>
    <row r="8" spans="1:4" s="669" customFormat="1" ht="12.75" x14ac:dyDescent="0.2">
      <c r="A8" s="1135"/>
      <c r="B8" s="1090"/>
      <c r="C8" s="1093" t="s">
        <v>1583</v>
      </c>
      <c r="D8" s="1094"/>
    </row>
    <row r="9" spans="1:4" s="669" customFormat="1" ht="14.25" customHeight="1" x14ac:dyDescent="0.2">
      <c r="A9" s="1135"/>
      <c r="B9" s="1090">
        <f>B7+1</f>
        <v>4</v>
      </c>
      <c r="C9" s="1091" t="s">
        <v>2046</v>
      </c>
      <c r="D9" s="1092"/>
    </row>
    <row r="10" spans="1:4" s="669" customFormat="1" ht="14.25" customHeight="1" x14ac:dyDescent="0.2">
      <c r="A10" s="1135"/>
      <c r="B10" s="1090">
        <f t="shared" si="0"/>
        <v>5</v>
      </c>
      <c r="C10" s="1091" t="s">
        <v>660</v>
      </c>
      <c r="D10" s="1092"/>
    </row>
    <row r="11" spans="1:4" s="669" customFormat="1" ht="14.25" customHeight="1" x14ac:dyDescent="0.2">
      <c r="A11" s="1135"/>
      <c r="B11" s="1090">
        <f t="shared" si="0"/>
        <v>6</v>
      </c>
      <c r="C11" s="1091" t="s">
        <v>811</v>
      </c>
      <c r="D11" s="1092"/>
    </row>
    <row r="12" spans="1:4" s="669" customFormat="1" ht="14.25" customHeight="1" x14ac:dyDescent="0.2">
      <c r="A12" s="1135"/>
      <c r="B12" s="1090">
        <f t="shared" si="0"/>
        <v>7</v>
      </c>
      <c r="C12" s="1091" t="s">
        <v>1122</v>
      </c>
      <c r="D12" s="1092"/>
    </row>
    <row r="13" spans="1:4" s="669" customFormat="1" ht="14.25" customHeight="1" x14ac:dyDescent="0.2">
      <c r="A13" s="1135"/>
      <c r="B13" s="1090">
        <f t="shared" si="0"/>
        <v>8</v>
      </c>
      <c r="C13" s="1131" t="s">
        <v>812</v>
      </c>
      <c r="D13" s="1092"/>
    </row>
    <row r="14" spans="1:4" s="669" customFormat="1" ht="14.25" customHeight="1" x14ac:dyDescent="0.2">
      <c r="A14" s="1135"/>
      <c r="B14" s="1132">
        <v>9</v>
      </c>
      <c r="C14" s="1133" t="s">
        <v>1585</v>
      </c>
      <c r="D14" s="1134"/>
    </row>
    <row r="15" spans="1:4" s="669" customFormat="1" ht="21.75" customHeight="1" x14ac:dyDescent="0.2">
      <c r="A15" s="2441" t="s">
        <v>1065</v>
      </c>
      <c r="B15" s="2442"/>
      <c r="C15" s="2442"/>
      <c r="D15" s="2443"/>
    </row>
    <row r="16" spans="1:4" s="669" customFormat="1" ht="24" customHeight="1" x14ac:dyDescent="0.2">
      <c r="A16" s="2444" t="s">
        <v>684</v>
      </c>
      <c r="B16" s="2445"/>
      <c r="C16" s="2445"/>
      <c r="D16" s="2446"/>
    </row>
    <row r="17" spans="1:10" s="669" customFormat="1" ht="12.75" customHeight="1" x14ac:dyDescent="0.2">
      <c r="A17" s="1153" t="s">
        <v>1794</v>
      </c>
      <c r="B17" s="1154"/>
      <c r="C17" s="1155"/>
      <c r="D17" s="1156"/>
    </row>
    <row r="18" spans="1:10" s="669" customFormat="1" ht="12.75" customHeight="1" x14ac:dyDescent="0.2">
      <c r="A18" s="1157" t="s">
        <v>1795</v>
      </c>
      <c r="B18" s="1158"/>
      <c r="C18" s="1159"/>
      <c r="D18" s="1160"/>
    </row>
    <row r="19" spans="1:10" ht="6.75" customHeight="1" thickBot="1" x14ac:dyDescent="0.25">
      <c r="A19" s="1161"/>
      <c r="B19" s="1162"/>
      <c r="C19" s="1163"/>
      <c r="D19" s="1164"/>
    </row>
    <row r="20" spans="1:10" s="1168" customFormat="1" ht="12.75" thickTop="1" x14ac:dyDescent="0.2">
      <c r="A20" s="1165"/>
      <c r="B20" s="1166" t="s">
        <v>1796</v>
      </c>
      <c r="C20" s="1167"/>
      <c r="D20" s="1170" t="s">
        <v>734</v>
      </c>
    </row>
    <row r="21" spans="1:10" x14ac:dyDescent="0.2">
      <c r="A21" s="1095"/>
      <c r="B21" s="1096">
        <v>1</v>
      </c>
      <c r="C21" s="2453" t="s">
        <v>332</v>
      </c>
      <c r="D21" s="2454"/>
    </row>
    <row r="22" spans="1:10" ht="12.75" x14ac:dyDescent="0.2">
      <c r="A22" s="1136"/>
      <c r="B22" s="1137">
        <v>2</v>
      </c>
      <c r="C22" s="2451" t="s">
        <v>1605</v>
      </c>
      <c r="D22" s="2452"/>
    </row>
    <row r="23" spans="1:10" ht="12.2" customHeight="1" x14ac:dyDescent="0.2">
      <c r="A23" s="1136"/>
      <c r="B23" s="1137"/>
      <c r="C23" s="1138" t="s">
        <v>1011</v>
      </c>
      <c r="D23" s="1139" t="str">
        <f>IF(COVER!O11="X","CASH",IF(COVER!O12="X","ACCRUAL ","PLEASE CHECK AN ACCOUNTING BASIS."))</f>
        <v>CASH</v>
      </c>
    </row>
    <row r="24" spans="1:10" ht="12.2" customHeight="1" x14ac:dyDescent="0.2">
      <c r="A24" s="1136"/>
      <c r="B24" s="1137"/>
      <c r="C24" s="1138" t="s">
        <v>1399</v>
      </c>
      <c r="D24" s="1139" t="str">
        <f>IF(COVER!O11="X","OK",IF(AND('Aud Quest 2'!J90=0,'Aud Quest 2'!I77&lt;DATE(2017,12,31)),"ENTER ACCOUNTING INFO",IF(AND('Aud Quest 2'!J90&gt;0,'Aud Quest 2'!I77&lt;DATE(2017,12,31)),"OK")))</f>
        <v>OK</v>
      </c>
    </row>
    <row r="25" spans="1:10" x14ac:dyDescent="0.2">
      <c r="A25" s="1097"/>
      <c r="B25" s="1098"/>
      <c r="C25" s="1099" t="s">
        <v>1607</v>
      </c>
      <c r="D25" s="1100" t="str">
        <f>IF(AND(COVER!J29="X",COVER!J30="X",COVER!L30&lt;&gt;"X"),"OK",IF(AND(COVER!J29="X",COVER!J30&lt;&gt;"X",COVER!L30="X"),"OK",IF(AND(COVER!L29="X",COVER!J30&lt;&gt;"X"),"OK","PLEASE CHECK YES or NO.")))</f>
        <v>OK</v>
      </c>
    </row>
    <row r="26" spans="1:10" x14ac:dyDescent="0.2">
      <c r="A26" s="1097"/>
      <c r="B26" s="1140"/>
      <c r="C26" s="1101" t="s">
        <v>1606</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1032</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897</v>
      </c>
      <c r="D28" s="1104" t="str">
        <f>IF('Aud Quest 2'!B53="X",IF('Aud Quest 2'!F53&gt;"00/00/00 ","Enter Effective Date","ok"))</f>
        <v>ok</v>
      </c>
    </row>
    <row r="29" spans="1:10" x14ac:dyDescent="0.2">
      <c r="A29" s="1097"/>
      <c r="B29" s="1140"/>
      <c r="C29" s="1101" t="s">
        <v>1440</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879</v>
      </c>
      <c r="D30" s="1106"/>
    </row>
    <row r="31" spans="1:10" x14ac:dyDescent="0.2">
      <c r="A31" s="1097"/>
      <c r="B31" s="1107"/>
      <c r="C31" s="1141" t="s">
        <v>271</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1035</v>
      </c>
      <c r="D32" s="1100" t="str">
        <f>IF(OR(COVER!B6="x",'FP Info 3'!B31="X",'FP Info 3'!B32="X"),"OK","ENTRY IS REQUIRED!")</f>
        <v>OK</v>
      </c>
    </row>
    <row r="33" spans="1:12" s="1113" customFormat="1" ht="12.75" customHeight="1" x14ac:dyDescent="0.2">
      <c r="A33" s="1110"/>
      <c r="B33" s="1137">
        <f>B30+1</f>
        <v>4</v>
      </c>
      <c r="C33" s="1111" t="s">
        <v>813</v>
      </c>
      <c r="D33" s="1112"/>
    </row>
    <row r="34" spans="1:12" s="1113" customFormat="1" x14ac:dyDescent="0.2">
      <c r="A34" s="1114"/>
      <c r="B34" s="1137"/>
      <c r="C34" s="1115" t="s">
        <v>880</v>
      </c>
      <c r="D34" s="1100" t="str">
        <f>IF('Assets-Liab 5-6'!C4&lt;-0.49, "ERROR!","OK")</f>
        <v>OK</v>
      </c>
    </row>
    <row r="35" spans="1:12" x14ac:dyDescent="0.2">
      <c r="A35" s="1114"/>
      <c r="B35" s="1137"/>
      <c r="C35" s="1115" t="s">
        <v>324</v>
      </c>
      <c r="D35" s="1100" t="str">
        <f>IF('Assets-Liab 5-6'!D4&lt;-0.49, "ERROR!","OK")</f>
        <v>OK</v>
      </c>
      <c r="L35" s="1169"/>
    </row>
    <row r="36" spans="1:12" x14ac:dyDescent="0.2">
      <c r="A36" s="1114"/>
      <c r="B36" s="1137"/>
      <c r="C36" s="1115" t="s">
        <v>814</v>
      </c>
      <c r="D36" s="1100" t="str">
        <f>IF('Assets-Liab 5-6'!E4&lt;-0.49, "ERROR!","OK")</f>
        <v>OK</v>
      </c>
    </row>
    <row r="37" spans="1:12" x14ac:dyDescent="0.2">
      <c r="A37" s="1114"/>
      <c r="B37" s="1137"/>
      <c r="C37" s="1115" t="s">
        <v>325</v>
      </c>
      <c r="D37" s="1100" t="str">
        <f>IF('Assets-Liab 5-6'!F4&lt;-0.49, "ERROR!","OK")</f>
        <v>OK</v>
      </c>
    </row>
    <row r="38" spans="1:12" x14ac:dyDescent="0.2">
      <c r="A38" s="1114"/>
      <c r="B38" s="1137"/>
      <c r="C38" s="1115" t="s">
        <v>326</v>
      </c>
      <c r="D38" s="1100" t="str">
        <f>IF('Assets-Liab 5-6'!G4&lt;-0.49, "ERROR!","OK")</f>
        <v>OK</v>
      </c>
    </row>
    <row r="39" spans="1:12" x14ac:dyDescent="0.2">
      <c r="A39" s="1114"/>
      <c r="B39" s="1137"/>
      <c r="C39" s="1115" t="s">
        <v>815</v>
      </c>
      <c r="D39" s="1100" t="str">
        <f>IF('Assets-Liab 5-6'!H4&lt;-0.49, "ERROR!","OK")</f>
        <v>OK</v>
      </c>
    </row>
    <row r="40" spans="1:12" x14ac:dyDescent="0.2">
      <c r="A40" s="1114"/>
      <c r="B40" s="1137"/>
      <c r="C40" s="1115" t="s">
        <v>327</v>
      </c>
      <c r="D40" s="1100" t="str">
        <f>IF('Assets-Liab 5-6'!I4&lt;-0.49, "ERROR!","OK")</f>
        <v>OK</v>
      </c>
    </row>
    <row r="41" spans="1:12" x14ac:dyDescent="0.2">
      <c r="A41" s="1114"/>
      <c r="B41" s="1137"/>
      <c r="C41" s="1115" t="s">
        <v>816</v>
      </c>
      <c r="D41" s="1100" t="str">
        <f>IF('Assets-Liab 5-6'!J4&lt;-0.49, "ERROR!","OK")</f>
        <v>OK</v>
      </c>
    </row>
    <row r="42" spans="1:12" x14ac:dyDescent="0.2">
      <c r="A42" s="1114"/>
      <c r="B42" s="1137"/>
      <c r="C42" s="1115" t="s">
        <v>328</v>
      </c>
      <c r="D42" s="1100" t="str">
        <f>IF('Assets-Liab 5-6'!K4&lt;-0.49, "ERROR!","OK")</f>
        <v>OK</v>
      </c>
    </row>
    <row r="43" spans="1:12" x14ac:dyDescent="0.2">
      <c r="A43" s="1116"/>
      <c r="B43" s="1117">
        <f>B33+1</f>
        <v>5</v>
      </c>
      <c r="C43" s="2455" t="s">
        <v>557</v>
      </c>
      <c r="D43" s="2456"/>
    </row>
    <row r="44" spans="1:12" x14ac:dyDescent="0.2">
      <c r="A44" s="1116"/>
      <c r="B44" s="1118"/>
      <c r="C44" s="1119" t="s">
        <v>1402</v>
      </c>
      <c r="D44" s="1120" t="str">
        <f>IF(SUM('Assets-Liab 5-6'!C13)&lt;&gt;SUM('Assets-Liab 5-6'!C41),"ERROR!","OK")</f>
        <v>OK</v>
      </c>
    </row>
    <row r="45" spans="1:12" x14ac:dyDescent="0.2">
      <c r="A45" s="1116"/>
      <c r="B45" s="1118"/>
      <c r="C45" s="1119" t="s">
        <v>1403</v>
      </c>
      <c r="D45" s="1120" t="str">
        <f>IF(SUM('Assets-Liab 5-6'!D13)&lt;&gt;SUM('Assets-Liab 5-6'!D41),"ERROR!","OK")</f>
        <v>OK</v>
      </c>
    </row>
    <row r="46" spans="1:12" x14ac:dyDescent="0.2">
      <c r="A46" s="1116"/>
      <c r="B46" s="1118"/>
      <c r="C46" s="1119" t="s">
        <v>1404</v>
      </c>
      <c r="D46" s="1120" t="str">
        <f>IF(SUM('Assets-Liab 5-6'!E13)&lt;&gt;SUM('Assets-Liab 5-6'!E41),"ERROR!","OK")</f>
        <v>OK</v>
      </c>
    </row>
    <row r="47" spans="1:12" x14ac:dyDescent="0.2">
      <c r="A47" s="1116"/>
      <c r="B47" s="1118"/>
      <c r="C47" s="1119" t="s">
        <v>1405</v>
      </c>
      <c r="D47" s="1120" t="str">
        <f>IF(SUM('Assets-Liab 5-6'!F13)&lt;&gt;SUM('Assets-Liab 5-6'!F41),"ERROR!","OK")</f>
        <v>OK</v>
      </c>
    </row>
    <row r="48" spans="1:12" x14ac:dyDescent="0.2">
      <c r="A48" s="1116"/>
      <c r="B48" s="1118"/>
      <c r="C48" s="1119" t="s">
        <v>1406</v>
      </c>
      <c r="D48" s="1120" t="str">
        <f>IF(SUM('Assets-Liab 5-6'!G13)&lt;&gt;SUM('Assets-Liab 5-6'!G41),"ERROR!","OK")</f>
        <v>OK</v>
      </c>
    </row>
    <row r="49" spans="1:4" x14ac:dyDescent="0.2">
      <c r="A49" s="1116"/>
      <c r="B49" s="1118"/>
      <c r="C49" s="1119" t="s">
        <v>1407</v>
      </c>
      <c r="D49" s="1120" t="str">
        <f>IF(SUM('Assets-Liab 5-6'!H13)&lt;&gt;SUM('Assets-Liab 5-6'!H41),"ERROR!","OK")</f>
        <v>OK</v>
      </c>
    </row>
    <row r="50" spans="1:4" x14ac:dyDescent="0.2">
      <c r="A50" s="1116"/>
      <c r="B50" s="1118"/>
      <c r="C50" s="1119" t="s">
        <v>1408</v>
      </c>
      <c r="D50" s="1120" t="str">
        <f>IF(SUM('Assets-Liab 5-6'!I13)&lt;&gt;SUM('Assets-Liab 5-6'!I41),"ERROR!","OK")</f>
        <v>OK</v>
      </c>
    </row>
    <row r="51" spans="1:4" x14ac:dyDescent="0.2">
      <c r="A51" s="1116"/>
      <c r="B51" s="1118"/>
      <c r="C51" s="1119" t="s">
        <v>1409</v>
      </c>
      <c r="D51" s="1120" t="str">
        <f>IF(SUM('Assets-Liab 5-6'!J13)&lt;&gt;SUM('Assets-Liab 5-6'!J41),"ERROR!","OK")</f>
        <v>OK</v>
      </c>
    </row>
    <row r="52" spans="1:4" x14ac:dyDescent="0.2">
      <c r="A52" s="1116"/>
      <c r="B52" s="1118"/>
      <c r="C52" s="1119" t="s">
        <v>1410</v>
      </c>
      <c r="D52" s="1120" t="str">
        <f>IF(SUM('Assets-Liab 5-6'!K13)&lt;&gt;SUM('Assets-Liab 5-6'!K41),"ERROR!","OK")</f>
        <v>OK</v>
      </c>
    </row>
    <row r="53" spans="1:4" x14ac:dyDescent="0.2">
      <c r="A53" s="1116"/>
      <c r="B53" s="1118"/>
      <c r="C53" s="1119" t="s">
        <v>1411</v>
      </c>
      <c r="D53" s="1120" t="str">
        <f>IF(SUM('Assets-Liab 5-6'!L13)&lt;&gt;('Assets-Liab 5-6'!L41),"ERROR!","OK")</f>
        <v>OK</v>
      </c>
    </row>
    <row r="54" spans="1:4" x14ac:dyDescent="0.2">
      <c r="A54" s="1116"/>
      <c r="B54" s="1118"/>
      <c r="C54" s="1119" t="s">
        <v>1412</v>
      </c>
      <c r="D54" s="1120" t="str">
        <f>IF(SUM('Assets-Liab 5-6'!M23)&lt;&gt;('Assets-Liab 5-6'!M41),"ERROR!","OK")</f>
        <v>OK</v>
      </c>
    </row>
    <row r="55" spans="1:4" x14ac:dyDescent="0.2">
      <c r="A55" s="1116"/>
      <c r="B55" s="1118"/>
      <c r="C55" s="1119" t="s">
        <v>1413</v>
      </c>
      <c r="D55" s="1120" t="str">
        <f>IF(SUM('Assets-Liab 5-6'!N23)&lt;&gt;('Assets-Liab 5-6'!N41),"ERROR!","OK")</f>
        <v>OK</v>
      </c>
    </row>
    <row r="56" spans="1:4" x14ac:dyDescent="0.2">
      <c r="A56" s="1097"/>
      <c r="B56" s="1117">
        <f>B43+1</f>
        <v>6</v>
      </c>
      <c r="C56" s="2447" t="s">
        <v>817</v>
      </c>
      <c r="D56" s="2448"/>
    </row>
    <row r="57" spans="1:4" s="1113" customFormat="1" x14ac:dyDescent="0.2">
      <c r="A57" s="1097"/>
      <c r="B57" s="1107"/>
      <c r="C57" s="1115" t="s">
        <v>1414</v>
      </c>
      <c r="D57" s="1121" t="str">
        <f>IF('Assets-Liab 5-6'!C38+'Assets-Liab 5-6'!C39='Acct Summary 7-8'!C81,"OK","ERROR!")</f>
        <v>OK</v>
      </c>
    </row>
    <row r="58" spans="1:4" x14ac:dyDescent="0.2">
      <c r="A58" s="1097"/>
      <c r="B58" s="1107"/>
      <c r="C58" s="1115" t="s">
        <v>1415</v>
      </c>
      <c r="D58" s="1121" t="str">
        <f>IF((('Assets-Liab 5-6'!D38+'Assets-Liab 5-6'!D39) ='Acct Summary 7-8'!D81), "OK", "ERROR!" )</f>
        <v>OK</v>
      </c>
    </row>
    <row r="59" spans="1:4" s="1113" customFormat="1" x14ac:dyDescent="0.2">
      <c r="A59" s="1097"/>
      <c r="B59" s="1107"/>
      <c r="C59" s="1115" t="s">
        <v>1416</v>
      </c>
      <c r="D59" s="1121" t="str">
        <f>IF((('Assets-Liab 5-6'!E38 + 'Assets-Liab 5-6'!E39) ='Acct Summary 7-8'!E81), "OK", "ERROR!" )</f>
        <v>OK</v>
      </c>
    </row>
    <row r="60" spans="1:4" x14ac:dyDescent="0.2">
      <c r="A60" s="1097"/>
      <c r="B60" s="1107"/>
      <c r="C60" s="1115" t="s">
        <v>1417</v>
      </c>
      <c r="D60" s="1121" t="str">
        <f>IF((('Assets-Liab 5-6'!F38 + 'Assets-Liab 5-6'!F39) ='Acct Summary 7-8'!F81), "OK", "ERROR!" )</f>
        <v>OK</v>
      </c>
    </row>
    <row r="61" spans="1:4" ht="12.75" customHeight="1" x14ac:dyDescent="0.2">
      <c r="A61" s="1097"/>
      <c r="B61" s="1107"/>
      <c r="C61" s="1115" t="s">
        <v>1430</v>
      </c>
      <c r="D61" s="1121" t="str">
        <f>IF((('Assets-Liab 5-6'!G38 + 'Assets-Liab 5-6'!G39) ='Acct Summary 7-8'!G81), "OK", "ERROR!" )</f>
        <v>OK</v>
      </c>
    </row>
    <row r="62" spans="1:4" x14ac:dyDescent="0.2">
      <c r="A62" s="1097"/>
      <c r="B62" s="1107"/>
      <c r="C62" s="1115" t="s">
        <v>1418</v>
      </c>
      <c r="D62" s="1121" t="str">
        <f>IF((('Assets-Liab 5-6'!H38 + 'Assets-Liab 5-6'!H39) ='Acct Summary 7-8'!H81), "OK", "ERROR!" )</f>
        <v>OK</v>
      </c>
    </row>
    <row r="63" spans="1:4" ht="12.75" customHeight="1" x14ac:dyDescent="0.2">
      <c r="A63" s="1097"/>
      <c r="B63" s="1107"/>
      <c r="C63" s="1115" t="s">
        <v>1419</v>
      </c>
      <c r="D63" s="1121" t="str">
        <f>IF((('Assets-Liab 5-6'!I38 + 'Assets-Liab 5-6'!I39) ='Acct Summary 7-8'!I81), "OK", "ERROR!" )</f>
        <v>OK</v>
      </c>
    </row>
    <row r="64" spans="1:4" x14ac:dyDescent="0.2">
      <c r="A64" s="1097"/>
      <c r="B64" s="1107"/>
      <c r="C64" s="1115" t="s">
        <v>1420</v>
      </c>
      <c r="D64" s="1121" t="str">
        <f>IF((('Assets-Liab 5-6'!J38 + 'Assets-Liab 5-6'!J39) ='Acct Summary 7-8'!J81), "OK", "ERROR!" )</f>
        <v>OK</v>
      </c>
    </row>
    <row r="65" spans="1:4" x14ac:dyDescent="0.2">
      <c r="A65" s="1114"/>
      <c r="B65" s="1107"/>
      <c r="C65" s="1115" t="s">
        <v>1431</v>
      </c>
      <c r="D65" s="1121" t="str">
        <f>IF((('Assets-Liab 5-6'!K38 + 'Assets-Liab 5-6'!K39) ='Acct Summary 7-8'!K81), "OK", "ERROR!" )</f>
        <v>OK</v>
      </c>
    </row>
    <row r="66" spans="1:4" x14ac:dyDescent="0.2">
      <c r="A66" s="1095"/>
      <c r="B66" s="1137">
        <f>B56+1+1</f>
        <v>8</v>
      </c>
      <c r="C66" s="1143" t="s">
        <v>2047</v>
      </c>
      <c r="D66" s="1122"/>
    </row>
    <row r="67" spans="1:4" x14ac:dyDescent="0.2">
      <c r="A67" s="1116"/>
      <c r="B67" s="1137"/>
      <c r="C67" s="1144" t="s">
        <v>1079</v>
      </c>
      <c r="D67" s="1122"/>
    </row>
    <row r="68" spans="1:4" x14ac:dyDescent="0.2">
      <c r="A68" s="1097"/>
      <c r="B68" s="1107"/>
      <c r="C68" s="1099" t="s">
        <v>2048</v>
      </c>
      <c r="D68" s="1121" t="str">
        <f>IF('Short-Term Long-Term Debt 24'!F49=SUM(,'Acct Summary 7-8'!C33:K33),"OK","ERROR!")</f>
        <v>OK</v>
      </c>
    </row>
    <row r="69" spans="1:4" x14ac:dyDescent="0.2">
      <c r="A69" s="1097"/>
      <c r="B69" s="1107"/>
      <c r="C69" s="1099" t="s">
        <v>2049</v>
      </c>
      <c r="D69" s="1121" t="str">
        <f>IF('Expenditures 15-22'!H170&lt;&gt;'Short-Term Long-Term Debt 24'!H49,"ERROR!","OK")</f>
        <v>OK</v>
      </c>
    </row>
    <row r="70" spans="1:4" x14ac:dyDescent="0.2">
      <c r="A70" s="1095"/>
      <c r="B70" s="1117">
        <f>B66+1</f>
        <v>9</v>
      </c>
      <c r="C70" s="2447" t="s">
        <v>1797</v>
      </c>
      <c r="D70" s="2448"/>
    </row>
    <row r="71" spans="1:4" x14ac:dyDescent="0.2">
      <c r="A71" s="1095"/>
      <c r="B71" s="1117"/>
      <c r="C71" s="1099" t="s">
        <v>1421</v>
      </c>
      <c r="D71" s="1123" t="str">
        <f>IF(SUM('Acct Summary 7-8'!C27:K27) =SUM( 'Acct Summary 7-8'!C49:K49),"OK", "ERROR")</f>
        <v>OK</v>
      </c>
    </row>
    <row r="72" spans="1:4" x14ac:dyDescent="0.2">
      <c r="A72" s="1097"/>
      <c r="B72" s="1107"/>
      <c r="C72" s="1115" t="s">
        <v>1422</v>
      </c>
      <c r="D72" s="1121" t="str">
        <f>IF(SUM('Acct Summary 7-8'!C28:K28)=SUM('Acct Summary 7-8'!C50:K50),"OK","ERROR!")</f>
        <v>OK</v>
      </c>
    </row>
    <row r="73" spans="1:4" ht="24" x14ac:dyDescent="0.2">
      <c r="A73" s="1124"/>
      <c r="B73" s="1107"/>
      <c r="C73" s="1115" t="s">
        <v>1798</v>
      </c>
      <c r="D73" s="1123" t="str">
        <f>IF(SUM('Acct Summary 7-8'!C42:K42)&gt;=SUM( 'Acct Summary 7-8'!C74:K74),"OK", "ERROR")</f>
        <v>OK</v>
      </c>
    </row>
    <row r="74" spans="1:4" x14ac:dyDescent="0.2">
      <c r="A74" s="1095"/>
      <c r="B74" s="1117">
        <f>B70+1</f>
        <v>10</v>
      </c>
      <c r="C74" s="1111" t="s">
        <v>2050</v>
      </c>
      <c r="D74" s="1125"/>
    </row>
    <row r="75" spans="1:4" x14ac:dyDescent="0.2">
      <c r="A75" s="1097"/>
      <c r="B75" s="1107"/>
      <c r="C75" s="1115" t="s">
        <v>1444</v>
      </c>
      <c r="D75" s="1121" t="str">
        <f>IF(SUM('Assets-Liab 5-6'!C38:H38)&gt;=SUM('Rest Tax Levies-Tort Im 25'!G25:K25),"OK","ERROR")</f>
        <v>OK</v>
      </c>
    </row>
    <row r="76" spans="1:4" x14ac:dyDescent="0.2">
      <c r="A76" s="1097"/>
      <c r="B76" s="1107"/>
      <c r="C76" s="1115" t="s">
        <v>1490</v>
      </c>
      <c r="D76" s="1121" t="str">
        <f>IF(SUM('Assets-Liab 5-6'!C39:K39)&gt;0,"OK","ENTRY IS REQUIRED!")</f>
        <v>OK</v>
      </c>
    </row>
    <row r="77" spans="1:4" x14ac:dyDescent="0.2">
      <c r="A77" s="1097"/>
      <c r="B77" s="1126">
        <f>B74+1</f>
        <v>11</v>
      </c>
      <c r="C77" s="1171" t="s">
        <v>1445</v>
      </c>
      <c r="D77" s="1121"/>
    </row>
    <row r="78" spans="1:4" x14ac:dyDescent="0.2">
      <c r="A78" s="1097"/>
      <c r="B78" s="1107"/>
      <c r="C78" s="1115" t="s">
        <v>2051</v>
      </c>
      <c r="D78" s="1121" t="str">
        <f>IF(ISNUMBER('Acct Summary 7-8'!C9),"OK","ENTRY IS REQUIRED!")</f>
        <v>OK</v>
      </c>
    </row>
    <row r="79" spans="1:4" x14ac:dyDescent="0.2">
      <c r="A79" s="1116"/>
      <c r="B79" s="1117">
        <f>B74+1+1</f>
        <v>12</v>
      </c>
      <c r="C79" s="1127" t="s">
        <v>2016</v>
      </c>
      <c r="D79" s="1128" t="str">
        <f>IF(OR(COVER!$B$6="X",'PCTC-OEPP 27-28'!F78&gt;0),"OK","PLEASE ENTER 9 MO ADA.")</f>
        <v>OK</v>
      </c>
    </row>
    <row r="80" spans="1:4" x14ac:dyDescent="0.2">
      <c r="A80" s="1095"/>
      <c r="B80" s="1117">
        <v>13</v>
      </c>
      <c r="C80" s="1127" t="s">
        <v>2052</v>
      </c>
      <c r="D80" s="1128" t="str">
        <f>IF('Contracts Paid in CY 29'!D141&gt;0,"OK","PLEASE ENTER CONTRACTS PAID IN CURRENT YEAR.")</f>
        <v>OK</v>
      </c>
    </row>
    <row r="81" spans="1:4" x14ac:dyDescent="0.2">
      <c r="A81" s="1095"/>
      <c r="B81" s="1117">
        <v>14</v>
      </c>
      <c r="C81" s="1127" t="s">
        <v>1496</v>
      </c>
      <c r="D81" s="1120" t="str">
        <f>IF('Shared Outsourced Services 31'!B8="X","OK",IF('Shared Outsourced Services 31'!K34&gt;0,"OK","ENTRY REQUIRED!"))</f>
        <v>OK</v>
      </c>
    </row>
    <row r="82" spans="1:4" x14ac:dyDescent="0.2">
      <c r="A82" s="1116"/>
      <c r="B82" s="1117">
        <v>15</v>
      </c>
      <c r="C82" s="1127" t="s">
        <v>1495</v>
      </c>
      <c r="D82" s="1129"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44063156016</v>
      </c>
    </row>
    <row r="3" spans="1:2" x14ac:dyDescent="0.2">
      <c r="A3" t="s">
        <v>1013</v>
      </c>
      <c r="B3" s="138" t="str">
        <f>COVER!A15</f>
        <v>MCHENRY</v>
      </c>
    </row>
    <row r="4" spans="1:2" x14ac:dyDescent="0.2">
      <c r="A4" t="s">
        <v>1064</v>
      </c>
      <c r="B4" s="138" t="str">
        <f>COVER!A17</f>
        <v>McHenry CHSD 156</v>
      </c>
    </row>
    <row r="5" spans="1:2" x14ac:dyDescent="0.2">
      <c r="A5" t="s">
        <v>728</v>
      </c>
      <c r="B5" s="138" t="str">
        <f>COVER!A38</f>
        <v>DAVID LAWSON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066-005142</v>
      </c>
    </row>
    <row r="16" spans="1:2" x14ac:dyDescent="0.2">
      <c r="A16" t="s">
        <v>442</v>
      </c>
      <c r="B16" s="138" t="str">
        <f>COVER!T13</f>
        <v>EDER, CASELLA &amp; CO.</v>
      </c>
    </row>
    <row r="17" spans="1:2" x14ac:dyDescent="0.2">
      <c r="A17" t="s">
        <v>939</v>
      </c>
      <c r="B17" s="138" t="str">
        <f>COVER!T15</f>
        <v>CHERYDEN JUERGENSEN</v>
      </c>
    </row>
    <row r="18" spans="1:2" x14ac:dyDescent="0.2">
      <c r="A18" t="s">
        <v>1212</v>
      </c>
      <c r="B18" s="138" t="str">
        <f>COVER!T17</f>
        <v>5400 WEST ELM STREET, SUITE 203</v>
      </c>
    </row>
    <row r="19" spans="1:2" x14ac:dyDescent="0.2">
      <c r="A19" t="s">
        <v>941</v>
      </c>
      <c r="B19" s="138" t="str">
        <f>COVER!T25</f>
        <v>CPAS@EDERCASELLA.COM</v>
      </c>
    </row>
    <row r="20" spans="1:2" x14ac:dyDescent="0.2">
      <c r="A20" t="s">
        <v>942</v>
      </c>
      <c r="B20" s="138" t="str">
        <f>COVER!T19</f>
        <v>MCHENRY</v>
      </c>
    </row>
    <row r="21" spans="1:2" x14ac:dyDescent="0.2">
      <c r="A21" t="s">
        <v>500</v>
      </c>
      <c r="B21" s="138" t="str">
        <f>COVER!X19</f>
        <v>IL</v>
      </c>
    </row>
    <row r="22" spans="1:2" x14ac:dyDescent="0.2">
      <c r="A22" t="s">
        <v>943</v>
      </c>
      <c r="B22" s="138">
        <f>COVER!Z19</f>
        <v>60050</v>
      </c>
    </row>
    <row r="23" spans="1:2" x14ac:dyDescent="0.2">
      <c r="A23" t="s">
        <v>1214</v>
      </c>
      <c r="B23" s="138" t="str">
        <f>COVER!T21</f>
        <v>815-344-1300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10051491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16232014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19365</v>
      </c>
      <c r="C91" s="2" t="s">
        <v>594</v>
      </c>
      <c r="D91" s="2" t="str">
        <f t="shared" si="0"/>
        <v>Error?</v>
      </c>
    </row>
    <row r="92" spans="1:4" x14ac:dyDescent="0.2">
      <c r="A92" s="5">
        <v>31</v>
      </c>
      <c r="B92" s="138">
        <f>'Assets-Liab 5-6'!C39</f>
        <v>15961225</v>
      </c>
      <c r="D92" s="2" t="str">
        <f t="shared" si="0"/>
        <v>Error?</v>
      </c>
    </row>
    <row r="93" spans="1:4" x14ac:dyDescent="0.2">
      <c r="A93" s="5">
        <v>32</v>
      </c>
      <c r="B93" s="138">
        <f>'Assets-Liab 5-6'!C41</f>
        <v>16232014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939624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3640439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3640439</v>
      </c>
      <c r="D123" s="2" t="str">
        <f t="shared" si="0"/>
        <v>Error?</v>
      </c>
    </row>
    <row r="124" spans="1:4" x14ac:dyDescent="0.2">
      <c r="A124" s="5">
        <v>63</v>
      </c>
      <c r="B124" s="138">
        <f>'Assets-Liab 5-6'!D41</f>
        <v>3640439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2338353</v>
      </c>
      <c r="D129" s="2" t="str">
        <f t="shared" si="1"/>
        <v>Error?</v>
      </c>
    </row>
    <row r="130" spans="1:4" x14ac:dyDescent="0.2">
      <c r="A130" s="5">
        <v>69</v>
      </c>
      <c r="B130" s="138">
        <f>'Assets-Liab 5-6'!E12</f>
        <v>0</v>
      </c>
      <c r="D130" s="2" t="str">
        <f t="shared" si="1"/>
        <v>Error?</v>
      </c>
    </row>
    <row r="131" spans="1:4" x14ac:dyDescent="0.2">
      <c r="A131" s="5">
        <v>70</v>
      </c>
      <c r="B131" s="138">
        <f>'Assets-Liab 5-6'!E13</f>
        <v>2581265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2581265</v>
      </c>
      <c r="D140" s="2" t="str">
        <f t="shared" si="1"/>
        <v>Error?</v>
      </c>
    </row>
    <row r="141" spans="1:4" x14ac:dyDescent="0.2">
      <c r="A141" s="5">
        <v>80</v>
      </c>
      <c r="B141" s="138">
        <f>'Assets-Liab 5-6'!E41</f>
        <v>2581265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501214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637078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637078</v>
      </c>
      <c r="D170" s="2" t="str">
        <f t="shared" si="1"/>
        <v>Error?</v>
      </c>
    </row>
    <row r="171" spans="1:4" x14ac:dyDescent="0.2">
      <c r="A171" s="5">
        <v>110</v>
      </c>
      <c r="B171" s="138">
        <f>'Assets-Liab 5-6'!F41</f>
        <v>637078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230526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360483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151262</v>
      </c>
      <c r="D189" s="2" t="str">
        <f t="shared" si="1"/>
        <v>Error?</v>
      </c>
    </row>
    <row r="190" spans="1:4" x14ac:dyDescent="0.2">
      <c r="A190" s="5">
        <v>129</v>
      </c>
      <c r="B190" s="138">
        <f>'Assets-Liab 5-6'!G41</f>
        <v>360483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758480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124755</v>
      </c>
      <c r="D212" s="2" t="str">
        <f t="shared" si="2"/>
        <v>Error?</v>
      </c>
    </row>
    <row r="213" spans="1:4" x14ac:dyDescent="0.2">
      <c r="A213" s="12">
        <v>152</v>
      </c>
      <c r="B213" s="138">
        <f>'Assets-Liab 5-6'!H41</f>
        <v>758480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3150000</v>
      </c>
      <c r="D273" s="2" t="str">
        <f t="shared" si="3"/>
        <v>Error?</v>
      </c>
    </row>
    <row r="274" spans="1:4" x14ac:dyDescent="0.2">
      <c r="A274" s="5">
        <v>213</v>
      </c>
      <c r="B274" s="138">
        <f>'Assets-Liab 5-6'!M17</f>
        <v>28759133</v>
      </c>
      <c r="D274" s="2" t="str">
        <f t="shared" si="3"/>
        <v>Error?</v>
      </c>
    </row>
    <row r="275" spans="1:4" x14ac:dyDescent="0.2">
      <c r="A275" s="5">
        <v>214</v>
      </c>
      <c r="B275" s="138">
        <f>'Assets-Liab 5-6'!M18</f>
        <v>4099845</v>
      </c>
      <c r="D275" s="2" t="str">
        <f t="shared" si="3"/>
        <v>Error?</v>
      </c>
    </row>
    <row r="276" spans="1:4" x14ac:dyDescent="0.2">
      <c r="A276" s="5">
        <v>215</v>
      </c>
      <c r="B276" s="138">
        <f>'Assets-Liab 5-6'!M19</f>
        <v>1623957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37632935</v>
      </c>
      <c r="C279" s="2" t="s">
        <v>594</v>
      </c>
      <c r="D279" s="2" t="str">
        <f t="shared" si="3"/>
        <v>Error?</v>
      </c>
    </row>
    <row r="280" spans="1:4" x14ac:dyDescent="0.2">
      <c r="A280" s="5">
        <v>219</v>
      </c>
      <c r="B280" s="138">
        <f>'Assets-Liab 5-6'!M40</f>
        <v>37632935</v>
      </c>
      <c r="D280" s="2" t="str">
        <f t="shared" si="3"/>
        <v>Error?</v>
      </c>
    </row>
    <row r="281" spans="1:4" x14ac:dyDescent="0.2">
      <c r="A281" s="5">
        <v>220</v>
      </c>
      <c r="B281" s="138">
        <f>'Assets-Liab 5-6'!M41</f>
        <v>37632935</v>
      </c>
      <c r="C281" s="2" t="s">
        <v>594</v>
      </c>
      <c r="D281" s="2" t="str">
        <f t="shared" si="3"/>
        <v>Error?</v>
      </c>
    </row>
    <row r="282" spans="1:4" x14ac:dyDescent="0.2">
      <c r="A282" s="5">
        <v>221</v>
      </c>
      <c r="B282" s="138">
        <f>'Assets-Liab 5-6'!N21</f>
        <v>2581265</v>
      </c>
      <c r="D282" s="2" t="str">
        <f t="shared" si="3"/>
        <v>Error?</v>
      </c>
    </row>
    <row r="283" spans="1:4" x14ac:dyDescent="0.2">
      <c r="A283" s="5">
        <v>222</v>
      </c>
      <c r="B283" s="138">
        <f>'Assets-Liab 5-6'!N22</f>
        <v>6468735</v>
      </c>
      <c r="D283" s="2" t="str">
        <f t="shared" si="3"/>
        <v>Error?</v>
      </c>
    </row>
    <row r="284" spans="1:4" x14ac:dyDescent="0.2">
      <c r="A284" s="5">
        <v>223</v>
      </c>
      <c r="B284" s="138">
        <f>'Assets-Liab 5-6'!N23</f>
        <v>9050000</v>
      </c>
      <c r="C284" s="2" t="s">
        <v>594</v>
      </c>
      <c r="D284" s="2" t="str">
        <f t="shared" si="3"/>
        <v>Error?</v>
      </c>
    </row>
    <row r="285" spans="1:4" x14ac:dyDescent="0.2">
      <c r="A285" s="5">
        <v>224</v>
      </c>
      <c r="B285" s="138">
        <f>'Assets-Liab 5-6'!N36</f>
        <v>9050000</v>
      </c>
      <c r="D285" s="2" t="str">
        <f t="shared" si="3"/>
        <v>Error?</v>
      </c>
    </row>
    <row r="286" spans="1:4" x14ac:dyDescent="0.2">
      <c r="A286" s="10">
        <v>225</v>
      </c>
      <c r="D286" s="2" t="str">
        <f t="shared" si="3"/>
        <v>OK</v>
      </c>
    </row>
    <row r="287" spans="1:4" x14ac:dyDescent="0.2">
      <c r="A287" s="5">
        <v>226</v>
      </c>
      <c r="B287" s="138">
        <f>'Assets-Liab 5-6'!N37</f>
        <v>9050000</v>
      </c>
      <c r="C287" s="2" t="s">
        <v>594</v>
      </c>
      <c r="D287" s="2" t="str">
        <f t="shared" si="3"/>
        <v>Error?</v>
      </c>
    </row>
    <row r="288" spans="1:4" x14ac:dyDescent="0.2">
      <c r="A288" s="5">
        <v>227</v>
      </c>
      <c r="B288" s="138">
        <f>'Assets-Liab 5-6'!N41</f>
        <v>9050000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8402981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4873</v>
      </c>
      <c r="D717" s="2" t="str">
        <f t="shared" si="10"/>
        <v>Error?</v>
      </c>
    </row>
    <row r="718" spans="1:4" x14ac:dyDescent="0.2">
      <c r="A718" s="5">
        <v>657</v>
      </c>
      <c r="B718" s="138">
        <f>'Expenditures 15-22'!C14</f>
        <v>570749</v>
      </c>
      <c r="D718" s="2" t="str">
        <f t="shared" si="10"/>
        <v>Error?</v>
      </c>
    </row>
    <row r="719" spans="1:4" x14ac:dyDescent="0.2">
      <c r="A719" s="5">
        <v>658</v>
      </c>
      <c r="B719" s="138">
        <f>'Expenditures 15-22'!C15</f>
        <v>44660</v>
      </c>
      <c r="D719" s="2" t="str">
        <f t="shared" si="10"/>
        <v>Error?</v>
      </c>
    </row>
    <row r="720" spans="1:4" x14ac:dyDescent="0.2">
      <c r="A720" s="5">
        <v>659</v>
      </c>
      <c r="B720" s="138">
        <f>'Expenditures 15-22'!C33</f>
        <v>12003585</v>
      </c>
      <c r="C720" s="2" t="s">
        <v>594</v>
      </c>
      <c r="D720" s="2" t="str">
        <f t="shared" si="10"/>
        <v>Error?</v>
      </c>
    </row>
    <row r="721" spans="1:4" x14ac:dyDescent="0.2">
      <c r="A721" s="5">
        <v>660</v>
      </c>
      <c r="B721" s="138">
        <f>'Expenditures 15-22'!C36</f>
        <v>264057</v>
      </c>
      <c r="D721" s="2" t="str">
        <f t="shared" si="10"/>
        <v>Error?</v>
      </c>
    </row>
    <row r="722" spans="1:4" x14ac:dyDescent="0.2">
      <c r="A722" s="5">
        <v>661</v>
      </c>
      <c r="B722" s="138">
        <f>'Expenditures 15-22'!C37</f>
        <v>684315</v>
      </c>
      <c r="D722" s="2" t="str">
        <f t="shared" si="10"/>
        <v>Error?</v>
      </c>
    </row>
    <row r="723" spans="1:4" x14ac:dyDescent="0.2">
      <c r="A723" s="5">
        <v>662</v>
      </c>
      <c r="B723" s="138">
        <f>'Expenditures 15-22'!C38</f>
        <v>63086</v>
      </c>
      <c r="D723" s="2" t="str">
        <f t="shared" si="10"/>
        <v>Error?</v>
      </c>
    </row>
    <row r="724" spans="1:4" x14ac:dyDescent="0.2">
      <c r="A724" s="5">
        <v>663</v>
      </c>
      <c r="B724" s="138">
        <f>'Expenditures 15-22'!C39</f>
        <v>223329</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156806</v>
      </c>
      <c r="D726" s="2" t="str">
        <f t="shared" si="10"/>
        <v>Error?</v>
      </c>
    </row>
    <row r="727" spans="1:4" x14ac:dyDescent="0.2">
      <c r="A727" s="5">
        <v>666</v>
      </c>
      <c r="B727" s="138">
        <f>'Expenditures 15-22'!C42</f>
        <v>1391593</v>
      </c>
      <c r="C727" s="2" t="s">
        <v>594</v>
      </c>
      <c r="D727" s="2" t="str">
        <f t="shared" si="10"/>
        <v>Error?</v>
      </c>
    </row>
    <row r="728" spans="1:4" x14ac:dyDescent="0.2">
      <c r="A728" s="5">
        <v>667</v>
      </c>
      <c r="B728" s="138">
        <f>'Expenditures 15-22'!C44</f>
        <v>872323</v>
      </c>
      <c r="D728" s="2" t="str">
        <f t="shared" si="10"/>
        <v>Error?</v>
      </c>
    </row>
    <row r="729" spans="1:4" x14ac:dyDescent="0.2">
      <c r="A729" s="5">
        <v>668</v>
      </c>
      <c r="B729" s="138">
        <f>'Expenditures 15-22'!C45</f>
        <v>613747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1486070</v>
      </c>
      <c r="C731" s="2" t="s">
        <v>594</v>
      </c>
      <c r="D731" s="2" t="str">
        <f t="shared" si="10"/>
        <v>Error?</v>
      </c>
    </row>
    <row r="732" spans="1:4" x14ac:dyDescent="0.2">
      <c r="A732" s="5">
        <v>671</v>
      </c>
      <c r="B732" s="138">
        <f>'Expenditures 15-22'!C49</f>
        <v>61902</v>
      </c>
      <c r="D732" s="2" t="str">
        <f t="shared" si="10"/>
        <v>Error?</v>
      </c>
    </row>
    <row r="733" spans="1:4" x14ac:dyDescent="0.2">
      <c r="A733" s="5">
        <v>672</v>
      </c>
      <c r="B733" s="138">
        <f>'Expenditures 15-22'!C50</f>
        <v>325131</v>
      </c>
      <c r="D733" s="2" t="str">
        <f t="shared" si="10"/>
        <v>Error?</v>
      </c>
    </row>
    <row r="734" spans="1:4" x14ac:dyDescent="0.2">
      <c r="A734" s="5">
        <v>673</v>
      </c>
      <c r="B734" s="138">
        <f>'Expenditures 15-22'!C53</f>
        <v>387033</v>
      </c>
      <c r="C734" s="2" t="s">
        <v>594</v>
      </c>
      <c r="D734" s="2" t="str">
        <f t="shared" si="10"/>
        <v>Error?</v>
      </c>
    </row>
    <row r="735" spans="1:4" x14ac:dyDescent="0.2">
      <c r="A735" s="5">
        <v>674</v>
      </c>
      <c r="B735" s="138">
        <f>'Expenditures 15-22'!C55</f>
        <v>1194125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1194125</v>
      </c>
      <c r="C737" s="2" t="s">
        <v>594</v>
      </c>
      <c r="D737" s="2" t="str">
        <f t="shared" si="10"/>
        <v>Error?</v>
      </c>
    </row>
    <row r="738" spans="1:4" x14ac:dyDescent="0.2">
      <c r="A738" s="5">
        <v>677</v>
      </c>
      <c r="B738" s="138">
        <f>'Expenditures 15-22'!C59</f>
        <v>177872</v>
      </c>
      <c r="D738" s="2" t="str">
        <f t="shared" si="10"/>
        <v>Error?</v>
      </c>
    </row>
    <row r="739" spans="1:4" x14ac:dyDescent="0.2">
      <c r="A739" s="5">
        <v>678</v>
      </c>
      <c r="B739" s="138">
        <f>'Expenditures 15-22'!C60</f>
        <v>152077</v>
      </c>
      <c r="D739" s="2" t="str">
        <f t="shared" si="10"/>
        <v>Error?</v>
      </c>
    </row>
    <row r="740" spans="1:4" x14ac:dyDescent="0.2">
      <c r="A740" s="5">
        <v>679</v>
      </c>
      <c r="B740" s="138">
        <f>'Expenditures 15-22'!C61</f>
        <v>-6149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202025</v>
      </c>
      <c r="D742" s="2" t="str">
        <f t="shared" si="10"/>
        <v>Error?</v>
      </c>
    </row>
    <row r="743" spans="1:4" x14ac:dyDescent="0.2">
      <c r="A743" s="5">
        <v>682</v>
      </c>
      <c r="B743" s="138">
        <f>'Expenditures 15-22'!C64</f>
        <v>11136</v>
      </c>
      <c r="D743" s="2" t="str">
        <f t="shared" si="10"/>
        <v>Error?</v>
      </c>
    </row>
    <row r="744" spans="1:4" x14ac:dyDescent="0.2">
      <c r="A744" s="10">
        <v>683</v>
      </c>
      <c r="D744" s="2" t="str">
        <f t="shared" si="10"/>
        <v>OK</v>
      </c>
    </row>
    <row r="745" spans="1:4" x14ac:dyDescent="0.2">
      <c r="A745" s="5">
        <v>684</v>
      </c>
      <c r="B745" s="138">
        <f>'Expenditures 15-22'!C65</f>
        <v>536961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4995782</v>
      </c>
      <c r="C755" s="2" t="s">
        <v>594</v>
      </c>
      <c r="D755" s="2" t="str">
        <f t="shared" si="10"/>
        <v>Error?</v>
      </c>
    </row>
    <row r="756" spans="1:4" x14ac:dyDescent="0.2">
      <c r="A756" s="5">
        <v>695</v>
      </c>
      <c r="B756" s="138">
        <f>'Expenditures 15-22'!C75</f>
        <v>105321</v>
      </c>
      <c r="D756" s="2" t="str">
        <f t="shared" si="10"/>
        <v>Error?</v>
      </c>
    </row>
    <row r="757" spans="1:4" x14ac:dyDescent="0.2">
      <c r="A757" s="5">
        <v>696</v>
      </c>
      <c r="B757" s="138">
        <f>'Expenditures 15-22'!C114</f>
        <v>17104688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1841596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27</v>
      </c>
      <c r="D775" s="2" t="str">
        <f t="shared" si="11"/>
        <v>Error?</v>
      </c>
    </row>
    <row r="776" spans="1:4" x14ac:dyDescent="0.2">
      <c r="A776" s="5">
        <v>715</v>
      </c>
      <c r="B776" s="138">
        <f>'Expenditures 15-22'!D14</f>
        <v>6761</v>
      </c>
      <c r="D776" s="2" t="str">
        <f t="shared" si="11"/>
        <v>Error?</v>
      </c>
    </row>
    <row r="777" spans="1:4" x14ac:dyDescent="0.2">
      <c r="A777" s="5">
        <v>716</v>
      </c>
      <c r="B777" s="138">
        <f>'Expenditures 15-22'!D15</f>
        <v>939</v>
      </c>
      <c r="D777" s="2" t="str">
        <f t="shared" si="11"/>
        <v>Error?</v>
      </c>
    </row>
    <row r="778" spans="1:4" x14ac:dyDescent="0.2">
      <c r="A778" s="5">
        <v>717</v>
      </c>
      <c r="B778" s="138">
        <f>'Expenditures 15-22'!D33</f>
        <v>2407348</v>
      </c>
      <c r="C778" s="2" t="s">
        <v>594</v>
      </c>
      <c r="D778" s="2" t="str">
        <f t="shared" si="11"/>
        <v>Error?</v>
      </c>
    </row>
    <row r="779" spans="1:4" x14ac:dyDescent="0.2">
      <c r="A779" s="5">
        <v>718</v>
      </c>
      <c r="B779" s="138">
        <f>'Expenditures 15-22'!D36</f>
        <v>37086</v>
      </c>
      <c r="D779" s="2" t="str">
        <f t="shared" si="11"/>
        <v>Error?</v>
      </c>
    </row>
    <row r="780" spans="1:4" x14ac:dyDescent="0.2">
      <c r="A780" s="5">
        <v>719</v>
      </c>
      <c r="B780" s="138">
        <f>'Expenditures 15-22'!D37</f>
        <v>98026</v>
      </c>
      <c r="D780" s="2" t="str">
        <f t="shared" si="11"/>
        <v>Error?</v>
      </c>
    </row>
    <row r="781" spans="1:4" x14ac:dyDescent="0.2">
      <c r="A781" s="5">
        <v>720</v>
      </c>
      <c r="B781" s="138">
        <f>'Expenditures 15-22'!D38</f>
        <v>24712</v>
      </c>
      <c r="D781" s="2" t="str">
        <f t="shared" si="11"/>
        <v>Error?</v>
      </c>
    </row>
    <row r="782" spans="1:4" x14ac:dyDescent="0.2">
      <c r="A782" s="5">
        <v>721</v>
      </c>
      <c r="B782" s="138">
        <f>'Expenditures 15-22'!D39</f>
        <v>43429</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203253</v>
      </c>
      <c r="C785" s="2" t="s">
        <v>594</v>
      </c>
      <c r="D785" s="2" t="str">
        <f t="shared" si="11"/>
        <v>Error?</v>
      </c>
    </row>
    <row r="786" spans="1:4" x14ac:dyDescent="0.2">
      <c r="A786" s="5">
        <v>725</v>
      </c>
      <c r="B786" s="138">
        <f>'Expenditures 15-22'!D44</f>
        <v>18478</v>
      </c>
      <c r="D786" s="2" t="str">
        <f t="shared" si="11"/>
        <v>Error?</v>
      </c>
    </row>
    <row r="787" spans="1:4" x14ac:dyDescent="0.2">
      <c r="A787" s="5">
        <v>726</v>
      </c>
      <c r="B787" s="138">
        <f>'Expenditures 15-22'!D45</f>
        <v>78392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96870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86217</v>
      </c>
      <c r="D791" s="2" t="str">
        <f t="shared" si="11"/>
        <v>Error?</v>
      </c>
    </row>
    <row r="792" spans="1:4" x14ac:dyDescent="0.2">
      <c r="A792" s="5">
        <v>731</v>
      </c>
      <c r="B792" s="138">
        <f>'Expenditures 15-22'!D53</f>
        <v>86217</v>
      </c>
      <c r="C792" s="2" t="s">
        <v>594</v>
      </c>
      <c r="D792" s="2" t="str">
        <f t="shared" si="11"/>
        <v>Error?</v>
      </c>
    </row>
    <row r="793" spans="1:4" x14ac:dyDescent="0.2">
      <c r="A793" s="5">
        <v>732</v>
      </c>
      <c r="B793" s="138">
        <f>'Expenditures 15-22'!D55</f>
        <v>254203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254203</v>
      </c>
      <c r="C795" s="2" t="s">
        <v>594</v>
      </c>
      <c r="D795" s="2" t="str">
        <f t="shared" si="11"/>
        <v>Error?</v>
      </c>
    </row>
    <row r="796" spans="1:4" x14ac:dyDescent="0.2">
      <c r="A796" s="5">
        <v>735</v>
      </c>
      <c r="B796" s="138">
        <f>'Expenditures 15-22'!D59</f>
        <v>20905</v>
      </c>
      <c r="D796" s="2" t="str">
        <f t="shared" si="11"/>
        <v>Error?</v>
      </c>
    </row>
    <row r="797" spans="1:4" x14ac:dyDescent="0.2">
      <c r="A797" s="5">
        <v>736</v>
      </c>
      <c r="B797" s="138">
        <f>'Expenditures 15-22'!D60</f>
        <v>25429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29789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76123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716666</v>
      </c>
      <c r="C813" s="2" t="s">
        <v>594</v>
      </c>
      <c r="D813" s="2" t="str">
        <f t="shared" si="11"/>
        <v>Error?</v>
      </c>
    </row>
    <row r="814" spans="1:4" x14ac:dyDescent="0.2">
      <c r="A814" s="5">
        <v>753</v>
      </c>
      <c r="B814" s="138">
        <f>'Expenditures 15-22'!D75</f>
        <v>914</v>
      </c>
      <c r="D814" s="2" t="str">
        <f t="shared" si="11"/>
        <v>Error?</v>
      </c>
    </row>
    <row r="815" spans="1:4" x14ac:dyDescent="0.2">
      <c r="A815" s="5">
        <v>754</v>
      </c>
      <c r="B815" s="138">
        <f>'Expenditures 15-22'!D114</f>
        <v>3124928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173767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20902</v>
      </c>
      <c r="D833" s="2" t="str">
        <f t="shared" si="12"/>
        <v>Error?</v>
      </c>
    </row>
    <row r="834" spans="1:4" x14ac:dyDescent="0.2">
      <c r="A834" s="5">
        <v>773</v>
      </c>
      <c r="B834" s="138">
        <f>'Expenditures 15-22'!E14</f>
        <v>106031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305878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45</v>
      </c>
      <c r="D838" s="2" t="str">
        <f t="shared" si="12"/>
        <v>Error?</v>
      </c>
    </row>
    <row r="839" spans="1:4" x14ac:dyDescent="0.2">
      <c r="A839" s="5">
        <v>778</v>
      </c>
      <c r="B839" s="138">
        <f>'Expenditures 15-22'!E38</f>
        <v>349</v>
      </c>
      <c r="D839" s="2" t="str">
        <f t="shared" si="12"/>
        <v>Error?</v>
      </c>
    </row>
    <row r="840" spans="1:4" x14ac:dyDescent="0.2">
      <c r="A840" s="5">
        <v>779</v>
      </c>
      <c r="B840" s="138">
        <f>'Expenditures 15-22'!E39</f>
        <v>11200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11594</v>
      </c>
      <c r="C843" s="2" t="s">
        <v>594</v>
      </c>
      <c r="D843" s="2" t="str">
        <f t="shared" si="12"/>
        <v>Error?</v>
      </c>
    </row>
    <row r="844" spans="1:4" x14ac:dyDescent="0.2">
      <c r="A844" s="5">
        <v>783</v>
      </c>
      <c r="B844" s="138">
        <f>'Expenditures 15-22'!E44</f>
        <v>79500</v>
      </c>
      <c r="D844" s="2" t="str">
        <f t="shared" si="12"/>
        <v>Error?</v>
      </c>
    </row>
    <row r="845" spans="1:4" x14ac:dyDescent="0.2">
      <c r="A845" s="5">
        <v>784</v>
      </c>
      <c r="B845" s="138">
        <f>'Expenditures 15-22'!E45</f>
        <v>375139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454639</v>
      </c>
      <c r="C847" s="2" t="s">
        <v>594</v>
      </c>
      <c r="D847" s="2" t="str">
        <f t="shared" si="12"/>
        <v>Error?</v>
      </c>
    </row>
    <row r="848" spans="1:4" x14ac:dyDescent="0.2">
      <c r="A848" s="5">
        <v>787</v>
      </c>
      <c r="B848" s="138">
        <f>'Expenditures 15-22'!E49</f>
        <v>243809</v>
      </c>
      <c r="D848" s="2" t="str">
        <f t="shared" si="12"/>
        <v>Error?</v>
      </c>
    </row>
    <row r="849" spans="1:4" x14ac:dyDescent="0.2">
      <c r="A849" s="5">
        <v>788</v>
      </c>
      <c r="B849" s="138">
        <f>'Expenditures 15-22'!E50</f>
        <v>57996</v>
      </c>
      <c r="D849" s="2" t="str">
        <f t="shared" si="12"/>
        <v>Error?</v>
      </c>
    </row>
    <row r="850" spans="1:4" x14ac:dyDescent="0.2">
      <c r="A850" s="5">
        <v>789</v>
      </c>
      <c r="B850" s="138">
        <f>'Expenditures 15-22'!E53</f>
        <v>301805</v>
      </c>
      <c r="C850" s="2" t="s">
        <v>594</v>
      </c>
      <c r="D850" s="2" t="str">
        <f t="shared" si="12"/>
        <v>Error?</v>
      </c>
    </row>
    <row r="851" spans="1:4" x14ac:dyDescent="0.2">
      <c r="A851" s="5">
        <v>790</v>
      </c>
      <c r="B851" s="138">
        <f>'Expenditures 15-22'!E55</f>
        <v>5490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5490</v>
      </c>
      <c r="C853" s="2" t="s">
        <v>594</v>
      </c>
      <c r="D853" s="2" t="str">
        <f t="shared" si="12"/>
        <v>Error?</v>
      </c>
    </row>
    <row r="854" spans="1:4" x14ac:dyDescent="0.2">
      <c r="A854" s="5">
        <v>793</v>
      </c>
      <c r="B854" s="138">
        <f>'Expenditures 15-22'!E59</f>
        <v>35885</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4631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40516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814044</v>
      </c>
      <c r="C871" s="2" t="s">
        <v>594</v>
      </c>
      <c r="D871" s="2" t="str">
        <f t="shared" si="12"/>
        <v>Error?</v>
      </c>
    </row>
    <row r="872" spans="1:4" x14ac:dyDescent="0.2">
      <c r="A872" s="5">
        <v>811</v>
      </c>
      <c r="B872" s="138">
        <f>'Expenditures 15-22'!E75</f>
        <v>73045</v>
      </c>
      <c r="D872" s="2" t="str">
        <f t="shared" si="12"/>
        <v>Error?</v>
      </c>
    </row>
    <row r="873" spans="1:4" x14ac:dyDescent="0.2">
      <c r="A873" s="5">
        <v>812</v>
      </c>
      <c r="B873" s="138">
        <f>'Expenditures 15-22'!E114</f>
        <v>1415919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352399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9728</v>
      </c>
      <c r="D891" s="2" t="str">
        <f t="shared" si="12"/>
        <v>Error?</v>
      </c>
    </row>
    <row r="892" spans="1:4" x14ac:dyDescent="0.2">
      <c r="A892" s="5">
        <v>831</v>
      </c>
      <c r="B892" s="138">
        <f>'Expenditures 15-22'!F14</f>
        <v>52369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460049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2977</v>
      </c>
      <c r="D896" s="2" t="str">
        <f t="shared" si="13"/>
        <v>Error?</v>
      </c>
    </row>
    <row r="897" spans="1:4" x14ac:dyDescent="0.2">
      <c r="A897" s="5">
        <v>836</v>
      </c>
      <c r="B897" s="138">
        <f>'Expenditures 15-22'!F38</f>
        <v>171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3148</v>
      </c>
      <c r="C901" s="2" t="s">
        <v>594</v>
      </c>
      <c r="D901" s="2" t="str">
        <f t="shared" si="13"/>
        <v>Error?</v>
      </c>
    </row>
    <row r="902" spans="1:4" x14ac:dyDescent="0.2">
      <c r="A902" s="5">
        <v>841</v>
      </c>
      <c r="B902" s="138">
        <f>'Expenditures 15-22'!F44</f>
        <v>21033</v>
      </c>
      <c r="D902" s="2" t="str">
        <f t="shared" si="13"/>
        <v>Error?</v>
      </c>
    </row>
    <row r="903" spans="1:4" x14ac:dyDescent="0.2">
      <c r="A903" s="5">
        <v>842</v>
      </c>
      <c r="B903" s="138">
        <f>'Expenditures 15-22'!F45</f>
        <v>206221</v>
      </c>
      <c r="D903" s="2" t="str">
        <f t="shared" si="13"/>
        <v>Error?</v>
      </c>
    </row>
    <row r="904" spans="1:4" x14ac:dyDescent="0.2">
      <c r="A904" s="5">
        <v>843</v>
      </c>
      <c r="B904" s="138">
        <f>'Expenditures 15-22'!F46</f>
        <v>1445</v>
      </c>
      <c r="D904" s="2" t="str">
        <f t="shared" si="13"/>
        <v>Error?</v>
      </c>
    </row>
    <row r="905" spans="1:4" x14ac:dyDescent="0.2">
      <c r="A905" s="5">
        <v>844</v>
      </c>
      <c r="B905" s="138">
        <f>'Expenditures 15-22'!F47</f>
        <v>228699</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11766</v>
      </c>
      <c r="D907" s="2" t="str">
        <f t="shared" si="13"/>
        <v>Error?</v>
      </c>
    </row>
    <row r="908" spans="1:4" x14ac:dyDescent="0.2">
      <c r="A908" s="5">
        <v>847</v>
      </c>
      <c r="B908" s="138">
        <f>'Expenditures 15-22'!F53</f>
        <v>11766</v>
      </c>
      <c r="C908" s="2" t="s">
        <v>594</v>
      </c>
      <c r="D908" s="2" t="str">
        <f t="shared" si="13"/>
        <v>Error?</v>
      </c>
    </row>
    <row r="909" spans="1:4" x14ac:dyDescent="0.2">
      <c r="A909" s="5">
        <v>848</v>
      </c>
      <c r="B909" s="138">
        <f>'Expenditures 15-22'!F55</f>
        <v>24418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24418</v>
      </c>
      <c r="C911" s="2" t="s">
        <v>594</v>
      </c>
      <c r="D911" s="2" t="str">
        <f t="shared" si="13"/>
        <v>Error?</v>
      </c>
    </row>
    <row r="912" spans="1:4" x14ac:dyDescent="0.2">
      <c r="A912" s="5">
        <v>851</v>
      </c>
      <c r="B912" s="138">
        <f>'Expenditures 15-22'!F59</f>
        <v>5167</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268620</v>
      </c>
      <c r="D916" s="2" t="str">
        <f t="shared" si="13"/>
        <v>Error?</v>
      </c>
    </row>
    <row r="917" spans="1:4" x14ac:dyDescent="0.2">
      <c r="A917" s="5">
        <v>856</v>
      </c>
      <c r="B917" s="138">
        <f>'Expenditures 15-22'!F64</f>
        <v>61754</v>
      </c>
      <c r="D917" s="2" t="str">
        <f t="shared" si="13"/>
        <v>Error?</v>
      </c>
    </row>
    <row r="918" spans="1:4" x14ac:dyDescent="0.2">
      <c r="A918" s="10">
        <v>857</v>
      </c>
      <c r="D918" s="2" t="str">
        <f t="shared" si="13"/>
        <v>OK</v>
      </c>
    </row>
    <row r="919" spans="1:4" x14ac:dyDescent="0.2">
      <c r="A919" s="5">
        <v>858</v>
      </c>
      <c r="B919" s="138">
        <f>'Expenditures 15-22'!F65</f>
        <v>335541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331</v>
      </c>
      <c r="D928" s="2" t="str">
        <f t="shared" si="13"/>
        <v>Error?</v>
      </c>
    </row>
    <row r="929" spans="1:4" x14ac:dyDescent="0.2">
      <c r="A929" s="5">
        <v>868</v>
      </c>
      <c r="B929" s="138">
        <f>'Expenditures 15-22'!F74</f>
        <v>603903</v>
      </c>
      <c r="C929" s="2" t="s">
        <v>594</v>
      </c>
      <c r="D929" s="2" t="str">
        <f t="shared" si="13"/>
        <v>Error?</v>
      </c>
    </row>
    <row r="930" spans="1:4" x14ac:dyDescent="0.2">
      <c r="A930" s="5">
        <v>869</v>
      </c>
      <c r="B930" s="138">
        <f>'Expenditures 15-22'!F75</f>
        <v>517</v>
      </c>
      <c r="D930" s="2" t="str">
        <f t="shared" si="13"/>
        <v>Error?</v>
      </c>
    </row>
    <row r="931" spans="1:4" x14ac:dyDescent="0.2">
      <c r="A931" s="5">
        <v>870</v>
      </c>
      <c r="B931" s="138">
        <f>'Expenditures 15-22'!F114</f>
        <v>1064469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39957</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39957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39957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5270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1578250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1418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1418</v>
      </c>
      <c r="C1021" s="2" t="s">
        <v>594</v>
      </c>
      <c r="D1021" s="2" t="str">
        <f t="shared" si="14"/>
        <v>Error?</v>
      </c>
    </row>
    <row r="1022" spans="1:4" x14ac:dyDescent="0.2">
      <c r="A1022" s="5">
        <v>961</v>
      </c>
      <c r="B1022" s="138">
        <f>'Expenditures 15-22'!H49</f>
        <v>3303</v>
      </c>
      <c r="D1022" s="2" t="str">
        <f t="shared" si="14"/>
        <v>Error?</v>
      </c>
    </row>
    <row r="1023" spans="1:4" x14ac:dyDescent="0.2">
      <c r="A1023" s="5">
        <v>962</v>
      </c>
      <c r="B1023" s="138">
        <f>'Expenditures 15-22'!H50</f>
        <v>3052</v>
      </c>
      <c r="D1023" s="2" t="str">
        <f t="shared" ref="D1023:D1086" si="15">IF(ISBLANK(B1023),"OK",IF(A1023-B1023=0,"OK","Error?"))</f>
        <v>Error?</v>
      </c>
    </row>
    <row r="1024" spans="1:4" x14ac:dyDescent="0.2">
      <c r="A1024" s="5">
        <v>963</v>
      </c>
      <c r="B1024" s="138">
        <f>'Expenditures 15-22'!H53</f>
        <v>6355</v>
      </c>
      <c r="C1024" s="2" t="s">
        <v>594</v>
      </c>
      <c r="D1024" s="2" t="str">
        <f t="shared" si="15"/>
        <v>Error?</v>
      </c>
    </row>
    <row r="1025" spans="1:4" x14ac:dyDescent="0.2">
      <c r="A1025" s="5">
        <v>964</v>
      </c>
      <c r="B1025" s="138">
        <f>'Expenditures 15-22'!H55</f>
        <v>2400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2400</v>
      </c>
      <c r="C1027" s="2" t="s">
        <v>594</v>
      </c>
      <c r="D1027" s="2" t="str">
        <f t="shared" si="15"/>
        <v>Error?</v>
      </c>
    </row>
    <row r="1028" spans="1:4" x14ac:dyDescent="0.2">
      <c r="A1028" s="5">
        <v>967</v>
      </c>
      <c r="B1028" s="138">
        <f>'Expenditures 15-22'!H59</f>
        <v>19552</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19552</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29725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350309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1958284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10856025</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119331</v>
      </c>
      <c r="C1105" s="2" t="s">
        <v>594</v>
      </c>
      <c r="D1105" s="2" t="str">
        <f t="shared" si="16"/>
        <v>Error?</v>
      </c>
    </row>
    <row r="1106" spans="1:4" x14ac:dyDescent="0.2">
      <c r="A1106" s="5">
        <v>1045</v>
      </c>
      <c r="B1106" s="138">
        <f>'Expenditures 15-22'!K14</f>
        <v>759499</v>
      </c>
      <c r="C1106" s="2" t="s">
        <v>594</v>
      </c>
      <c r="D1106" s="2" t="str">
        <f t="shared" si="16"/>
        <v>Error?</v>
      </c>
    </row>
    <row r="1107" spans="1:4" x14ac:dyDescent="0.2">
      <c r="A1107" s="5">
        <v>1046</v>
      </c>
      <c r="B1107" s="138">
        <f>'Expenditures 15-22'!K15</f>
        <v>45599</v>
      </c>
      <c r="C1107" s="2" t="s">
        <v>594</v>
      </c>
      <c r="D1107" s="2" t="str">
        <f t="shared" si="16"/>
        <v>Error?</v>
      </c>
    </row>
    <row r="1108" spans="1:4" x14ac:dyDescent="0.2">
      <c r="A1108" s="5">
        <v>1047</v>
      </c>
      <c r="B1108" s="138">
        <f>'Expenditures 15-22'!K33</f>
        <v>16951778</v>
      </c>
      <c r="C1108" s="2" t="s">
        <v>594</v>
      </c>
      <c r="D1108" s="2" t="str">
        <f t="shared" si="16"/>
        <v>Error?</v>
      </c>
    </row>
    <row r="1109" spans="1:4" x14ac:dyDescent="0.2">
      <c r="A1109" s="5">
        <v>1048</v>
      </c>
      <c r="B1109" s="138">
        <f>'Expenditures 15-22'!K36</f>
        <v>301143</v>
      </c>
      <c r="C1109" s="2" t="s">
        <v>594</v>
      </c>
      <c r="D1109" s="2" t="str">
        <f t="shared" si="16"/>
        <v>Error?</v>
      </c>
    </row>
    <row r="1110" spans="1:4" x14ac:dyDescent="0.2">
      <c r="A1110" s="5">
        <v>1049</v>
      </c>
      <c r="B1110" s="138">
        <f>'Expenditures 15-22'!K37</f>
        <v>785363</v>
      </c>
      <c r="C1110" s="2" t="s">
        <v>594</v>
      </c>
      <c r="D1110" s="2" t="str">
        <f t="shared" si="16"/>
        <v>Error?</v>
      </c>
    </row>
    <row r="1111" spans="1:4" x14ac:dyDescent="0.2">
      <c r="A1111" s="5">
        <v>1050</v>
      </c>
      <c r="B1111" s="138">
        <f>'Expenditures 15-22'!K38</f>
        <v>88318</v>
      </c>
      <c r="C1111" s="2" t="s">
        <v>594</v>
      </c>
      <c r="D1111" s="2" t="str">
        <f t="shared" si="16"/>
        <v>Error?</v>
      </c>
    </row>
    <row r="1112" spans="1:4" x14ac:dyDescent="0.2">
      <c r="A1112" s="5">
        <v>1051</v>
      </c>
      <c r="B1112" s="138">
        <f>'Expenditures 15-22'!K39</f>
        <v>277958</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156806</v>
      </c>
      <c r="C1114" s="2" t="s">
        <v>594</v>
      </c>
      <c r="D1114" s="2" t="str">
        <f t="shared" si="16"/>
        <v>Error?</v>
      </c>
    </row>
    <row r="1115" spans="1:4" x14ac:dyDescent="0.2">
      <c r="A1115" s="5">
        <v>1054</v>
      </c>
      <c r="B1115" s="138">
        <f>'Expenditures 15-22'!K42</f>
        <v>1609588</v>
      </c>
      <c r="C1115" s="2" t="s">
        <v>594</v>
      </c>
      <c r="D1115" s="2" t="str">
        <f t="shared" si="16"/>
        <v>Error?</v>
      </c>
    </row>
    <row r="1116" spans="1:4" x14ac:dyDescent="0.2">
      <c r="A1116" s="5">
        <v>1055</v>
      </c>
      <c r="B1116" s="138">
        <f>'Expenditures 15-22'!K44</f>
        <v>1042896</v>
      </c>
      <c r="C1116" s="2" t="s">
        <v>594</v>
      </c>
      <c r="D1116" s="2" t="str">
        <f t="shared" si="16"/>
        <v>Error?</v>
      </c>
    </row>
    <row r="1117" spans="1:4" x14ac:dyDescent="0.2">
      <c r="A1117" s="5">
        <v>1056</v>
      </c>
      <c r="B1117" s="138">
        <f>'Expenditures 15-22'!K45</f>
        <v>1799389</v>
      </c>
      <c r="C1117" s="2" t="s">
        <v>594</v>
      </c>
      <c r="D1117" s="2" t="str">
        <f t="shared" si="16"/>
        <v>Error?</v>
      </c>
    </row>
    <row r="1118" spans="1:4" x14ac:dyDescent="0.2">
      <c r="A1118" s="5">
        <v>1057</v>
      </c>
      <c r="B1118" s="138">
        <f>'Expenditures 15-22'!K46</f>
        <v>1445</v>
      </c>
      <c r="C1118" s="2" t="s">
        <v>594</v>
      </c>
      <c r="D1118" s="2" t="str">
        <f t="shared" si="16"/>
        <v>Error?</v>
      </c>
    </row>
    <row r="1119" spans="1:4" x14ac:dyDescent="0.2">
      <c r="A1119" s="5">
        <v>1058</v>
      </c>
      <c r="B1119" s="138">
        <f>'Expenditures 15-22'!K47</f>
        <v>2843730</v>
      </c>
      <c r="C1119" s="2" t="s">
        <v>594</v>
      </c>
      <c r="D1119" s="2" t="str">
        <f t="shared" si="16"/>
        <v>Error?</v>
      </c>
    </row>
    <row r="1120" spans="1:4" x14ac:dyDescent="0.2">
      <c r="A1120" s="5">
        <v>1059</v>
      </c>
      <c r="B1120" s="138">
        <f>'Expenditures 15-22'!K49</f>
        <v>309014</v>
      </c>
      <c r="C1120" s="2" t="s">
        <v>594</v>
      </c>
      <c r="D1120" s="2" t="str">
        <f t="shared" si="16"/>
        <v>Error?</v>
      </c>
    </row>
    <row r="1121" spans="1:4" x14ac:dyDescent="0.2">
      <c r="A1121" s="5">
        <v>1060</v>
      </c>
      <c r="B1121" s="138">
        <f>'Expenditures 15-22'!K50</f>
        <v>509997</v>
      </c>
      <c r="C1121" s="2" t="s">
        <v>594</v>
      </c>
      <c r="D1121" s="2" t="str">
        <f t="shared" si="16"/>
        <v>Error?</v>
      </c>
    </row>
    <row r="1122" spans="1:4" x14ac:dyDescent="0.2">
      <c r="A1122" s="5">
        <v>1061</v>
      </c>
      <c r="B1122" s="138">
        <f>'Expenditures 15-22'!K53</f>
        <v>819011</v>
      </c>
      <c r="C1122" s="2" t="s">
        <v>594</v>
      </c>
      <c r="D1122" s="2" t="str">
        <f t="shared" si="16"/>
        <v>Error?</v>
      </c>
    </row>
    <row r="1123" spans="1:4" x14ac:dyDescent="0.2">
      <c r="A1123" s="5">
        <v>1062</v>
      </c>
      <c r="B1123" s="138">
        <f>'Expenditures 15-22'!K55</f>
        <v>1480636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1480636</v>
      </c>
      <c r="C1125" s="2" t="s">
        <v>594</v>
      </c>
      <c r="D1125" s="2" t="str">
        <f t="shared" si="16"/>
        <v>Error?</v>
      </c>
    </row>
    <row r="1126" spans="1:4" x14ac:dyDescent="0.2">
      <c r="A1126" s="5">
        <v>1065</v>
      </c>
      <c r="B1126" s="138">
        <f>'Expenditures 15-22'!K59</f>
        <v>259381</v>
      </c>
      <c r="C1126" s="2" t="s">
        <v>594</v>
      </c>
      <c r="D1126" s="2" t="str">
        <f t="shared" si="16"/>
        <v>Error?</v>
      </c>
    </row>
    <row r="1127" spans="1:4" x14ac:dyDescent="0.2">
      <c r="A1127" s="5">
        <v>1066</v>
      </c>
      <c r="B1127" s="138">
        <f>'Expenditures 15-22'!K60</f>
        <v>177506</v>
      </c>
      <c r="C1127" s="2" t="s">
        <v>594</v>
      </c>
      <c r="D1127" s="2" t="str">
        <f t="shared" si="16"/>
        <v>Error?</v>
      </c>
    </row>
    <row r="1128" spans="1:4" x14ac:dyDescent="0.2">
      <c r="A1128" s="5">
        <v>1067</v>
      </c>
      <c r="B1128" s="138">
        <f>'Expenditures 15-22'!K61</f>
        <v>-6149</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505065</v>
      </c>
      <c r="C1130" s="2" t="s">
        <v>594</v>
      </c>
      <c r="D1130" s="2" t="str">
        <f t="shared" si="16"/>
        <v>Error?</v>
      </c>
    </row>
    <row r="1131" spans="1:4" x14ac:dyDescent="0.2">
      <c r="A1131" s="5">
        <v>1070</v>
      </c>
      <c r="B1131" s="138">
        <f>'Expenditures 15-22'!K64</f>
        <v>74540</v>
      </c>
      <c r="C1131" s="2" t="s">
        <v>594</v>
      </c>
      <c r="D1131" s="2" t="str">
        <f t="shared" si="16"/>
        <v>Error?</v>
      </c>
    </row>
    <row r="1132" spans="1:4" x14ac:dyDescent="0.2">
      <c r="A1132" s="10">
        <v>1071</v>
      </c>
      <c r="D1132" s="2" t="str">
        <f t="shared" si="16"/>
        <v>OK</v>
      </c>
    </row>
    <row r="1133" spans="1:4" x14ac:dyDescent="0.2">
      <c r="A1133" s="5">
        <v>1072</v>
      </c>
      <c r="B1133" s="138">
        <f>'Expenditures 15-22'!K65</f>
        <v>1010343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331</v>
      </c>
      <c r="C1142" s="2" t="s">
        <v>594</v>
      </c>
      <c r="D1142" s="2" t="str">
        <f t="shared" si="16"/>
        <v>Error?</v>
      </c>
    </row>
    <row r="1143" spans="1:4" x14ac:dyDescent="0.2">
      <c r="A1143" s="5">
        <v>1082</v>
      </c>
      <c r="B1143" s="138">
        <f>'Expenditures 15-22'!K74</f>
        <v>7763639</v>
      </c>
      <c r="C1143" s="2" t="s">
        <v>594</v>
      </c>
      <c r="D1143" s="2" t="str">
        <f t="shared" si="16"/>
        <v>Error?</v>
      </c>
    </row>
    <row r="1144" spans="1:4" x14ac:dyDescent="0.2">
      <c r="A1144" s="5">
        <v>1083</v>
      </c>
      <c r="B1144" s="138">
        <f>'Expenditures 15-22'!K75</f>
        <v>185542</v>
      </c>
      <c r="C1144" s="2" t="s">
        <v>594</v>
      </c>
      <c r="D1144" s="2" t="str">
        <f t="shared" si="16"/>
        <v>Error?</v>
      </c>
    </row>
    <row r="1145" spans="1:4" x14ac:dyDescent="0.2">
      <c r="A1145" s="5">
        <v>1084</v>
      </c>
      <c r="B1145" s="138">
        <f>'Expenditures 15-22'!K102</f>
        <v>573261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25474220</v>
      </c>
      <c r="C1152" s="2" t="s">
        <v>594</v>
      </c>
      <c r="D1152" s="2" t="str">
        <f t="shared" si="17"/>
        <v>Error?</v>
      </c>
    </row>
    <row r="1153" spans="1:4" x14ac:dyDescent="0.2">
      <c r="A1153" s="5">
        <v>1092</v>
      </c>
      <c r="B1153" s="138">
        <f>'Expenditures 15-22'!K115</f>
        <v>3804568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660521</v>
      </c>
      <c r="D1221" s="2" t="str">
        <f t="shared" si="18"/>
        <v>Error?</v>
      </c>
    </row>
    <row r="1222" spans="1:4" x14ac:dyDescent="0.2">
      <c r="A1222" s="10">
        <v>1161</v>
      </c>
      <c r="D1222" s="2" t="str">
        <f t="shared" si="18"/>
        <v>OK</v>
      </c>
    </row>
    <row r="1223" spans="1:4" x14ac:dyDescent="0.2">
      <c r="A1223" s="5">
        <v>1162</v>
      </c>
      <c r="B1223" s="138">
        <f>'Expenditures 15-22'!C127</f>
        <v>660521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660521</v>
      </c>
      <c r="C1225" s="2" t="s">
        <v>594</v>
      </c>
      <c r="D1225" s="2" t="str">
        <f t="shared" si="18"/>
        <v>Error?</v>
      </c>
    </row>
    <row r="1226" spans="1:4" x14ac:dyDescent="0.2">
      <c r="A1226" s="5">
        <v>1165</v>
      </c>
      <c r="B1226" s="138">
        <f>'Expenditures 15-22'!C151</f>
        <v>660521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122816</v>
      </c>
      <c r="D1229" s="2" t="str">
        <f t="shared" si="18"/>
        <v>Error?</v>
      </c>
    </row>
    <row r="1230" spans="1:4" x14ac:dyDescent="0.2">
      <c r="A1230" s="10">
        <v>1169</v>
      </c>
      <c r="D1230" s="2" t="str">
        <f t="shared" si="18"/>
        <v>OK</v>
      </c>
    </row>
    <row r="1231" spans="1:4" x14ac:dyDescent="0.2">
      <c r="A1231" s="5">
        <v>1170</v>
      </c>
      <c r="B1231" s="138">
        <f>'Expenditures 15-22'!D127</f>
        <v>122816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122816</v>
      </c>
      <c r="C1233" s="2" t="s">
        <v>594</v>
      </c>
      <c r="D1233" s="2" t="str">
        <f t="shared" si="18"/>
        <v>Error?</v>
      </c>
    </row>
    <row r="1234" spans="1:4" x14ac:dyDescent="0.2">
      <c r="A1234" s="5">
        <v>1173</v>
      </c>
      <c r="B1234" s="138">
        <f>'Expenditures 15-22'!D151</f>
        <v>122816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86495</v>
      </c>
      <c r="D1236" s="2" t="str">
        <f t="shared" si="18"/>
        <v>Error?</v>
      </c>
    </row>
    <row r="1237" spans="1:4" x14ac:dyDescent="0.2">
      <c r="A1237" s="5">
        <v>1176</v>
      </c>
      <c r="B1237" s="138">
        <f>'Expenditures 15-22'!E124</f>
        <v>1291534</v>
      </c>
      <c r="D1237" s="2" t="str">
        <f t="shared" si="18"/>
        <v>Error?</v>
      </c>
    </row>
    <row r="1238" spans="1:4" x14ac:dyDescent="0.2">
      <c r="A1238" s="10">
        <v>1177</v>
      </c>
      <c r="D1238" s="2" t="str">
        <f t="shared" si="18"/>
        <v>OK</v>
      </c>
    </row>
    <row r="1239" spans="1:4" x14ac:dyDescent="0.2">
      <c r="A1239" s="5">
        <v>1178</v>
      </c>
      <c r="B1239" s="138">
        <f>'Expenditures 15-22'!E127</f>
        <v>1378029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1378029</v>
      </c>
      <c r="C1241" s="2" t="s">
        <v>594</v>
      </c>
      <c r="D1241" s="2" t="str">
        <f t="shared" si="18"/>
        <v>Error?</v>
      </c>
    </row>
    <row r="1242" spans="1:4" x14ac:dyDescent="0.2">
      <c r="A1242" s="5">
        <v>1181</v>
      </c>
      <c r="B1242" s="138">
        <f>'Expenditures 15-22'!E151</f>
        <v>1378029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934013</v>
      </c>
      <c r="D1245" s="2" t="str">
        <f t="shared" si="18"/>
        <v>Error?</v>
      </c>
    </row>
    <row r="1246" spans="1:4" x14ac:dyDescent="0.2">
      <c r="A1246" s="10">
        <v>1185</v>
      </c>
      <c r="D1246" s="2" t="str">
        <f t="shared" si="18"/>
        <v>OK</v>
      </c>
    </row>
    <row r="1247" spans="1:4" x14ac:dyDescent="0.2">
      <c r="A1247" s="5">
        <v>1186</v>
      </c>
      <c r="B1247" s="138">
        <f>'Expenditures 15-22'!F127</f>
        <v>934013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934013</v>
      </c>
      <c r="C1249" s="2" t="s">
        <v>594</v>
      </c>
      <c r="D1249" s="2" t="str">
        <f t="shared" si="18"/>
        <v>Error?</v>
      </c>
    </row>
    <row r="1250" spans="1:4" x14ac:dyDescent="0.2">
      <c r="A1250" s="5">
        <v>1189</v>
      </c>
      <c r="B1250" s="138">
        <f>'Expenditures 15-22'!F151</f>
        <v>934013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694862</v>
      </c>
      <c r="D1252" s="2" t="str">
        <f t="shared" si="18"/>
        <v>Error?</v>
      </c>
    </row>
    <row r="1253" spans="1:4" x14ac:dyDescent="0.2">
      <c r="A1253" s="5">
        <v>1192</v>
      </c>
      <c r="B1253" s="138">
        <f>'Expenditures 15-22'!G124</f>
        <v>76936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771798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771798</v>
      </c>
      <c r="C1258" s="2" t="s">
        <v>594</v>
      </c>
      <c r="D1258" s="2" t="str">
        <f t="shared" si="18"/>
        <v>Error?</v>
      </c>
    </row>
    <row r="1259" spans="1:4" x14ac:dyDescent="0.2">
      <c r="A1259" s="5">
        <v>1198</v>
      </c>
      <c r="B1259" s="138">
        <f>'Expenditures 15-22'!G151</f>
        <v>771798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781357</v>
      </c>
      <c r="C1275" s="2" t="s">
        <v>594</v>
      </c>
      <c r="D1275" s="2" t="str">
        <f t="shared" si="18"/>
        <v>Error?</v>
      </c>
    </row>
    <row r="1276" spans="1:4" x14ac:dyDescent="0.2">
      <c r="A1276" s="5">
        <v>1215</v>
      </c>
      <c r="B1276" s="138">
        <f>'Expenditures 15-22'!K124</f>
        <v>3355322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4136679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4136679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4136679</v>
      </c>
      <c r="C1288" s="2" t="s">
        <v>594</v>
      </c>
      <c r="D1288" s="2" t="str">
        <f t="shared" si="19"/>
        <v>Error?</v>
      </c>
    </row>
    <row r="1289" spans="1:4" x14ac:dyDescent="0.2">
      <c r="A1289" s="5">
        <v>1228</v>
      </c>
      <c r="B1289" s="138">
        <f>'Expenditures 15-22'!K152</f>
        <v>-1558488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285325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3635000</v>
      </c>
      <c r="D1315" s="2" t="str">
        <f t="shared" si="19"/>
        <v>Error?</v>
      </c>
    </row>
    <row r="1316" spans="1:4" x14ac:dyDescent="0.2">
      <c r="A1316" s="5">
        <v>1255</v>
      </c>
      <c r="B1316" s="138">
        <f>'Expenditures 15-22'!H171</f>
        <v>488</v>
      </c>
      <c r="D1316" s="2" t="str">
        <f t="shared" si="19"/>
        <v>Error?</v>
      </c>
    </row>
    <row r="1317" spans="1:4" x14ac:dyDescent="0.2">
      <c r="A1317" s="5">
        <v>1256</v>
      </c>
      <c r="B1317" s="138">
        <f>'Expenditures 15-22'!H172</f>
        <v>3920813</v>
      </c>
      <c r="C1317" s="2" t="s">
        <v>594</v>
      </c>
      <c r="D1317" s="2" t="str">
        <f t="shared" si="19"/>
        <v>Error?</v>
      </c>
    </row>
    <row r="1318" spans="1:4" x14ac:dyDescent="0.2">
      <c r="A1318" s="5">
        <v>1257</v>
      </c>
      <c r="B1318" s="138">
        <f>'Expenditures 15-22'!H174</f>
        <v>3920813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285325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3635000</v>
      </c>
      <c r="C1329" s="2" t="s">
        <v>594</v>
      </c>
      <c r="D1329" s="2" t="str">
        <f t="shared" si="19"/>
        <v>Error?</v>
      </c>
    </row>
    <row r="1330" spans="1:4" x14ac:dyDescent="0.2">
      <c r="A1330" s="5">
        <v>1269</v>
      </c>
      <c r="B1330" s="138">
        <f>'Expenditures 15-22'!K171</f>
        <v>488</v>
      </c>
      <c r="C1330" s="2" t="s">
        <v>594</v>
      </c>
      <c r="D1330" s="2" t="str">
        <f t="shared" si="19"/>
        <v>Error?</v>
      </c>
    </row>
    <row r="1331" spans="1:4" x14ac:dyDescent="0.2">
      <c r="A1331" s="5">
        <v>1270</v>
      </c>
      <c r="B1331" s="138">
        <f>'Expenditures 15-22'!K172</f>
        <v>3920813</v>
      </c>
      <c r="C1331" s="2" t="s">
        <v>594</v>
      </c>
      <c r="D1331" s="2" t="str">
        <f t="shared" si="19"/>
        <v>Error?</v>
      </c>
    </row>
    <row r="1332" spans="1:4" x14ac:dyDescent="0.2">
      <c r="A1332" s="5">
        <v>1271</v>
      </c>
      <c r="B1332" s="138">
        <f>'Expenditures 15-22'!K174</f>
        <v>3920813</v>
      </c>
      <c r="C1332" s="2" t="s">
        <v>594</v>
      </c>
      <c r="D1332" s="2" t="str">
        <f t="shared" si="19"/>
        <v>Error?</v>
      </c>
    </row>
    <row r="1333" spans="1:4" x14ac:dyDescent="0.2">
      <c r="A1333" s="5">
        <v>1272</v>
      </c>
      <c r="B1333" s="138">
        <f>'Expenditures 15-22'!K175</f>
        <v>451947</v>
      </c>
      <c r="C1333" s="2" t="s">
        <v>594</v>
      </c>
      <c r="D1333" s="2" t="str">
        <f t="shared" si="19"/>
        <v>Error?</v>
      </c>
    </row>
    <row r="1334" spans="1:4" x14ac:dyDescent="0.2">
      <c r="A1334" s="10">
        <v>1273</v>
      </c>
      <c r="D1334" s="2" t="str">
        <f t="shared" si="19"/>
        <v>OK</v>
      </c>
    </row>
    <row r="1335" spans="1:4" x14ac:dyDescent="0.2">
      <c r="A1335" s="5">
        <v>1274</v>
      </c>
      <c r="B1335" s="138">
        <f>'Expenditures 15-22'!C182</f>
        <v>671107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671107</v>
      </c>
      <c r="C1339" s="2" t="s">
        <v>594</v>
      </c>
      <c r="D1339" s="2" t="str">
        <f t="shared" si="19"/>
        <v>Error?</v>
      </c>
    </row>
    <row r="1340" spans="1:4" x14ac:dyDescent="0.2">
      <c r="A1340" s="5">
        <v>1279</v>
      </c>
      <c r="B1340" s="138">
        <f>'Expenditures 15-22'!C210</f>
        <v>671107</v>
      </c>
      <c r="C1340" s="2" t="s">
        <v>594</v>
      </c>
      <c r="D1340" s="2" t="str">
        <f t="shared" si="19"/>
        <v>Error?</v>
      </c>
    </row>
    <row r="1341" spans="1:4" x14ac:dyDescent="0.2">
      <c r="A1341" s="5">
        <v>1280</v>
      </c>
      <c r="B1341" s="138">
        <f>'Expenditures 15-22'!D182</f>
        <v>23191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23191</v>
      </c>
      <c r="C1345" s="2" t="s">
        <v>594</v>
      </c>
      <c r="D1345" s="2" t="str">
        <f t="shared" si="20"/>
        <v>Error?</v>
      </c>
    </row>
    <row r="1346" spans="1:4" x14ac:dyDescent="0.2">
      <c r="A1346" s="5">
        <v>1285</v>
      </c>
      <c r="B1346" s="138">
        <f>'Expenditures 15-22'!D210</f>
        <v>23191</v>
      </c>
      <c r="C1346" s="2" t="s">
        <v>594</v>
      </c>
      <c r="D1346" s="2" t="str">
        <f t="shared" si="20"/>
        <v>Error?</v>
      </c>
    </row>
    <row r="1347" spans="1:4" x14ac:dyDescent="0.2">
      <c r="A1347" s="5">
        <v>1286</v>
      </c>
      <c r="B1347" s="138">
        <f>'Expenditures 15-22'!E182</f>
        <v>547150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547150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547150</v>
      </c>
      <c r="C1353" s="2" t="s">
        <v>594</v>
      </c>
      <c r="D1353" s="2" t="str">
        <f t="shared" si="20"/>
        <v>Error?</v>
      </c>
    </row>
    <row r="1354" spans="1:4" x14ac:dyDescent="0.2">
      <c r="A1354" s="5">
        <v>1293</v>
      </c>
      <c r="B1354" s="138">
        <f>'Expenditures 15-22'!F182</f>
        <v>160310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160310</v>
      </c>
      <c r="C1358" s="2" t="s">
        <v>594</v>
      </c>
      <c r="D1358" s="2" t="str">
        <f t="shared" si="20"/>
        <v>Error?</v>
      </c>
    </row>
    <row r="1359" spans="1:4" x14ac:dyDescent="0.2">
      <c r="A1359" s="5">
        <v>1298</v>
      </c>
      <c r="B1359" s="138">
        <f>'Expenditures 15-22'!F210</f>
        <v>160310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1401758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1401758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1401758</v>
      </c>
      <c r="C1388" s="2" t="s">
        <v>594</v>
      </c>
      <c r="D1388" s="2" t="str">
        <f t="shared" si="20"/>
        <v>Error?</v>
      </c>
    </row>
    <row r="1389" spans="1:4" x14ac:dyDescent="0.2">
      <c r="A1389" s="5">
        <v>1328</v>
      </c>
      <c r="B1389" s="138">
        <f>'Expenditures 15-22'!K211</f>
        <v>88759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484</v>
      </c>
      <c r="D1407" s="2" t="str">
        <f t="shared" ref="D1407:D1470" si="21">IF(ISBLANK(B1407),"OK",IF(A1407-B1407=0,"OK","Error?"))</f>
        <v>Error?</v>
      </c>
    </row>
    <row r="1408" spans="1:4" x14ac:dyDescent="0.2">
      <c r="A1408" s="5">
        <v>1347</v>
      </c>
      <c r="B1408" s="138">
        <f>'Expenditures 15-22'!D223</f>
        <v>20947</v>
      </c>
      <c r="D1408" s="2" t="str">
        <f t="shared" si="21"/>
        <v>Error?</v>
      </c>
    </row>
    <row r="1409" spans="1:4" x14ac:dyDescent="0.2">
      <c r="A1409" s="5">
        <v>1348</v>
      </c>
      <c r="B1409" s="138">
        <f>'Expenditures 15-22'!D224</f>
        <v>1635</v>
      </c>
      <c r="D1409" s="2" t="str">
        <f t="shared" si="21"/>
        <v>Error?</v>
      </c>
    </row>
    <row r="1410" spans="1:4" x14ac:dyDescent="0.2">
      <c r="A1410" s="5">
        <v>1349</v>
      </c>
      <c r="B1410" s="138">
        <f>'Expenditures 15-22'!D229</f>
        <v>290250</v>
      </c>
      <c r="C1410" s="2" t="s">
        <v>594</v>
      </c>
      <c r="D1410" s="2" t="str">
        <f t="shared" si="21"/>
        <v>Error?</v>
      </c>
    </row>
    <row r="1411" spans="1:4" x14ac:dyDescent="0.2">
      <c r="A1411" s="5">
        <v>1350</v>
      </c>
      <c r="B1411" s="138">
        <f>'Expenditures 15-22'!D232</f>
        <v>3829</v>
      </c>
      <c r="D1411" s="2" t="str">
        <f t="shared" si="21"/>
        <v>Error?</v>
      </c>
    </row>
    <row r="1412" spans="1:4" x14ac:dyDescent="0.2">
      <c r="A1412" s="5">
        <v>1351</v>
      </c>
      <c r="B1412" s="138">
        <f>'Expenditures 15-22'!D233</f>
        <v>14460</v>
      </c>
      <c r="D1412" s="2" t="str">
        <f t="shared" si="21"/>
        <v>Error?</v>
      </c>
    </row>
    <row r="1413" spans="1:4" x14ac:dyDescent="0.2">
      <c r="A1413" s="5">
        <v>1352</v>
      </c>
      <c r="B1413" s="138">
        <f>'Expenditures 15-22'!D234</f>
        <v>3672</v>
      </c>
      <c r="D1413" s="2" t="str">
        <f t="shared" si="21"/>
        <v>Error?</v>
      </c>
    </row>
    <row r="1414" spans="1:4" x14ac:dyDescent="0.2">
      <c r="A1414" s="5">
        <v>1353</v>
      </c>
      <c r="B1414" s="138">
        <f>'Expenditures 15-22'!D235</f>
        <v>3293</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24135</v>
      </c>
      <c r="D1416" s="2" t="str">
        <f t="shared" si="21"/>
        <v>Error?</v>
      </c>
    </row>
    <row r="1417" spans="1:4" x14ac:dyDescent="0.2">
      <c r="A1417" s="5">
        <v>1356</v>
      </c>
      <c r="B1417" s="138">
        <f>'Expenditures 15-22'!D238</f>
        <v>49389</v>
      </c>
      <c r="C1417" s="2" t="s">
        <v>594</v>
      </c>
      <c r="D1417" s="2" t="str">
        <f t="shared" si="21"/>
        <v>Error?</v>
      </c>
    </row>
    <row r="1418" spans="1:4" x14ac:dyDescent="0.2">
      <c r="A1418" s="5">
        <v>1357</v>
      </c>
      <c r="B1418" s="138">
        <f>'Expenditures 15-22'!D240</f>
        <v>12380</v>
      </c>
      <c r="D1418" s="2" t="str">
        <f t="shared" si="21"/>
        <v>Error?</v>
      </c>
    </row>
    <row r="1419" spans="1:4" x14ac:dyDescent="0.2">
      <c r="A1419" s="5">
        <v>1358</v>
      </c>
      <c r="B1419" s="138">
        <f>'Expenditures 15-22'!D241</f>
        <v>80155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92535</v>
      </c>
      <c r="C1421" s="2" t="s">
        <v>594</v>
      </c>
      <c r="D1421" s="2" t="str">
        <f t="shared" si="21"/>
        <v>Error?</v>
      </c>
    </row>
    <row r="1422" spans="1:4" x14ac:dyDescent="0.2">
      <c r="A1422" s="5">
        <v>1361</v>
      </c>
      <c r="B1422" s="138">
        <f>'Expenditures 15-22'!D245</f>
        <v>10870</v>
      </c>
      <c r="D1422" s="2" t="str">
        <f t="shared" si="21"/>
        <v>Error?</v>
      </c>
    </row>
    <row r="1423" spans="1:4" x14ac:dyDescent="0.2">
      <c r="A1423" s="5">
        <v>1362</v>
      </c>
      <c r="B1423" s="138">
        <f>'Expenditures 15-22'!D246</f>
        <v>12305</v>
      </c>
      <c r="D1423" s="2" t="str">
        <f t="shared" si="21"/>
        <v>Error?</v>
      </c>
    </row>
    <row r="1424" spans="1:4" x14ac:dyDescent="0.2">
      <c r="A1424" s="5">
        <v>1363</v>
      </c>
      <c r="B1424" s="138">
        <f>'Expenditures 15-22'!D257</f>
        <v>23175</v>
      </c>
      <c r="C1424" s="2" t="s">
        <v>594</v>
      </c>
      <c r="D1424" s="2" t="str">
        <f t="shared" si="21"/>
        <v>Error?</v>
      </c>
    </row>
    <row r="1425" spans="1:4" x14ac:dyDescent="0.2">
      <c r="A1425" s="5">
        <v>1364</v>
      </c>
      <c r="B1425" s="138">
        <f>'Expenditures 15-22'!D259</f>
        <v>83794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83794</v>
      </c>
      <c r="C1427" s="2" t="s">
        <v>594</v>
      </c>
      <c r="D1427" s="2" t="str">
        <f t="shared" si="21"/>
        <v>Error?</v>
      </c>
    </row>
    <row r="1428" spans="1:4" x14ac:dyDescent="0.2">
      <c r="A1428" s="5">
        <v>1367</v>
      </c>
      <c r="B1428" s="138">
        <f>'Expenditures 15-22'!D263</f>
        <v>2490</v>
      </c>
      <c r="D1428" s="2" t="str">
        <f t="shared" si="21"/>
        <v>Error?</v>
      </c>
    </row>
    <row r="1429" spans="1:4" x14ac:dyDescent="0.2">
      <c r="A1429" s="5">
        <v>1368</v>
      </c>
      <c r="B1429" s="138">
        <f>'Expenditures 15-22'!D264</f>
        <v>25658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113744</v>
      </c>
      <c r="D1431" s="2" t="str">
        <f t="shared" si="21"/>
        <v>Error?</v>
      </c>
    </row>
    <row r="1432" spans="1:4" x14ac:dyDescent="0.2">
      <c r="A1432" s="5">
        <v>1371</v>
      </c>
      <c r="B1432" s="138">
        <f>'Expenditures 15-22'!D267</f>
        <v>120973</v>
      </c>
      <c r="D1432" s="2" t="str">
        <f t="shared" si="21"/>
        <v>Error?</v>
      </c>
    </row>
    <row r="1433" spans="1:4" x14ac:dyDescent="0.2">
      <c r="A1433" s="5">
        <v>1372</v>
      </c>
      <c r="B1433" s="138">
        <f>'Expenditures 15-22'!D268</f>
        <v>34466</v>
      </c>
      <c r="D1433" s="2" t="str">
        <f t="shared" si="21"/>
        <v>Error?</v>
      </c>
    </row>
    <row r="1434" spans="1:4" x14ac:dyDescent="0.2">
      <c r="A1434" s="5">
        <v>1373</v>
      </c>
      <c r="B1434" s="138">
        <f>'Expenditures 15-22'!D269</f>
        <v>646</v>
      </c>
      <c r="D1434" s="2" t="str">
        <f t="shared" si="21"/>
        <v>Error?</v>
      </c>
    </row>
    <row r="1435" spans="1:4" x14ac:dyDescent="0.2">
      <c r="A1435" s="10">
        <v>1374</v>
      </c>
      <c r="D1435" s="2" t="str">
        <f t="shared" si="21"/>
        <v>OK</v>
      </c>
    </row>
    <row r="1436" spans="1:4" x14ac:dyDescent="0.2">
      <c r="A1436" s="5">
        <v>1375</v>
      </c>
      <c r="B1436" s="138">
        <f>'Expenditures 15-22'!D270</f>
        <v>297977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546870</v>
      </c>
      <c r="C1446" s="2" t="s">
        <v>594</v>
      </c>
      <c r="D1446" s="2" t="str">
        <f t="shared" si="21"/>
        <v>Error?</v>
      </c>
    </row>
    <row r="1447" spans="1:4" x14ac:dyDescent="0.2">
      <c r="A1447" s="5">
        <v>1386</v>
      </c>
      <c r="B1447" s="138">
        <f>'Expenditures 15-22'!D280</f>
        <v>8302</v>
      </c>
      <c r="D1447" s="2" t="str">
        <f t="shared" si="21"/>
        <v>Error?</v>
      </c>
    </row>
    <row r="1448" spans="1:4" x14ac:dyDescent="0.2">
      <c r="A1448" s="5">
        <v>1387</v>
      </c>
      <c r="B1448" s="138">
        <f>'Expenditures 15-22'!D295</f>
        <v>845422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484</v>
      </c>
      <c r="C1471" s="2" t="s">
        <v>594</v>
      </c>
      <c r="D1471" s="2" t="str">
        <f t="shared" ref="D1471:D1534" si="22">IF(ISBLANK(B1471),"OK",IF(A1471-B1471=0,"OK","Error?"))</f>
        <v>Error?</v>
      </c>
    </row>
    <row r="1472" spans="1:4" x14ac:dyDescent="0.2">
      <c r="A1472" s="5">
        <v>1411</v>
      </c>
      <c r="B1472" s="138">
        <f>'Expenditures 15-22'!K223</f>
        <v>20947</v>
      </c>
      <c r="C1472" s="2" t="s">
        <v>594</v>
      </c>
      <c r="D1472" s="2" t="str">
        <f t="shared" si="22"/>
        <v>Error?</v>
      </c>
    </row>
    <row r="1473" spans="1:4" x14ac:dyDescent="0.2">
      <c r="A1473" s="5">
        <v>1412</v>
      </c>
      <c r="B1473" s="138">
        <f>'Expenditures 15-22'!K224</f>
        <v>1635</v>
      </c>
      <c r="C1473" s="2" t="s">
        <v>594</v>
      </c>
      <c r="D1473" s="2" t="str">
        <f t="shared" si="22"/>
        <v>Error?</v>
      </c>
    </row>
    <row r="1474" spans="1:4" x14ac:dyDescent="0.2">
      <c r="A1474" s="5">
        <v>1413</v>
      </c>
      <c r="B1474" s="138">
        <f>'Expenditures 15-22'!K229</f>
        <v>290250</v>
      </c>
      <c r="C1474" s="2" t="s">
        <v>594</v>
      </c>
      <c r="D1474" s="2" t="str">
        <f t="shared" si="22"/>
        <v>Error?</v>
      </c>
    </row>
    <row r="1475" spans="1:4" x14ac:dyDescent="0.2">
      <c r="A1475" s="5">
        <v>1414</v>
      </c>
      <c r="B1475" s="138">
        <f>'Expenditures 15-22'!K232</f>
        <v>3829</v>
      </c>
      <c r="C1475" s="2" t="s">
        <v>594</v>
      </c>
      <c r="D1475" s="2" t="str">
        <f t="shared" si="22"/>
        <v>Error?</v>
      </c>
    </row>
    <row r="1476" spans="1:4" x14ac:dyDescent="0.2">
      <c r="A1476" s="5">
        <v>1415</v>
      </c>
      <c r="B1476" s="138">
        <f>'Expenditures 15-22'!K233</f>
        <v>14460</v>
      </c>
      <c r="C1476" s="2" t="s">
        <v>594</v>
      </c>
      <c r="D1476" s="2" t="str">
        <f t="shared" si="22"/>
        <v>Error?</v>
      </c>
    </row>
    <row r="1477" spans="1:4" x14ac:dyDescent="0.2">
      <c r="A1477" s="5">
        <v>1416</v>
      </c>
      <c r="B1477" s="138">
        <f>'Expenditures 15-22'!K234</f>
        <v>3672</v>
      </c>
      <c r="C1477" s="2" t="s">
        <v>594</v>
      </c>
      <c r="D1477" s="2" t="str">
        <f t="shared" si="22"/>
        <v>Error?</v>
      </c>
    </row>
    <row r="1478" spans="1:4" x14ac:dyDescent="0.2">
      <c r="A1478" s="5">
        <v>1417</v>
      </c>
      <c r="B1478" s="138">
        <f>'Expenditures 15-22'!K235</f>
        <v>3293</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24135</v>
      </c>
      <c r="C1480" s="2" t="s">
        <v>594</v>
      </c>
      <c r="D1480" s="2" t="str">
        <f t="shared" si="22"/>
        <v>Error?</v>
      </c>
    </row>
    <row r="1481" spans="1:4" x14ac:dyDescent="0.2">
      <c r="A1481" s="5">
        <v>1420</v>
      </c>
      <c r="B1481" s="138">
        <f>'Expenditures 15-22'!K238</f>
        <v>49389</v>
      </c>
      <c r="C1481" s="2" t="s">
        <v>594</v>
      </c>
      <c r="D1481" s="2" t="str">
        <f t="shared" si="22"/>
        <v>Error?</v>
      </c>
    </row>
    <row r="1482" spans="1:4" x14ac:dyDescent="0.2">
      <c r="A1482" s="5">
        <v>1421</v>
      </c>
      <c r="B1482" s="138">
        <f>'Expenditures 15-22'!K240</f>
        <v>12380</v>
      </c>
      <c r="C1482" s="2" t="s">
        <v>594</v>
      </c>
      <c r="D1482" s="2" t="str">
        <f t="shared" si="22"/>
        <v>Error?</v>
      </c>
    </row>
    <row r="1483" spans="1:4" x14ac:dyDescent="0.2">
      <c r="A1483" s="5">
        <v>1422</v>
      </c>
      <c r="B1483" s="138">
        <f>'Expenditures 15-22'!K241</f>
        <v>80155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92535</v>
      </c>
      <c r="C1485" s="2" t="s">
        <v>594</v>
      </c>
      <c r="D1485" s="2" t="str">
        <f t="shared" si="22"/>
        <v>Error?</v>
      </c>
    </row>
    <row r="1486" spans="1:4" x14ac:dyDescent="0.2">
      <c r="A1486" s="5">
        <v>1425</v>
      </c>
      <c r="B1486" s="138">
        <f>'Expenditures 15-22'!K245</f>
        <v>10870</v>
      </c>
      <c r="C1486" s="2" t="s">
        <v>594</v>
      </c>
      <c r="D1486" s="2" t="str">
        <f t="shared" si="22"/>
        <v>Error?</v>
      </c>
    </row>
    <row r="1487" spans="1:4" x14ac:dyDescent="0.2">
      <c r="A1487" s="5">
        <v>1426</v>
      </c>
      <c r="B1487" s="138">
        <f>'Expenditures 15-22'!K246</f>
        <v>12305</v>
      </c>
      <c r="C1487" s="2" t="s">
        <v>594</v>
      </c>
      <c r="D1487" s="2" t="str">
        <f t="shared" si="22"/>
        <v>Error?</v>
      </c>
    </row>
    <row r="1488" spans="1:4" x14ac:dyDescent="0.2">
      <c r="A1488" s="5">
        <v>1427</v>
      </c>
      <c r="B1488" s="138">
        <f>'Expenditures 15-22'!K257</f>
        <v>23175</v>
      </c>
      <c r="C1488" s="2" t="s">
        <v>594</v>
      </c>
      <c r="D1488" s="2" t="str">
        <f t="shared" si="22"/>
        <v>Error?</v>
      </c>
    </row>
    <row r="1489" spans="1:4" x14ac:dyDescent="0.2">
      <c r="A1489" s="5">
        <v>1428</v>
      </c>
      <c r="B1489" s="138">
        <f>'Expenditures 15-22'!K259</f>
        <v>83794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83794</v>
      </c>
      <c r="C1491" s="2" t="s">
        <v>594</v>
      </c>
      <c r="D1491" s="2" t="str">
        <f t="shared" si="22"/>
        <v>Error?</v>
      </c>
    </row>
    <row r="1492" spans="1:4" x14ac:dyDescent="0.2">
      <c r="A1492" s="5">
        <v>1431</v>
      </c>
      <c r="B1492" s="138">
        <f>'Expenditures 15-22'!K263</f>
        <v>2490</v>
      </c>
      <c r="C1492" s="2" t="s">
        <v>594</v>
      </c>
      <c r="D1492" s="2" t="str">
        <f t="shared" si="22"/>
        <v>Error?</v>
      </c>
    </row>
    <row r="1493" spans="1:4" x14ac:dyDescent="0.2">
      <c r="A1493" s="5">
        <v>1432</v>
      </c>
      <c r="B1493" s="138">
        <f>'Expenditures 15-22'!K264</f>
        <v>25658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113744</v>
      </c>
      <c r="C1495" s="2" t="s">
        <v>594</v>
      </c>
      <c r="D1495" s="2" t="str">
        <f t="shared" si="22"/>
        <v>Error?</v>
      </c>
    </row>
    <row r="1496" spans="1:4" x14ac:dyDescent="0.2">
      <c r="A1496" s="5">
        <v>1435</v>
      </c>
      <c r="B1496" s="138">
        <f>'Expenditures 15-22'!K267</f>
        <v>120973</v>
      </c>
      <c r="C1496" s="2" t="s">
        <v>594</v>
      </c>
      <c r="D1496" s="2" t="str">
        <f t="shared" si="22"/>
        <v>Error?</v>
      </c>
    </row>
    <row r="1497" spans="1:4" x14ac:dyDescent="0.2">
      <c r="A1497" s="5">
        <v>1436</v>
      </c>
      <c r="B1497" s="138">
        <f>'Expenditures 15-22'!K268</f>
        <v>34466</v>
      </c>
      <c r="C1497" s="2" t="s">
        <v>594</v>
      </c>
      <c r="D1497" s="2" t="str">
        <f t="shared" si="22"/>
        <v>Error?</v>
      </c>
    </row>
    <row r="1498" spans="1:4" x14ac:dyDescent="0.2">
      <c r="A1498" s="5">
        <v>1437</v>
      </c>
      <c r="B1498" s="138">
        <f>'Expenditures 15-22'!K269</f>
        <v>646</v>
      </c>
      <c r="C1498" s="2" t="s">
        <v>594</v>
      </c>
      <c r="D1498" s="2" t="str">
        <f t="shared" si="22"/>
        <v>Error?</v>
      </c>
    </row>
    <row r="1499" spans="1:4" x14ac:dyDescent="0.2">
      <c r="A1499" s="10">
        <v>1438</v>
      </c>
      <c r="D1499" s="2" t="str">
        <f t="shared" si="22"/>
        <v>OK</v>
      </c>
    </row>
    <row r="1500" spans="1:4" x14ac:dyDescent="0.2">
      <c r="A1500" s="5">
        <v>1439</v>
      </c>
      <c r="B1500" s="138">
        <f>'Expenditures 15-22'!K270</f>
        <v>297977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546870</v>
      </c>
      <c r="C1510" s="2" t="s">
        <v>594</v>
      </c>
      <c r="D1510" s="2" t="str">
        <f t="shared" si="22"/>
        <v>Error?</v>
      </c>
    </row>
    <row r="1511" spans="1:4" x14ac:dyDescent="0.2">
      <c r="A1511" s="5">
        <v>1450</v>
      </c>
      <c r="B1511" s="138">
        <f>'Expenditures 15-22'!K280</f>
        <v>8302</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845422</v>
      </c>
      <c r="C1517" s="2" t="s">
        <v>594</v>
      </c>
      <c r="D1517" s="2" t="str">
        <f t="shared" si="22"/>
        <v>Error?</v>
      </c>
    </row>
    <row r="1518" spans="1:4" x14ac:dyDescent="0.2">
      <c r="A1518" s="5">
        <v>1457</v>
      </c>
      <c r="B1518" s="138">
        <f>'Expenditures 15-22'!K296</f>
        <v>51254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112534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12408081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16212649</v>
      </c>
      <c r="C1630" s="2" t="s">
        <v>594</v>
      </c>
      <c r="D1630" s="2" t="str">
        <f t="shared" si="24"/>
        <v>Error?</v>
      </c>
    </row>
    <row r="1631" spans="1:4" x14ac:dyDescent="0.2">
      <c r="A1631" s="5">
        <v>1570</v>
      </c>
      <c r="B1631" s="138">
        <f>'Acct Summary 7-8'!D79</f>
        <v>5198927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3640439</v>
      </c>
      <c r="C1644" s="2" t="s">
        <v>594</v>
      </c>
      <c r="D1644" s="2" t="str">
        <f t="shared" si="24"/>
        <v>Error?</v>
      </c>
    </row>
    <row r="1645" spans="1:4" x14ac:dyDescent="0.2">
      <c r="A1645" s="5">
        <v>1584</v>
      </c>
      <c r="B1645" s="138">
        <f>'Acct Summary 7-8'!E79</f>
        <v>2129318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2581265</v>
      </c>
      <c r="C1658" s="2" t="s">
        <v>594</v>
      </c>
      <c r="D1658" s="2" t="str">
        <f t="shared" si="24"/>
        <v>Error?</v>
      </c>
    </row>
    <row r="1659" spans="1:4" x14ac:dyDescent="0.2">
      <c r="A1659" s="5">
        <v>1598</v>
      </c>
      <c r="B1659" s="138">
        <f>'Acct Summary 7-8'!F79</f>
        <v>548319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637078</v>
      </c>
      <c r="C1672" s="2" t="s">
        <v>594</v>
      </c>
      <c r="D1672" s="2" t="str">
        <f t="shared" si="25"/>
        <v>Error?</v>
      </c>
    </row>
    <row r="1673" spans="1:4" x14ac:dyDescent="0.2">
      <c r="A1673" s="5">
        <v>1612</v>
      </c>
      <c r="B1673" s="138">
        <f>'Acct Summary 7-8'!G79</f>
        <v>309229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360483</v>
      </c>
      <c r="C1686" s="2" t="s">
        <v>594</v>
      </c>
      <c r="D1686" s="2" t="str">
        <f t="shared" si="25"/>
        <v>Error?</v>
      </c>
    </row>
    <row r="1687" spans="1:4" x14ac:dyDescent="0.2">
      <c r="A1687" s="5">
        <v>1626</v>
      </c>
      <c r="B1687" s="138">
        <f>'Acct Summary 7-8'!H79</f>
        <v>645946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758480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19506695</v>
      </c>
      <c r="C1744" s="2" t="s">
        <v>594</v>
      </c>
      <c r="D1744" s="2" t="str">
        <f t="shared" si="26"/>
        <v>Error?</v>
      </c>
    </row>
    <row r="1745" spans="1:5" x14ac:dyDescent="0.2">
      <c r="A1745" s="5">
        <v>1684</v>
      </c>
      <c r="B1745" s="138">
        <f>'Tax Sched 23'!B5</f>
        <v>2379223</v>
      </c>
      <c r="C1745" s="2" t="s">
        <v>594</v>
      </c>
      <c r="D1745" s="2" t="str">
        <f t="shared" si="26"/>
        <v>Error?</v>
      </c>
    </row>
    <row r="1746" spans="1:5" x14ac:dyDescent="0.2">
      <c r="A1746" s="5">
        <v>1685</v>
      </c>
      <c r="B1746" s="138">
        <f>'Tax Sched 23'!B6</f>
        <v>4335748</v>
      </c>
      <c r="C1746" s="2" t="s">
        <v>594</v>
      </c>
      <c r="D1746" s="2" t="str">
        <f t="shared" si="26"/>
        <v>Error?</v>
      </c>
    </row>
    <row r="1747" spans="1:5" x14ac:dyDescent="0.2">
      <c r="A1747" s="5">
        <v>1686</v>
      </c>
      <c r="B1747" s="138">
        <f>'Tax Sched 23'!B7</f>
        <v>515186</v>
      </c>
      <c r="C1747" s="2" t="s">
        <v>594</v>
      </c>
      <c r="D1747" s="2" t="str">
        <f t="shared" si="26"/>
        <v>Error?</v>
      </c>
    </row>
    <row r="1748" spans="1:5" x14ac:dyDescent="0.2">
      <c r="A1748" s="5">
        <v>1687</v>
      </c>
      <c r="B1748" s="138">
        <f>'Tax Sched 23'!B8</f>
        <v>367771</v>
      </c>
      <c r="C1748" s="2" t="s">
        <v>594</v>
      </c>
      <c r="D1748" s="2" t="str">
        <f t="shared" si="26"/>
        <v>Error?</v>
      </c>
    </row>
    <row r="1749" spans="1:5" x14ac:dyDescent="0.2">
      <c r="A1749" s="5">
        <v>1688</v>
      </c>
      <c r="B1749" s="138">
        <f>'Tax Sched 23'!B10</f>
        <v>112323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127977</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260467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28046581</v>
      </c>
      <c r="C1759" s="2" t="s">
        <v>594</v>
      </c>
      <c r="D1759" s="2" t="str">
        <f t="shared" si="26"/>
        <v>Error?</v>
      </c>
    </row>
    <row r="1760" spans="1:5" x14ac:dyDescent="0.2">
      <c r="A1760" s="5">
        <v>1699</v>
      </c>
      <c r="B1760" s="138">
        <f>'Tax Sched 23'!D4</f>
        <v>9028489</v>
      </c>
      <c r="C1760" s="2" t="s">
        <v>594</v>
      </c>
      <c r="D1760" s="2" t="str">
        <f t="shared" si="26"/>
        <v>Error?</v>
      </c>
    </row>
    <row r="1761" spans="1:5" x14ac:dyDescent="0.2">
      <c r="A1761" s="5">
        <v>1700</v>
      </c>
      <c r="B1761" s="138">
        <f>'Tax Sched 23'!D5</f>
        <v>1273934</v>
      </c>
      <c r="C1761" s="2" t="s">
        <v>594</v>
      </c>
      <c r="D1761" s="2" t="str">
        <f t="shared" si="26"/>
        <v>Error?</v>
      </c>
    </row>
    <row r="1762" spans="1:5" s="8" customFormat="1" x14ac:dyDescent="0.2">
      <c r="A1762" s="5">
        <v>1701</v>
      </c>
      <c r="B1762" s="138">
        <f>'Tax Sched 23'!D6</f>
        <v>1903157</v>
      </c>
      <c r="C1762" s="2" t="s">
        <v>594</v>
      </c>
      <c r="D1762" s="2" t="str">
        <f t="shared" si="26"/>
        <v>Error?</v>
      </c>
      <c r="E1762" s="9"/>
    </row>
    <row r="1763" spans="1:5" x14ac:dyDescent="0.2">
      <c r="A1763" s="5">
        <v>1702</v>
      </c>
      <c r="B1763" s="138">
        <f>'Tax Sched 23'!D7</f>
        <v>242516</v>
      </c>
      <c r="C1763" s="2" t="s">
        <v>594</v>
      </c>
      <c r="D1763" s="2" t="str">
        <f t="shared" si="26"/>
        <v>Error?</v>
      </c>
    </row>
    <row r="1764" spans="1:5" x14ac:dyDescent="0.2">
      <c r="A1764" s="5">
        <v>1703</v>
      </c>
      <c r="B1764" s="138">
        <f>'Tax Sched 23'!D8</f>
        <v>173131</v>
      </c>
      <c r="C1764" s="2" t="s">
        <v>594</v>
      </c>
      <c r="D1764" s="2" t="str">
        <f t="shared" si="26"/>
        <v>Error?</v>
      </c>
    </row>
    <row r="1765" spans="1:5" x14ac:dyDescent="0.2">
      <c r="A1765" s="5">
        <v>1704</v>
      </c>
      <c r="B1765" s="138">
        <f>'Tax Sched 23'!D10</f>
        <v>52880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60243</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122608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13064645</v>
      </c>
      <c r="C1775" s="2" t="s">
        <v>594</v>
      </c>
      <c r="D1775" s="2" t="str">
        <f t="shared" si="26"/>
        <v>Error?</v>
      </c>
    </row>
    <row r="1776" spans="1:5" x14ac:dyDescent="0.2">
      <c r="A1776" s="5">
        <v>1715</v>
      </c>
      <c r="B1776" s="138">
        <f>'Tax Sched 23'!C4</f>
        <v>10478206</v>
      </c>
      <c r="D1776" s="2" t="str">
        <f t="shared" si="26"/>
        <v>Error?</v>
      </c>
    </row>
    <row r="1777" spans="1:4" x14ac:dyDescent="0.2">
      <c r="A1777" s="5">
        <v>1716</v>
      </c>
      <c r="B1777" s="138">
        <f>'Tax Sched 23'!C5</f>
        <v>1105289</v>
      </c>
      <c r="D1777" s="2" t="str">
        <f t="shared" si="26"/>
        <v>Error?</v>
      </c>
    </row>
    <row r="1778" spans="1:4" x14ac:dyDescent="0.2">
      <c r="A1778" s="5">
        <v>1717</v>
      </c>
      <c r="B1778" s="138">
        <f>'Tax Sched 23'!C6</f>
        <v>2432591</v>
      </c>
      <c r="D1778" s="2" t="str">
        <f t="shared" si="26"/>
        <v>Error?</v>
      </c>
    </row>
    <row r="1779" spans="1:4" x14ac:dyDescent="0.2">
      <c r="A1779" s="5">
        <v>1718</v>
      </c>
      <c r="B1779" s="138">
        <f>'Tax Sched 23'!C7</f>
        <v>272670</v>
      </c>
      <c r="D1779" s="2" t="str">
        <f t="shared" si="26"/>
        <v>Error?</v>
      </c>
    </row>
    <row r="1780" spans="1:4" x14ac:dyDescent="0.2">
      <c r="A1780" s="5">
        <v>1719</v>
      </c>
      <c r="B1780" s="138">
        <f>'Tax Sched 23'!C8</f>
        <v>194640</v>
      </c>
      <c r="D1780" s="2" t="str">
        <f t="shared" si="26"/>
        <v>Error?</v>
      </c>
    </row>
    <row r="1781" spans="1:4" x14ac:dyDescent="0.2">
      <c r="A1781" s="5">
        <v>1720</v>
      </c>
      <c r="B1781" s="138">
        <f>'Tax Sched 23'!C10</f>
        <v>59443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67734</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137859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14981936</v>
      </c>
      <c r="C1791" s="2" t="s">
        <v>594</v>
      </c>
      <c r="D1791" s="2" t="str">
        <f t="shared" ref="D1791:D1854" si="27">IF(ISBLANK(B1791),"OK",IF(A1791-B1791=0,"OK","Error?"))</f>
        <v>Error?</v>
      </c>
    </row>
    <row r="1792" spans="1:4" x14ac:dyDescent="0.2">
      <c r="A1792" s="5">
        <v>1731</v>
      </c>
      <c r="B1792" s="138">
        <f>'Tax Sched 23'!F4</f>
        <v>9189925</v>
      </c>
      <c r="C1792" s="2" t="s">
        <v>594</v>
      </c>
      <c r="D1792" s="2" t="str">
        <f t="shared" si="27"/>
        <v>Error?</v>
      </c>
    </row>
    <row r="1793" spans="1:4" x14ac:dyDescent="0.2">
      <c r="A1793" s="5">
        <v>1732</v>
      </c>
      <c r="B1793" s="138">
        <f>'Tax Sched 23'!F5</f>
        <v>969315</v>
      </c>
      <c r="C1793" s="2" t="s">
        <v>594</v>
      </c>
      <c r="D1793" s="2" t="str">
        <f t="shared" si="27"/>
        <v>Error?</v>
      </c>
    </row>
    <row r="1794" spans="1:4" x14ac:dyDescent="0.2">
      <c r="A1794" s="5">
        <v>1733</v>
      </c>
      <c r="B1794" s="138">
        <f>'Tax Sched 23'!F6</f>
        <v>2133485</v>
      </c>
      <c r="C1794" s="2" t="s">
        <v>594</v>
      </c>
      <c r="D1794" s="2" t="str">
        <f t="shared" si="27"/>
        <v>Error?</v>
      </c>
    </row>
    <row r="1795" spans="1:4" x14ac:dyDescent="0.2">
      <c r="A1795" s="5">
        <v>1734</v>
      </c>
      <c r="B1795" s="138">
        <f>'Tax Sched 23'!F7</f>
        <v>239143</v>
      </c>
      <c r="C1795" s="2" t="s">
        <v>594</v>
      </c>
      <c r="D1795" s="2" t="str">
        <f t="shared" si="27"/>
        <v>Error?</v>
      </c>
    </row>
    <row r="1796" spans="1:4" x14ac:dyDescent="0.2">
      <c r="A1796" s="5">
        <v>1735</v>
      </c>
      <c r="B1796" s="138">
        <f>'Tax Sched 23'!F8</f>
        <v>170708</v>
      </c>
      <c r="C1796" s="2" t="s">
        <v>594</v>
      </c>
      <c r="D1796" s="2" t="str">
        <f t="shared" si="27"/>
        <v>Error?</v>
      </c>
    </row>
    <row r="1797" spans="1:4" x14ac:dyDescent="0.2">
      <c r="A1797" s="5">
        <v>1736</v>
      </c>
      <c r="B1797" s="138">
        <f>'Tax Sched 23'!F10</f>
        <v>52134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59405</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120909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13139816</v>
      </c>
      <c r="C1807" s="2" t="s">
        <v>594</v>
      </c>
      <c r="D1807" s="2" t="str">
        <f t="shared" si="27"/>
        <v>Error?</v>
      </c>
    </row>
    <row r="1808" spans="1:4" x14ac:dyDescent="0.2">
      <c r="A1808" s="5">
        <v>1747</v>
      </c>
      <c r="B1808" s="138">
        <f>'Tax Sched 23'!E4</f>
        <v>19668131</v>
      </c>
      <c r="D1808" s="2" t="str">
        <f t="shared" si="27"/>
        <v>Error?</v>
      </c>
    </row>
    <row r="1809" spans="1:4" x14ac:dyDescent="0.2">
      <c r="A1809" s="5">
        <v>1748</v>
      </c>
      <c r="B1809" s="138">
        <f>'Tax Sched 23'!E5</f>
        <v>2074604</v>
      </c>
      <c r="D1809" s="2" t="str">
        <f t="shared" si="27"/>
        <v>Error?</v>
      </c>
    </row>
    <row r="1810" spans="1:4" x14ac:dyDescent="0.2">
      <c r="A1810" s="5">
        <v>1749</v>
      </c>
      <c r="B1810" s="138">
        <f>'Tax Sched 23'!E6</f>
        <v>4566076</v>
      </c>
      <c r="D1810" s="2" t="str">
        <f t="shared" si="27"/>
        <v>Error?</v>
      </c>
    </row>
    <row r="1811" spans="1:4" x14ac:dyDescent="0.2">
      <c r="A1811" s="5">
        <v>1750</v>
      </c>
      <c r="B1811" s="138">
        <f>'Tax Sched 23'!E7</f>
        <v>511813</v>
      </c>
      <c r="D1811" s="2" t="str">
        <f t="shared" si="27"/>
        <v>Error?</v>
      </c>
    </row>
    <row r="1812" spans="1:4" x14ac:dyDescent="0.2">
      <c r="A1812" s="5">
        <v>1751</v>
      </c>
      <c r="B1812" s="138">
        <f>'Tax Sched 23'!E8</f>
        <v>365348</v>
      </c>
      <c r="D1812" s="2" t="str">
        <f t="shared" si="27"/>
        <v>Error?</v>
      </c>
    </row>
    <row r="1813" spans="1:4" x14ac:dyDescent="0.2">
      <c r="A1813" s="5">
        <v>1752</v>
      </c>
      <c r="B1813" s="138">
        <f>'Tax Sched 23'!E10</f>
        <v>111577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127139</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258768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28121752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12685000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260467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260467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260467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3150000</v>
      </c>
      <c r="D2008" s="2" t="str">
        <f t="shared" si="30"/>
        <v>Error?</v>
      </c>
    </row>
    <row r="2009" spans="1:4" x14ac:dyDescent="0.2">
      <c r="A2009" s="5">
        <v>1948</v>
      </c>
      <c r="B2009" s="138">
        <f>'Cap Outlay Deprec 26'!C8</f>
        <v>28181313</v>
      </c>
      <c r="D2009" s="2" t="str">
        <f t="shared" si="30"/>
        <v>Error?</v>
      </c>
    </row>
    <row r="2010" spans="1:4" x14ac:dyDescent="0.2">
      <c r="A2010" s="5">
        <v>1949</v>
      </c>
      <c r="B2010" s="138">
        <f>'Cap Outlay Deprec 26'!C10</f>
        <v>4061092</v>
      </c>
      <c r="D2010" s="2" t="str">
        <f t="shared" si="30"/>
        <v>Error?</v>
      </c>
    </row>
    <row r="2011" spans="1:4" x14ac:dyDescent="0.2">
      <c r="A2011" s="5">
        <v>1950</v>
      </c>
      <c r="B2011" s="138">
        <f>'Cap Outlay Deprec 26'!C12</f>
        <v>1495355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36887760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577820</v>
      </c>
      <c r="D2015" s="2" t="str">
        <f t="shared" si="30"/>
        <v>Error?</v>
      </c>
    </row>
    <row r="2016" spans="1:4" x14ac:dyDescent="0.2">
      <c r="A2016" s="5">
        <v>1955</v>
      </c>
      <c r="B2016" s="138">
        <f>'Cap Outlay Deprec 26'!D10</f>
        <v>38753</v>
      </c>
      <c r="D2016" s="2" t="str">
        <f t="shared" si="30"/>
        <v>Error?</v>
      </c>
    </row>
    <row r="2017" spans="1:4" x14ac:dyDescent="0.2">
      <c r="A2017" s="5">
        <v>1956</v>
      </c>
      <c r="B2017" s="138">
        <f>'Cap Outlay Deprec 26'!D12</f>
        <v>195182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811755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66580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66580</v>
      </c>
      <c r="C2025" s="2" t="s">
        <v>594</v>
      </c>
      <c r="D2025" s="2" t="str">
        <f t="shared" si="30"/>
        <v>Error?</v>
      </c>
    </row>
    <row r="2026" spans="1:4" x14ac:dyDescent="0.2">
      <c r="A2026" s="5">
        <v>1965</v>
      </c>
      <c r="B2026" s="138">
        <f>'Cap Outlay Deprec 26'!F5</f>
        <v>3150000</v>
      </c>
      <c r="C2026" s="2" t="s">
        <v>594</v>
      </c>
      <c r="D2026" s="2" t="str">
        <f t="shared" si="30"/>
        <v>Error?</v>
      </c>
    </row>
    <row r="2027" spans="1:4" x14ac:dyDescent="0.2">
      <c r="A2027" s="5">
        <v>1966</v>
      </c>
      <c r="B2027" s="138">
        <f>'Cap Outlay Deprec 26'!F8</f>
        <v>28759133</v>
      </c>
      <c r="C2027" s="2" t="s">
        <v>594</v>
      </c>
      <c r="D2027" s="2" t="str">
        <f t="shared" si="30"/>
        <v>Error?</v>
      </c>
    </row>
    <row r="2028" spans="1:4" x14ac:dyDescent="0.2">
      <c r="A2028" s="5">
        <v>1967</v>
      </c>
      <c r="B2028" s="138">
        <f>'Cap Outlay Deprec 26'!F10</f>
        <v>4099845</v>
      </c>
      <c r="C2028" s="2" t="s">
        <v>594</v>
      </c>
      <c r="D2028" s="2" t="str">
        <f t="shared" si="30"/>
        <v>Error?</v>
      </c>
    </row>
    <row r="2029" spans="1:4" x14ac:dyDescent="0.2">
      <c r="A2029" s="5">
        <v>1968</v>
      </c>
      <c r="B2029" s="138">
        <f>'Cap Outlay Deprec 26'!F12</f>
        <v>1623957</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37632935</v>
      </c>
      <c r="C2031" s="2" t="s">
        <v>594</v>
      </c>
      <c r="D2031" s="2" t="str">
        <f t="shared" si="30"/>
        <v>Error?</v>
      </c>
    </row>
    <row r="2032" spans="1:4" x14ac:dyDescent="0.2">
      <c r="A2032" s="10">
        <v>1971</v>
      </c>
      <c r="D2032" s="2" t="str">
        <f t="shared" si="30"/>
        <v>OK</v>
      </c>
    </row>
    <row r="2033" spans="1:4" x14ac:dyDescent="0.2">
      <c r="A2033" s="5">
        <v>1972</v>
      </c>
      <c r="B2033" s="138">
        <f>'Cap Outlay Deprec 26'!H8</f>
        <v>11324707</v>
      </c>
      <c r="D2033" s="2" t="str">
        <f t="shared" si="30"/>
        <v>Error?</v>
      </c>
    </row>
    <row r="2034" spans="1:4" x14ac:dyDescent="0.2">
      <c r="A2034" s="5">
        <v>1973</v>
      </c>
      <c r="B2034" s="138">
        <f>'Cap Outlay Deprec 26'!H10</f>
        <v>2491700</v>
      </c>
      <c r="D2034" s="2" t="str">
        <f t="shared" si="30"/>
        <v>Error?</v>
      </c>
    </row>
    <row r="2035" spans="1:4" x14ac:dyDescent="0.2">
      <c r="A2035" s="5">
        <v>1974</v>
      </c>
      <c r="B2035" s="138">
        <f>'Cap Outlay Deprec 26'!H12</f>
        <v>984049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14800456</v>
      </c>
      <c r="C2037" s="2" t="s">
        <v>594</v>
      </c>
      <c r="D2037" s="2" t="str">
        <f t="shared" si="30"/>
        <v>Error?</v>
      </c>
    </row>
    <row r="2038" spans="1:4" x14ac:dyDescent="0.2">
      <c r="A2038" s="10">
        <v>1977</v>
      </c>
      <c r="D2038" s="2" t="str">
        <f t="shared" si="30"/>
        <v>OK</v>
      </c>
    </row>
    <row r="2039" spans="1:4" x14ac:dyDescent="0.2">
      <c r="A2039" s="5">
        <v>1978</v>
      </c>
      <c r="B2039" s="138">
        <f>'Cap Outlay Deprec 26'!I8</f>
        <v>495721</v>
      </c>
      <c r="D2039" s="2" t="str">
        <f t="shared" si="30"/>
        <v>Error?</v>
      </c>
    </row>
    <row r="2040" spans="1:4" x14ac:dyDescent="0.2">
      <c r="A2040" s="5">
        <v>1979</v>
      </c>
      <c r="B2040" s="138">
        <f>'Cap Outlay Deprec 26'!I10</f>
        <v>108757</v>
      </c>
      <c r="D2040" s="2" t="str">
        <f t="shared" si="30"/>
        <v>Error?</v>
      </c>
    </row>
    <row r="2041" spans="1:4" x14ac:dyDescent="0.2">
      <c r="A2041" s="5">
        <v>1980</v>
      </c>
      <c r="B2041" s="138">
        <f>'Cap Outlay Deprec 26'!I12</f>
        <v>104993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709471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66580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66580</v>
      </c>
      <c r="C2049" s="2" t="s">
        <v>594</v>
      </c>
      <c r="D2049" s="2" t="str">
        <f t="shared" si="31"/>
        <v>Error?</v>
      </c>
    </row>
    <row r="2050" spans="1:4" x14ac:dyDescent="0.2">
      <c r="A2050" s="10">
        <v>1989</v>
      </c>
      <c r="D2050" s="2" t="str">
        <f t="shared" si="31"/>
        <v>OK</v>
      </c>
    </row>
    <row r="2051" spans="1:4" x14ac:dyDescent="0.2">
      <c r="A2051" s="5">
        <v>1990</v>
      </c>
      <c r="B2051" s="138">
        <f>'Cap Outlay Deprec 26'!K8</f>
        <v>11820428</v>
      </c>
      <c r="C2051" s="2" t="s">
        <v>594</v>
      </c>
      <c r="D2051" s="2" t="str">
        <f t="shared" si="31"/>
        <v>Error?</v>
      </c>
    </row>
    <row r="2052" spans="1:4" x14ac:dyDescent="0.2">
      <c r="A2052" s="5">
        <v>1991</v>
      </c>
      <c r="B2052" s="138">
        <f>'Cap Outlay Deprec 26'!K10</f>
        <v>2600457</v>
      </c>
      <c r="C2052" s="2" t="s">
        <v>594</v>
      </c>
      <c r="D2052" s="2" t="str">
        <f t="shared" si="31"/>
        <v>Error?</v>
      </c>
    </row>
    <row r="2053" spans="1:4" x14ac:dyDescent="0.2">
      <c r="A2053" s="5">
        <v>1992</v>
      </c>
      <c r="B2053" s="138">
        <f>'Cap Outlay Deprec 26'!K12</f>
        <v>1022462</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15443347</v>
      </c>
      <c r="C2055" s="2" t="s">
        <v>594</v>
      </c>
      <c r="D2055" s="2" t="str">
        <f t="shared" si="31"/>
        <v>Error?</v>
      </c>
    </row>
    <row r="2056" spans="1:4" x14ac:dyDescent="0.2">
      <c r="A2056" s="5">
        <v>1995</v>
      </c>
      <c r="B2056" s="138">
        <f>'Cap Outlay Deprec 26'!L5</f>
        <v>3150000</v>
      </c>
      <c r="C2056" s="2" t="s">
        <v>594</v>
      </c>
      <c r="D2056" s="2" t="str">
        <f t="shared" si="31"/>
        <v>Error?</v>
      </c>
    </row>
    <row r="2057" spans="1:4" x14ac:dyDescent="0.2">
      <c r="A2057" s="5">
        <v>1996</v>
      </c>
      <c r="B2057" s="138">
        <f>'Cap Outlay Deprec 26'!L8</f>
        <v>16938705</v>
      </c>
      <c r="C2057" s="2" t="s">
        <v>594</v>
      </c>
      <c r="D2057" s="2" t="str">
        <f t="shared" si="31"/>
        <v>Error?</v>
      </c>
    </row>
    <row r="2058" spans="1:4" x14ac:dyDescent="0.2">
      <c r="A2058" s="5">
        <v>1997</v>
      </c>
      <c r="B2058" s="138">
        <f>'Cap Outlay Deprec 26'!L10</f>
        <v>1499388</v>
      </c>
      <c r="C2058" s="2" t="s">
        <v>594</v>
      </c>
      <c r="D2058" s="2" t="str">
        <f t="shared" si="31"/>
        <v>Error?</v>
      </c>
    </row>
    <row r="2059" spans="1:4" x14ac:dyDescent="0.2">
      <c r="A2059" s="5">
        <v>1998</v>
      </c>
      <c r="B2059" s="138">
        <f>'Cap Outlay Deprec 26'!L12</f>
        <v>601495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22189588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1250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224202</v>
      </c>
      <c r="C2088" s="2" t="s">
        <v>594</v>
      </c>
      <c r="D2088" s="2" t="str">
        <f t="shared" si="31"/>
        <v>Error?</v>
      </c>
    </row>
    <row r="2089" spans="1:4" x14ac:dyDescent="0.2">
      <c r="A2089" s="5">
        <v>2028</v>
      </c>
      <c r="B2089" s="138">
        <f>'Expenditures 15-22'!K92</f>
        <v>349059</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251424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209221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633725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21747969</v>
      </c>
      <c r="C2551" s="2" t="s">
        <v>594</v>
      </c>
      <c r="D2551" s="2" t="str">
        <f t="shared" si="38"/>
        <v>Error?</v>
      </c>
    </row>
    <row r="2552" spans="1:4" x14ac:dyDescent="0.2">
      <c r="A2552" s="10">
        <v>2491</v>
      </c>
      <c r="D2552" s="2" t="str">
        <f t="shared" si="38"/>
        <v>OK</v>
      </c>
    </row>
    <row r="2553" spans="1:4" x14ac:dyDescent="0.2">
      <c r="A2553" s="5">
        <v>2492</v>
      </c>
      <c r="B2553" s="138">
        <f>'Acct Summary 7-8'!C6</f>
        <v>6192685</v>
      </c>
      <c r="C2553" s="2" t="s">
        <v>594</v>
      </c>
      <c r="D2553" s="2" t="str">
        <f t="shared" si="38"/>
        <v>Error?</v>
      </c>
    </row>
    <row r="2554" spans="1:4" x14ac:dyDescent="0.2">
      <c r="A2554" s="5">
        <v>2493</v>
      </c>
      <c r="B2554" s="138">
        <f>'Acct Summary 7-8'!C7</f>
        <v>1338134</v>
      </c>
      <c r="C2554" s="2" t="s">
        <v>594</v>
      </c>
      <c r="D2554" s="2" t="str">
        <f t="shared" si="38"/>
        <v>Error?</v>
      </c>
    </row>
    <row r="2555" spans="1:4" x14ac:dyDescent="0.2">
      <c r="A2555" s="5">
        <v>2494</v>
      </c>
      <c r="B2555" s="138">
        <f>'Acct Summary 7-8'!C8</f>
        <v>29278788</v>
      </c>
      <c r="C2555" s="2" t="s">
        <v>594</v>
      </c>
      <c r="D2555" s="2" t="str">
        <f t="shared" si="38"/>
        <v>Error?</v>
      </c>
    </row>
    <row r="2556" spans="1:4" x14ac:dyDescent="0.2">
      <c r="A2556" s="5">
        <v>2495</v>
      </c>
      <c r="B2556" s="138">
        <f>'Acct Summary 7-8'!C12</f>
        <v>16951778</v>
      </c>
      <c r="C2556" s="2" t="s">
        <v>594</v>
      </c>
      <c r="D2556" s="2" t="str">
        <f t="shared" si="38"/>
        <v>Error?</v>
      </c>
    </row>
    <row r="2557" spans="1:4" x14ac:dyDescent="0.2">
      <c r="A2557" s="5">
        <v>2496</v>
      </c>
      <c r="B2557" s="138">
        <f>'Acct Summary 7-8'!C13</f>
        <v>7763639</v>
      </c>
      <c r="C2557" s="2" t="s">
        <v>594</v>
      </c>
      <c r="D2557" s="2" t="str">
        <f t="shared" si="38"/>
        <v>Error?</v>
      </c>
    </row>
    <row r="2558" spans="1:4" x14ac:dyDescent="0.2">
      <c r="A2558" s="5">
        <v>2497</v>
      </c>
      <c r="B2558" s="138">
        <f>'Acct Summary 7-8'!C14</f>
        <v>185542</v>
      </c>
      <c r="C2558" s="2" t="s">
        <v>594</v>
      </c>
      <c r="D2558" s="2" t="str">
        <f t="shared" si="38"/>
        <v>Error?</v>
      </c>
    </row>
    <row r="2559" spans="1:4" x14ac:dyDescent="0.2">
      <c r="A2559" s="5">
        <v>2498</v>
      </c>
      <c r="B2559" s="138">
        <f>'Acct Summary 7-8'!C15</f>
        <v>573261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25474220</v>
      </c>
      <c r="C2561" s="2" t="s">
        <v>594</v>
      </c>
      <c r="D2561" s="2" t="str">
        <f t="shared" si="39"/>
        <v>Error?</v>
      </c>
    </row>
    <row r="2562" spans="1:4" x14ac:dyDescent="0.2">
      <c r="A2562" s="5">
        <v>2501</v>
      </c>
      <c r="B2562" s="138">
        <f>'Acct Summary 7-8'!C20</f>
        <v>3804568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2578191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2578191</v>
      </c>
      <c r="C2568" s="2" t="s">
        <v>594</v>
      </c>
      <c r="D2568" s="2" t="str">
        <f t="shared" si="39"/>
        <v>Error?</v>
      </c>
    </row>
    <row r="2569" spans="1:4" x14ac:dyDescent="0.2">
      <c r="A2569" s="5">
        <v>2508</v>
      </c>
      <c r="B2569" s="138">
        <f>'Acct Summary 7-8'!D13</f>
        <v>4136679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4136679</v>
      </c>
      <c r="C2573" s="2" t="s">
        <v>594</v>
      </c>
      <c r="D2573" s="2" t="str">
        <f t="shared" si="39"/>
        <v>Error?</v>
      </c>
    </row>
    <row r="2574" spans="1:4" x14ac:dyDescent="0.2">
      <c r="A2574" s="5">
        <v>2513</v>
      </c>
      <c r="B2574" s="138">
        <f>'Acct Summary 7-8'!D20</f>
        <v>-1558488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526167</v>
      </c>
      <c r="C2591" s="2" t="s">
        <v>594</v>
      </c>
      <c r="D2591" s="2" t="str">
        <f t="shared" si="39"/>
        <v>Error?</v>
      </c>
    </row>
    <row r="2592" spans="1:4" x14ac:dyDescent="0.2">
      <c r="A2592" s="10">
        <v>2531</v>
      </c>
      <c r="D2592" s="2" t="str">
        <f t="shared" si="39"/>
        <v>OK</v>
      </c>
    </row>
    <row r="2593" spans="1:4" x14ac:dyDescent="0.2">
      <c r="A2593" s="5">
        <v>2532</v>
      </c>
      <c r="B2593" s="138">
        <f>'Acct Summary 7-8'!F6</f>
        <v>964350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1490517</v>
      </c>
      <c r="C2595" s="2" t="s">
        <v>594</v>
      </c>
      <c r="D2595" s="2" t="str">
        <f t="shared" si="39"/>
        <v>Error?</v>
      </c>
    </row>
    <row r="2596" spans="1:4" x14ac:dyDescent="0.2">
      <c r="A2596" s="5">
        <v>2535</v>
      </c>
      <c r="B2596" s="138">
        <f>'Acct Summary 7-8'!F13</f>
        <v>1401758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1401758</v>
      </c>
      <c r="C2600" s="2" t="s">
        <v>594</v>
      </c>
      <c r="D2600" s="2" t="str">
        <f t="shared" si="39"/>
        <v>Error?</v>
      </c>
    </row>
    <row r="2601" spans="1:4" x14ac:dyDescent="0.2">
      <c r="A2601" s="5">
        <v>2540</v>
      </c>
      <c r="B2601" s="138">
        <f>'Acct Summary 7-8'!F20</f>
        <v>88759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896676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896676</v>
      </c>
      <c r="C2606" s="2" t="s">
        <v>594</v>
      </c>
      <c r="D2606" s="2" t="str">
        <f t="shared" si="39"/>
        <v>Error?</v>
      </c>
    </row>
    <row r="2607" spans="1:4" x14ac:dyDescent="0.2">
      <c r="A2607" s="5">
        <v>2546</v>
      </c>
      <c r="B2607" s="138">
        <f>'Acct Summary 7-8'!G12</f>
        <v>290250</v>
      </c>
      <c r="C2607" s="2" t="s">
        <v>594</v>
      </c>
      <c r="D2607" s="2" t="str">
        <f t="shared" si="39"/>
        <v>Error?</v>
      </c>
    </row>
    <row r="2608" spans="1:4" x14ac:dyDescent="0.2">
      <c r="A2608" s="5">
        <v>2547</v>
      </c>
      <c r="B2608" s="138">
        <f>'Acct Summary 7-8'!G13</f>
        <v>546870</v>
      </c>
      <c r="C2608" s="2" t="s">
        <v>594</v>
      </c>
      <c r="D2608" s="2" t="str">
        <f t="shared" si="39"/>
        <v>Error?</v>
      </c>
    </row>
    <row r="2609" spans="1:4" x14ac:dyDescent="0.2">
      <c r="A2609" s="5">
        <v>2548</v>
      </c>
      <c r="B2609" s="138">
        <f>'Acct Summary 7-8'!G14</f>
        <v>8302</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845422</v>
      </c>
      <c r="C2612" s="2" t="s">
        <v>594</v>
      </c>
      <c r="D2612" s="2" t="str">
        <f t="shared" si="39"/>
        <v>Error?</v>
      </c>
    </row>
    <row r="2613" spans="1:4" x14ac:dyDescent="0.2">
      <c r="A2613" s="5">
        <v>2552</v>
      </c>
      <c r="B2613" s="138">
        <f>'Acct Summary 7-8'!G20</f>
        <v>51254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4372760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4372760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3920813</v>
      </c>
      <c r="C2634" s="2" t="s">
        <v>594</v>
      </c>
      <c r="D2634" s="2" t="str">
        <f t="shared" si="40"/>
        <v>Error?</v>
      </c>
    </row>
    <row r="2635" spans="1:4" x14ac:dyDescent="0.2">
      <c r="A2635" s="5">
        <v>2574</v>
      </c>
      <c r="B2635" s="138">
        <f>'Acct Summary 7-8'!E17</f>
        <v>3920813</v>
      </c>
      <c r="C2635" s="2" t="s">
        <v>594</v>
      </c>
      <c r="D2635" s="2" t="str">
        <f t="shared" si="40"/>
        <v>Error?</v>
      </c>
    </row>
    <row r="2636" spans="1:4" x14ac:dyDescent="0.2">
      <c r="A2636" s="5">
        <v>2575</v>
      </c>
      <c r="B2636" s="138">
        <f>'Acct Summary 7-8'!E20</f>
        <v>451947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112534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112534</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112534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222952</v>
      </c>
      <c r="C2789" s="2" t="s">
        <v>594</v>
      </c>
      <c r="D2789" s="2" t="str">
        <f t="shared" si="42"/>
        <v>Error?</v>
      </c>
    </row>
    <row r="2790" spans="1:4" x14ac:dyDescent="0.2">
      <c r="A2790" s="5">
        <v>2729</v>
      </c>
      <c r="B2790" s="138">
        <f>'Expenditures 15-22'!E102</f>
        <v>222952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74037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690959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70000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230231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690959</v>
      </c>
      <c r="D2912" s="2" t="str">
        <f t="shared" si="44"/>
        <v>Error?</v>
      </c>
    </row>
    <row r="2913" spans="1:4" x14ac:dyDescent="0.2">
      <c r="A2913" s="5">
        <v>2852</v>
      </c>
      <c r="B2913" s="138">
        <f>'Assets-Liab 5-6'!I41</f>
        <v>690959</v>
      </c>
      <c r="C2913" s="2" t="s">
        <v>594</v>
      </c>
      <c r="D2913" s="2" t="str">
        <f t="shared" si="44"/>
        <v>Error?</v>
      </c>
    </row>
    <row r="2914" spans="1:4" x14ac:dyDescent="0.2">
      <c r="A2914" s="5">
        <v>2853</v>
      </c>
      <c r="B2914" s="138">
        <f>'Assets-Liab 5-6'!L33</f>
        <v>230231</v>
      </c>
      <c r="D2914" s="2" t="str">
        <f t="shared" si="44"/>
        <v>Error?</v>
      </c>
    </row>
    <row r="2915" spans="1:4" x14ac:dyDescent="0.2">
      <c r="A2915" s="10">
        <v>2854</v>
      </c>
      <c r="D2915" s="2" t="str">
        <f t="shared" si="44"/>
        <v>OK</v>
      </c>
    </row>
    <row r="2916" spans="1:4" x14ac:dyDescent="0.2">
      <c r="A2916" s="5">
        <v>2855</v>
      </c>
      <c r="B2916" s="138">
        <f>'Assets-Liab 5-6'!L34</f>
        <v>230231</v>
      </c>
      <c r="C2916" s="2" t="s">
        <v>594</v>
      </c>
      <c r="D2916" s="2" t="str">
        <f t="shared" si="44"/>
        <v>Error?</v>
      </c>
    </row>
    <row r="2917" spans="1:4" x14ac:dyDescent="0.2">
      <c r="A2917" s="5">
        <v>2856</v>
      </c>
      <c r="B2917" s="138">
        <f>'Assets-Liab 5-6'!L41</f>
        <v>230231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222952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1250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224202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216437</v>
      </c>
      <c r="D3055" s="2" t="str">
        <f t="shared" si="46"/>
        <v>Error?</v>
      </c>
    </row>
    <row r="3056" spans="1:4" x14ac:dyDescent="0.2">
      <c r="A3056" s="5">
        <v>2995</v>
      </c>
      <c r="B3056" s="138">
        <f>'Expenditures 15-22'!D10</f>
        <v>14786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17828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255893</v>
      </c>
      <c r="C3062" s="2" t="s">
        <v>594</v>
      </c>
      <c r="D3062" s="2" t="str">
        <f t="shared" si="46"/>
        <v>Error?</v>
      </c>
    </row>
    <row r="3063" spans="1:4" x14ac:dyDescent="0.2">
      <c r="A3063" s="10">
        <v>3002</v>
      </c>
      <c r="D3063" s="2" t="str">
        <f t="shared" si="46"/>
        <v>OK</v>
      </c>
    </row>
    <row r="3064" spans="1:4" x14ac:dyDescent="0.2">
      <c r="A3064" s="5">
        <v>3003</v>
      </c>
      <c r="B3064" s="138">
        <f>'Expenditures 15-22'!D219</f>
        <v>7977</v>
      </c>
      <c r="D3064" s="2" t="str">
        <f t="shared" si="46"/>
        <v>Error?</v>
      </c>
    </row>
    <row r="3065" spans="1:4" x14ac:dyDescent="0.2">
      <c r="A3065" s="5">
        <v>3004</v>
      </c>
      <c r="B3065" s="138">
        <f>'Expenditures 15-22'!K219</f>
        <v>7977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113328</v>
      </c>
      <c r="C3225" s="2" t="s">
        <v>594</v>
      </c>
      <c r="D3225" s="2" t="str">
        <f t="shared" si="49"/>
        <v>Error?</v>
      </c>
    </row>
    <row r="3226" spans="1:4" x14ac:dyDescent="0.2">
      <c r="A3226" s="5">
        <v>3165</v>
      </c>
      <c r="B3226" s="138">
        <f>'Acct Summary 7-8'!I8</f>
        <v>113328</v>
      </c>
      <c r="C3226" s="2" t="s">
        <v>594</v>
      </c>
      <c r="D3226" s="2" t="str">
        <f t="shared" si="49"/>
        <v>Error?</v>
      </c>
    </row>
    <row r="3227" spans="1:4" x14ac:dyDescent="0.2">
      <c r="A3227" s="5">
        <v>3166</v>
      </c>
      <c r="B3227" s="138">
        <f>'Acct Summary 7-8'!I20</f>
        <v>113328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3804568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-1558488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88759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51254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451947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112534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113328</v>
      </c>
      <c r="C3320" s="2" t="s">
        <v>594</v>
      </c>
      <c r="D3320" s="2" t="str">
        <f t="shared" si="50"/>
        <v>Error?</v>
      </c>
    </row>
    <row r="3321" spans="1:4" x14ac:dyDescent="0.2">
      <c r="A3321" s="5">
        <v>3260</v>
      </c>
      <c r="B3321" s="138">
        <f>'Acct Summary 7-8'!I79</f>
        <v>577631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690959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2514760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518534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4707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24306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8782</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3073513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142409</v>
      </c>
      <c r="D3387" s="2" t="str">
        <f t="shared" si="51"/>
        <v>Error?</v>
      </c>
    </row>
    <row r="3388" spans="1:4" x14ac:dyDescent="0.2">
      <c r="A3388" s="5">
        <v>3327</v>
      </c>
      <c r="B3388" s="138">
        <f>'Expenditures 15-22'!D217</f>
        <v>113195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142409</v>
      </c>
      <c r="C3390" s="2" t="s">
        <v>594</v>
      </c>
      <c r="D3390" s="2" t="str">
        <f t="shared" si="51"/>
        <v>Error?</v>
      </c>
    </row>
    <row r="3391" spans="1:4" x14ac:dyDescent="0.2">
      <c r="A3391" s="5">
        <v>3330</v>
      </c>
      <c r="B3391" s="138">
        <f>'Expenditures 15-22'!K217</f>
        <v>113195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6180523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2700815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242912</v>
      </c>
      <c r="D3417" s="2" t="str">
        <f t="shared" si="52"/>
        <v>Error?</v>
      </c>
    </row>
    <row r="3418" spans="1:4" x14ac:dyDescent="0.2">
      <c r="A3418" s="10">
        <v>3357</v>
      </c>
      <c r="D3418" s="2" t="str">
        <f t="shared" si="52"/>
        <v>OK</v>
      </c>
    </row>
    <row r="3419" spans="1:4" x14ac:dyDescent="0.2">
      <c r="A3419" s="5">
        <v>3358</v>
      </c>
      <c r="B3419" s="138">
        <f>'Assets-Liab 5-6'!F4</f>
        <v>135864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129957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758480</v>
      </c>
      <c r="D3425" s="2" t="str">
        <f t="shared" si="52"/>
        <v>Error?</v>
      </c>
    </row>
    <row r="3426" spans="1:4" x14ac:dyDescent="0.2">
      <c r="A3426" s="10">
        <v>3365</v>
      </c>
      <c r="D3426" s="2" t="str">
        <f t="shared" si="52"/>
        <v>OK</v>
      </c>
    </row>
    <row r="3427" spans="1:4" x14ac:dyDescent="0.2">
      <c r="A3427" s="5">
        <v>3366</v>
      </c>
      <c r="B3427" s="138">
        <f>'Assets-Liab 5-6'!I4</f>
        <v>616922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160231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441191</v>
      </c>
      <c r="C3446" s="2" t="s">
        <v>594</v>
      </c>
      <c r="D3446" s="2" t="str">
        <f t="shared" si="52"/>
        <v>Error?</v>
      </c>
    </row>
    <row r="3447" spans="1:4" x14ac:dyDescent="0.2">
      <c r="A3447" s="5">
        <v>3386</v>
      </c>
      <c r="B3447" s="138">
        <f>'Tax Sched 23'!D16</f>
        <v>207687</v>
      </c>
      <c r="C3447" s="2" t="s">
        <v>594</v>
      </c>
      <c r="D3447" s="2" t="str">
        <f t="shared" si="52"/>
        <v>Error?</v>
      </c>
    </row>
    <row r="3448" spans="1:4" x14ac:dyDescent="0.2">
      <c r="A3448" s="5">
        <v>3387</v>
      </c>
      <c r="B3448" s="138">
        <f>'Tax Sched 23'!C16</f>
        <v>233504</v>
      </c>
      <c r="D3448" s="2" t="str">
        <f t="shared" si="52"/>
        <v>Error?</v>
      </c>
    </row>
    <row r="3449" spans="1:4" x14ac:dyDescent="0.2">
      <c r="A3449" s="5">
        <v>3388</v>
      </c>
      <c r="B3449" s="138">
        <f>'Tax Sched 23'!F16</f>
        <v>204792</v>
      </c>
      <c r="C3449" s="2" t="s">
        <v>594</v>
      </c>
      <c r="D3449" s="2" t="str">
        <f t="shared" si="52"/>
        <v>Error?</v>
      </c>
    </row>
    <row r="3450" spans="1:4" x14ac:dyDescent="0.2">
      <c r="A3450" s="5">
        <v>3389</v>
      </c>
      <c r="B3450" s="138">
        <f>'Tax Sched 23'!E16</f>
        <v>438296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273251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10613568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39892356</v>
      </c>
      <c r="C4122" s="2" t="s">
        <v>594</v>
      </c>
      <c r="D4122" s="2" t="str">
        <f t="shared" si="63"/>
        <v>Error?</v>
      </c>
    </row>
    <row r="4123" spans="1:4" x14ac:dyDescent="0.2">
      <c r="A4123" s="5">
        <v>4062</v>
      </c>
      <c r="B4123" s="138">
        <f>'Acct Summary 7-8'!D10</f>
        <v>2578191</v>
      </c>
      <c r="C4123" s="2" t="s">
        <v>594</v>
      </c>
      <c r="D4123" s="2" t="str">
        <f t="shared" si="63"/>
        <v>Error?</v>
      </c>
    </row>
    <row r="4124" spans="1:4" x14ac:dyDescent="0.2">
      <c r="A4124" s="5">
        <v>4063</v>
      </c>
      <c r="B4124" s="138">
        <f>'Acct Summary 7-8'!E10</f>
        <v>4372760</v>
      </c>
      <c r="C4124" s="2" t="s">
        <v>594</v>
      </c>
      <c r="D4124" s="2" t="str">
        <f t="shared" si="63"/>
        <v>Error?</v>
      </c>
    </row>
    <row r="4125" spans="1:4" x14ac:dyDescent="0.2">
      <c r="A4125" s="5">
        <v>4064</v>
      </c>
      <c r="B4125" s="138">
        <f>'Acct Summary 7-8'!F10</f>
        <v>1490517</v>
      </c>
      <c r="C4125" s="2" t="s">
        <v>594</v>
      </c>
      <c r="D4125" s="2" t="str">
        <f t="shared" si="63"/>
        <v>Error?</v>
      </c>
    </row>
    <row r="4126" spans="1:4" x14ac:dyDescent="0.2">
      <c r="A4126" s="5">
        <v>4065</v>
      </c>
      <c r="B4126" s="138">
        <f>'Acct Summary 7-8'!G10</f>
        <v>896676</v>
      </c>
      <c r="C4126" s="2" t="s">
        <v>594</v>
      </c>
      <c r="D4126" s="2" t="str">
        <f t="shared" si="63"/>
        <v>Error?</v>
      </c>
    </row>
    <row r="4127" spans="1:4" x14ac:dyDescent="0.2">
      <c r="A4127" s="5">
        <v>4066</v>
      </c>
      <c r="B4127" s="138">
        <f>'Acct Summary 7-8'!H10</f>
        <v>112534</v>
      </c>
      <c r="C4127" s="2" t="s">
        <v>594</v>
      </c>
      <c r="D4127" s="2" t="str">
        <f t="shared" si="63"/>
        <v>Error?</v>
      </c>
    </row>
    <row r="4128" spans="1:4" x14ac:dyDescent="0.2">
      <c r="A4128" s="5">
        <v>4067</v>
      </c>
      <c r="B4128" s="138">
        <f>'Acct Summary 7-8'!I10</f>
        <v>113328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10613568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36087788</v>
      </c>
      <c r="C4136" s="2" t="s">
        <v>594</v>
      </c>
      <c r="D4136" s="2" t="str">
        <f t="shared" si="63"/>
        <v>Error?</v>
      </c>
    </row>
    <row r="4137" spans="1:4" x14ac:dyDescent="0.2">
      <c r="A4137" s="5">
        <v>4076</v>
      </c>
      <c r="B4137" s="138">
        <f>'Acct Summary 7-8'!D19</f>
        <v>4136679</v>
      </c>
      <c r="C4137" s="2" t="s">
        <v>594</v>
      </c>
      <c r="D4137" s="2" t="str">
        <f t="shared" si="63"/>
        <v>Error?</v>
      </c>
    </row>
    <row r="4138" spans="1:4" x14ac:dyDescent="0.2">
      <c r="A4138" s="5">
        <v>4077</v>
      </c>
      <c r="B4138" s="138">
        <f>'Acct Summary 7-8'!E19</f>
        <v>3920813</v>
      </c>
      <c r="C4138" s="2" t="s">
        <v>594</v>
      </c>
      <c r="D4138" s="2" t="str">
        <f t="shared" si="63"/>
        <v>Error?</v>
      </c>
    </row>
    <row r="4139" spans="1:4" x14ac:dyDescent="0.2">
      <c r="A4139" s="5">
        <v>4078</v>
      </c>
      <c r="B4139" s="138">
        <f>'Acct Summary 7-8'!F19</f>
        <v>1401758</v>
      </c>
      <c r="C4139" s="2" t="s">
        <v>594</v>
      </c>
      <c r="D4139" s="2" t="str">
        <f t="shared" si="63"/>
        <v>Error?</v>
      </c>
    </row>
    <row r="4140" spans="1:4" x14ac:dyDescent="0.2">
      <c r="A4140" s="5">
        <v>4079</v>
      </c>
      <c r="B4140" s="138">
        <f>'Acct Summary 7-8'!G19</f>
        <v>845422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9050000</v>
      </c>
      <c r="C4171" s="2" t="s">
        <v>594</v>
      </c>
      <c r="D4171" s="2" t="str">
        <f t="shared" si="64"/>
        <v>Error?</v>
      </c>
    </row>
    <row r="4172" spans="1:4" x14ac:dyDescent="0.2">
      <c r="A4172" s="5">
        <v>4111</v>
      </c>
      <c r="B4172" s="138">
        <f>'Short-Term Long-Term Debt 24'!J49</f>
        <v>6468735</v>
      </c>
      <c r="C4172" s="2" t="s">
        <v>594</v>
      </c>
      <c r="D4172" s="2" t="str">
        <f t="shared" si="64"/>
        <v>Error?</v>
      </c>
    </row>
    <row r="4173" spans="1:4" x14ac:dyDescent="0.2">
      <c r="A4173" s="5">
        <v>4112</v>
      </c>
      <c r="B4173" s="138">
        <f>'Short-Term Long-Term Debt 24'!H49</f>
        <v>3635000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1897.1999999999998</v>
      </c>
      <c r="C4265" s="2" t="s">
        <v>594</v>
      </c>
      <c r="D4265" s="2" t="str">
        <f t="shared" si="65"/>
        <v>Error?</v>
      </c>
      <c r="E4265" s="128"/>
    </row>
    <row r="4266" spans="1:5" x14ac:dyDescent="0.2">
      <c r="A4266" s="12">
        <v>4205</v>
      </c>
      <c r="B4266" s="138">
        <f>('FP Info 3'!F10)*100000</f>
        <v>200</v>
      </c>
      <c r="C4266" s="2" t="s">
        <v>594</v>
      </c>
      <c r="D4266" s="2" t="str">
        <f t="shared" si="65"/>
        <v>Error?</v>
      </c>
      <c r="E4266" s="128"/>
    </row>
    <row r="4267" spans="1:5" x14ac:dyDescent="0.2">
      <c r="A4267" s="12">
        <v>4206</v>
      </c>
      <c r="B4267" s="138">
        <f>('FP Info 3'!H10)*100000</f>
        <v>49.4</v>
      </c>
      <c r="C4267" s="2" t="s">
        <v>594</v>
      </c>
      <c r="D4267" s="2" t="str">
        <f t="shared" si="65"/>
        <v>Error?</v>
      </c>
      <c r="E4267" s="128"/>
    </row>
    <row r="4268" spans="1:5" x14ac:dyDescent="0.2">
      <c r="A4268" s="12">
        <v>4207</v>
      </c>
      <c r="B4268" s="138">
        <f>('FP Info 3'!J10)*100000</f>
        <v>2147</v>
      </c>
      <c r="C4268" s="2" t="s">
        <v>594</v>
      </c>
      <c r="D4268" s="2" t="str">
        <f t="shared" si="65"/>
        <v>Error?</v>
      </c>
    </row>
    <row r="4269" spans="1:5" x14ac:dyDescent="0.2">
      <c r="A4269" s="12">
        <v>4208</v>
      </c>
      <c r="B4269" s="138">
        <f>'FP Info 3'!J16</f>
        <v>21181125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14063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145635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2861</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51250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10.799999999999999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3140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60164</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1036772447</v>
      </c>
      <c r="D4995" s="2" t="str">
        <f t="shared" si="77"/>
        <v>Error?</v>
      </c>
    </row>
    <row r="4996" spans="1:4" x14ac:dyDescent="0.2">
      <c r="A4996" s="12">
        <v>4935</v>
      </c>
      <c r="B4996" s="138">
        <f>'FP Info 3'!H31</f>
        <v>71537298.84300001</v>
      </c>
      <c r="D4996" s="2" t="str">
        <f t="shared" si="77"/>
        <v>Error?</v>
      </c>
    </row>
    <row r="4997" spans="1:4" x14ac:dyDescent="0.2">
      <c r="A4997" s="12">
        <v>4936</v>
      </c>
      <c r="B4997" s="138">
        <f>'FP Info 3'!H37</f>
        <v>9050000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19506695</v>
      </c>
      <c r="D5061" s="2" t="str">
        <f t="shared" si="78"/>
        <v>Error?</v>
      </c>
    </row>
    <row r="5062" spans="1:4" x14ac:dyDescent="0.2">
      <c r="A5062" s="10">
        <v>5001</v>
      </c>
      <c r="D5062" s="2" t="str">
        <f t="shared" si="78"/>
        <v>OK</v>
      </c>
    </row>
    <row r="5063" spans="1:4" x14ac:dyDescent="0.2">
      <c r="A5063" s="5">
        <v>5002</v>
      </c>
      <c r="B5063" s="138">
        <f>'Revenues 9-14'!C7</f>
        <v>260467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19767162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226753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226753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69116</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69116</v>
      </c>
      <c r="C5087" s="2" t="s">
        <v>594</v>
      </c>
      <c r="D5087" s="2" t="str">
        <f t="shared" si="78"/>
        <v>Error?</v>
      </c>
    </row>
    <row r="5088" spans="1:4" x14ac:dyDescent="0.2">
      <c r="A5088" s="5">
        <v>5027</v>
      </c>
      <c r="B5088" s="138">
        <f>'Revenues 9-14'!C65</f>
        <v>166353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166353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386198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15927</v>
      </c>
      <c r="D5095" s="2" t="str">
        <f t="shared" si="78"/>
        <v>Error?</v>
      </c>
    </row>
    <row r="5096" spans="1:4" x14ac:dyDescent="0.2">
      <c r="A5096" s="5">
        <v>5035</v>
      </c>
      <c r="B5096" s="138">
        <f>'Revenues 9-14'!C75</f>
        <v>402125</v>
      </c>
      <c r="C5096" s="2" t="s">
        <v>594</v>
      </c>
      <c r="D5096" s="2" t="str">
        <f t="shared" si="78"/>
        <v>Error?</v>
      </c>
    </row>
    <row r="5097" spans="1:4" x14ac:dyDescent="0.2">
      <c r="A5097" s="5">
        <v>5036</v>
      </c>
      <c r="B5097" s="138">
        <f>'Revenues 9-14'!C77</f>
        <v>41853</v>
      </c>
      <c r="D5097" s="2" t="str">
        <f t="shared" si="78"/>
        <v>Error?</v>
      </c>
    </row>
    <row r="5098" spans="1:4" x14ac:dyDescent="0.2">
      <c r="A5098" s="5">
        <v>5037</v>
      </c>
      <c r="B5098" s="138">
        <f>'Revenues 9-14'!C78</f>
        <v>10196</v>
      </c>
      <c r="D5098" s="2" t="str">
        <f t="shared" si="78"/>
        <v>Error?</v>
      </c>
    </row>
    <row r="5099" spans="1:4" x14ac:dyDescent="0.2">
      <c r="A5099" s="5">
        <v>5038</v>
      </c>
      <c r="B5099" s="138">
        <f>'Revenues 9-14'!C79</f>
        <v>682119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204136</v>
      </c>
      <c r="D5101" s="2" t="str">
        <f t="shared" si="78"/>
        <v>Error?</v>
      </c>
    </row>
    <row r="5102" spans="1:4" x14ac:dyDescent="0.2">
      <c r="A5102" s="5">
        <v>5041</v>
      </c>
      <c r="B5102" s="138">
        <f>'Revenues 9-14'!C82</f>
        <v>938304</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72327</v>
      </c>
      <c r="D5114" s="2" t="str">
        <f t="shared" si="78"/>
        <v>Error?</v>
      </c>
    </row>
    <row r="5115" spans="1:4" x14ac:dyDescent="0.2">
      <c r="A5115" s="5">
        <v>5054</v>
      </c>
      <c r="B5115" s="138">
        <f>'Revenues 9-14'!C98</f>
        <v>33158</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41535</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178156</v>
      </c>
      <c r="C5120" s="2" t="s">
        <v>594</v>
      </c>
      <c r="D5120" s="2" t="str">
        <f t="shared" si="79"/>
        <v>Error?</v>
      </c>
    </row>
    <row r="5121" spans="1:4" x14ac:dyDescent="0.2">
      <c r="A5121" s="5">
        <v>5060</v>
      </c>
      <c r="B5121" s="138">
        <f>'Revenues 9-14'!C109</f>
        <v>21747969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5008459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5068623</v>
      </c>
      <c r="C5132" s="2" t="s">
        <v>594</v>
      </c>
      <c r="D5132" s="2" t="str">
        <f t="shared" si="79"/>
        <v>Error?</v>
      </c>
    </row>
    <row r="5133" spans="1:4" x14ac:dyDescent="0.2">
      <c r="A5133" s="5">
        <v>5072</v>
      </c>
      <c r="B5133" s="138">
        <f>'Revenues 9-14'!C124</f>
        <v>563086</v>
      </c>
      <c r="D5133" s="2" t="str">
        <f t="shared" si="79"/>
        <v>Error?</v>
      </c>
    </row>
    <row r="5134" spans="1:4" x14ac:dyDescent="0.2">
      <c r="A5134" s="5">
        <v>5073</v>
      </c>
      <c r="B5134" s="138">
        <f>'Revenues 9-14'!C125</f>
        <v>146019</v>
      </c>
      <c r="D5134" s="2" t="str">
        <f t="shared" si="79"/>
        <v>Error?</v>
      </c>
    </row>
    <row r="5135" spans="1:4" x14ac:dyDescent="0.2">
      <c r="A5135" s="5">
        <v>5074</v>
      </c>
      <c r="B5135" s="138">
        <f>'Revenues 9-14'!C126</f>
        <v>201721</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23779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934605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84699</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84699</v>
      </c>
      <c r="C5161" s="2" t="s">
        <v>594</v>
      </c>
      <c r="D5161" s="2" t="str">
        <f t="shared" si="79"/>
        <v>Error?</v>
      </c>
    </row>
    <row r="5162" spans="1:4" x14ac:dyDescent="0.2">
      <c r="A5162" s="10">
        <v>5101</v>
      </c>
      <c r="D5162" s="2" t="str">
        <f t="shared" si="79"/>
        <v>OK</v>
      </c>
    </row>
    <row r="5163" spans="1:4" x14ac:dyDescent="0.2">
      <c r="A5163" s="5">
        <v>5102</v>
      </c>
      <c r="B5163" s="138">
        <f>'Revenues 9-14'!C142</f>
        <v>21377</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21377</v>
      </c>
      <c r="C5165" s="2" t="s">
        <v>594</v>
      </c>
      <c r="D5165" s="2" t="str">
        <f t="shared" si="79"/>
        <v>Error?</v>
      </c>
    </row>
    <row r="5166" spans="1:4" x14ac:dyDescent="0.2">
      <c r="A5166" s="10">
        <v>5105</v>
      </c>
      <c r="D5166" s="2" t="str">
        <f t="shared" si="79"/>
        <v>OK</v>
      </c>
    </row>
    <row r="5167" spans="1:4" x14ac:dyDescent="0.2">
      <c r="A5167" s="5">
        <v>5106</v>
      </c>
      <c r="B5167" s="138">
        <f>'Revenues 9-14'!C145</f>
        <v>3439</v>
      </c>
      <c r="D5167" s="2" t="str">
        <f t="shared" si="79"/>
        <v>Error?</v>
      </c>
    </row>
    <row r="5168" spans="1:4" x14ac:dyDescent="0.2">
      <c r="A5168" s="5">
        <v>5107</v>
      </c>
      <c r="B5168" s="138">
        <f>'Revenues 9-14'!C147</f>
        <v>76802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1124062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6192685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238312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30250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268562</v>
      </c>
      <c r="C5246" s="2" t="s">
        <v>594</v>
      </c>
      <c r="D5246" s="2" t="str">
        <f t="shared" si="80"/>
        <v>Error?</v>
      </c>
    </row>
    <row r="5247" spans="1:4" x14ac:dyDescent="0.2">
      <c r="A5247" s="5">
        <v>5186</v>
      </c>
      <c r="B5247" s="138">
        <f>'Revenues 9-14'!C203</f>
        <v>289903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2861</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289903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431934</v>
      </c>
      <c r="D5278" s="2" t="str">
        <f t="shared" si="81"/>
        <v>Error?</v>
      </c>
    </row>
    <row r="5279" spans="1:4" x14ac:dyDescent="0.2">
      <c r="A5279" s="5">
        <v>5218</v>
      </c>
      <c r="B5279" s="138">
        <f>'Revenues 9-14'!C221</f>
        <v>72887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504821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61039</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61039</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1338134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1338134</v>
      </c>
      <c r="C5326" s="2" t="s">
        <v>594</v>
      </c>
      <c r="D5326" s="2" t="str">
        <f t="shared" si="82"/>
        <v>Error?</v>
      </c>
    </row>
    <row r="5327" spans="1:4" x14ac:dyDescent="0.2">
      <c r="A5327" s="5">
        <v>5266</v>
      </c>
      <c r="B5327" s="138">
        <f>'Revenues 9-14'!C275</f>
        <v>29278788</v>
      </c>
      <c r="C5327" s="2" t="s">
        <v>594</v>
      </c>
      <c r="D5327" s="2" t="str">
        <f t="shared" si="82"/>
        <v>Error?</v>
      </c>
    </row>
    <row r="5328" spans="1:4" x14ac:dyDescent="0.2">
      <c r="A5328" s="5">
        <v>5267</v>
      </c>
      <c r="B5328" s="138">
        <f>'Revenues 9-14'!D5</f>
        <v>2379223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2379223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16728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16728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65397</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65397</v>
      </c>
      <c r="C5348" s="2" t="s">
        <v>594</v>
      </c>
      <c r="D5348" s="2" t="str">
        <f t="shared" si="82"/>
        <v>Error?</v>
      </c>
    </row>
    <row r="5349" spans="1:4" x14ac:dyDescent="0.2">
      <c r="A5349" s="5">
        <v>5288</v>
      </c>
      <c r="B5349" s="138">
        <f>'Revenues 9-14'!D95</f>
        <v>96716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20127</v>
      </c>
      <c r="D5354" s="2" t="str">
        <f t="shared" si="82"/>
        <v>Error?</v>
      </c>
    </row>
    <row r="5355" spans="1:4" x14ac:dyDescent="0.2">
      <c r="A5355" s="5">
        <v>5294</v>
      </c>
      <c r="B5355" s="138">
        <f>'Revenues 9-14'!D108</f>
        <v>116843</v>
      </c>
      <c r="C5355" s="2" t="s">
        <v>594</v>
      </c>
      <c r="D5355" s="2" t="str">
        <f t="shared" si="82"/>
        <v>Error?</v>
      </c>
    </row>
    <row r="5356" spans="1:4" x14ac:dyDescent="0.2">
      <c r="A5356" s="5">
        <v>5295</v>
      </c>
      <c r="B5356" s="138">
        <f>'Revenues 9-14'!D109</f>
        <v>2578191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2578191</v>
      </c>
      <c r="C5508" s="2" t="s">
        <v>594</v>
      </c>
      <c r="D5508" s="2" t="str">
        <f t="shared" si="85"/>
        <v>Error?</v>
      </c>
    </row>
    <row r="5509" spans="1:4" x14ac:dyDescent="0.2">
      <c r="A5509" s="5">
        <v>5448</v>
      </c>
      <c r="B5509" s="138">
        <f>'Revenues 9-14'!E5</f>
        <v>4335748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4335748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37012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37012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4372760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4372760</v>
      </c>
      <c r="C5552" s="2" t="s">
        <v>594</v>
      </c>
      <c r="D5552" s="2" t="str">
        <f t="shared" si="85"/>
        <v>Error?</v>
      </c>
    </row>
    <row r="5553" spans="1:4" x14ac:dyDescent="0.2">
      <c r="A5553" s="5">
        <v>5492</v>
      </c>
      <c r="B5553" s="138">
        <f>'Revenues 9-14'!F5</f>
        <v>515186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515186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3586</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3586</v>
      </c>
      <c r="C5579" s="2" t="s">
        <v>594</v>
      </c>
      <c r="D5579" s="2" t="str">
        <f t="shared" si="86"/>
        <v>Error?</v>
      </c>
    </row>
    <row r="5580" spans="1:4" x14ac:dyDescent="0.2">
      <c r="A5580" s="5">
        <v>5519</v>
      </c>
      <c r="B5580" s="138">
        <f>'Revenues 9-14'!F65</f>
        <v>7395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7395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526167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23794</v>
      </c>
      <c r="D5615" s="2" t="str">
        <f t="shared" si="86"/>
        <v>Error?</v>
      </c>
    </row>
    <row r="5616" spans="1:4" x14ac:dyDescent="0.2">
      <c r="A5616" s="10">
        <v>5555</v>
      </c>
      <c r="D5616" s="2" t="str">
        <f t="shared" si="86"/>
        <v>OK</v>
      </c>
    </row>
    <row r="5617" spans="1:4" x14ac:dyDescent="0.2">
      <c r="A5617" s="5">
        <v>5556</v>
      </c>
      <c r="B5617" s="138">
        <f>'Revenues 9-14'!F152</f>
        <v>940556</v>
      </c>
      <c r="D5617" s="2" t="str">
        <f t="shared" si="86"/>
        <v>Error?</v>
      </c>
    </row>
    <row r="5618" spans="1:4" x14ac:dyDescent="0.2">
      <c r="A5618" s="5">
        <v>5557</v>
      </c>
      <c r="B5618" s="138">
        <f>'Revenues 9-14'!F154</f>
        <v>964350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964350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964350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1490517</v>
      </c>
      <c r="C5720" s="2" t="s">
        <v>594</v>
      </c>
      <c r="D5720" s="2" t="str">
        <f t="shared" si="88"/>
        <v>Error?</v>
      </c>
    </row>
    <row r="5721" spans="1:4" x14ac:dyDescent="0.2">
      <c r="A5721" s="5">
        <v>5660</v>
      </c>
      <c r="B5721" s="138">
        <f>'Revenues 9-14'!G5</f>
        <v>367771</v>
      </c>
      <c r="D5721" s="2" t="str">
        <f t="shared" si="88"/>
        <v>Error?</v>
      </c>
    </row>
    <row r="5722" spans="1:4" x14ac:dyDescent="0.2">
      <c r="A5722" s="5">
        <v>5661</v>
      </c>
      <c r="B5722" s="138">
        <f>'Revenues 9-14'!G7</f>
        <v>0</v>
      </c>
      <c r="D5722" s="2" t="str">
        <f t="shared" si="88"/>
        <v>Error?</v>
      </c>
    </row>
    <row r="5723" spans="1:4" x14ac:dyDescent="0.2">
      <c r="A5723" s="5">
        <v>5662</v>
      </c>
      <c r="B5723" s="138">
        <f>'Revenues 9-14'!G8</f>
        <v>441191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808962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77688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77688</v>
      </c>
      <c r="C5730" s="2" t="s">
        <v>594</v>
      </c>
      <c r="D5730" s="2" t="str">
        <f t="shared" si="88"/>
        <v>Error?</v>
      </c>
    </row>
    <row r="5731" spans="1:4" x14ac:dyDescent="0.2">
      <c r="A5731" s="5">
        <v>5670</v>
      </c>
      <c r="B5731" s="138">
        <f>'Revenues 9-14'!G65</f>
        <v>10026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10026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896676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112534</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112534</v>
      </c>
      <c r="C5915" s="2" t="s">
        <v>594</v>
      </c>
      <c r="D5915" s="2" t="str">
        <f t="shared" si="91"/>
        <v>Error?</v>
      </c>
    </row>
    <row r="5916" spans="1:4" x14ac:dyDescent="0.2">
      <c r="A5916" s="5">
        <v>5855</v>
      </c>
      <c r="B5916" s="138">
        <f>'Revenues 9-14'!I5</f>
        <v>112323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112323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1005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1005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113328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896676</v>
      </c>
      <c r="C6024" s="2" t="s">
        <v>594</v>
      </c>
      <c r="D6024" s="2" t="str">
        <f t="shared" si="93"/>
        <v>Error?</v>
      </c>
    </row>
    <row r="6025" spans="1:5" x14ac:dyDescent="0.2">
      <c r="A6025" s="5">
        <v>5964</v>
      </c>
      <c r="B6025" s="138">
        <f>'Revenues 9-14'!H109</f>
        <v>112534</v>
      </c>
      <c r="C6025" s="2" t="s">
        <v>594</v>
      </c>
      <c r="D6025" s="2" t="str">
        <f t="shared" si="93"/>
        <v>Error?</v>
      </c>
    </row>
    <row r="6026" spans="1:5" x14ac:dyDescent="0.2">
      <c r="A6026" s="5">
        <v>5965</v>
      </c>
      <c r="B6026" s="138">
        <f>'Revenues 9-14'!I109</f>
        <v>113328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46814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1925.01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115168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19365</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115168</v>
      </c>
      <c r="D6215" s="2" t="str">
        <f t="shared" si="96"/>
        <v>Error?</v>
      </c>
      <c r="E6215" s="2" t="s">
        <v>199</v>
      </c>
    </row>
    <row r="6216" spans="1:5" x14ac:dyDescent="0.2">
      <c r="A6216">
        <v>6155</v>
      </c>
      <c r="B6216" s="138">
        <f>'Assets-Liab 5-6'!J41</f>
        <v>115168</v>
      </c>
      <c r="D6216" s="2" t="str">
        <f t="shared" si="96"/>
        <v>Error?</v>
      </c>
      <c r="E6216" s="2" t="s">
        <v>199</v>
      </c>
    </row>
    <row r="6217" spans="1:5" x14ac:dyDescent="0.2">
      <c r="A6217">
        <v>6156</v>
      </c>
      <c r="B6217" s="138">
        <f>'Assets-Liab 5-6'!J4</f>
        <v>30813</v>
      </c>
      <c r="D6217" s="2" t="str">
        <f t="shared" si="96"/>
        <v>Error?</v>
      </c>
      <c r="E6217" s="2" t="s">
        <v>199</v>
      </c>
    </row>
    <row r="6218" spans="1:5" x14ac:dyDescent="0.2">
      <c r="A6218">
        <v>6157</v>
      </c>
      <c r="B6218" s="138">
        <f>'Assets-Liab 5-6'!J5</f>
        <v>84355</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150702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150702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150702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170789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170789</v>
      </c>
      <c r="D6229" s="2" t="str">
        <f t="shared" si="96"/>
        <v>Error?</v>
      </c>
      <c r="E6229" s="2" t="s">
        <v>199</v>
      </c>
    </row>
    <row r="6230" spans="1:5" x14ac:dyDescent="0.2">
      <c r="A6230">
        <v>6169</v>
      </c>
      <c r="B6230" s="138">
        <f>'Acct Summary 7-8'!J20</f>
        <v>-20087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-20087</v>
      </c>
      <c r="D6263" s="2" t="str">
        <f t="shared" si="96"/>
        <v>Error?</v>
      </c>
      <c r="E6263" s="2" t="s">
        <v>199</v>
      </c>
    </row>
    <row r="6264" spans="1:5" x14ac:dyDescent="0.2">
      <c r="A6264">
        <v>6203</v>
      </c>
      <c r="B6264" s="138">
        <f>'Acct Summary 7-8'!J79</f>
        <v>135255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115168</v>
      </c>
      <c r="D6266" s="2" t="str">
        <f t="shared" si="96"/>
        <v>Error?</v>
      </c>
      <c r="E6266" s="2" t="s">
        <v>199</v>
      </c>
    </row>
    <row r="6267" spans="1:5" x14ac:dyDescent="0.2">
      <c r="A6267">
        <v>6206</v>
      </c>
      <c r="B6267" s="138">
        <f>'Acct Summary 7-8'!C82</f>
        <v>3804568</v>
      </c>
      <c r="D6267" s="2" t="str">
        <f t="shared" si="96"/>
        <v>Error?</v>
      </c>
      <c r="E6267" s="2" t="s">
        <v>199</v>
      </c>
    </row>
    <row r="6268" spans="1:5" x14ac:dyDescent="0.2">
      <c r="A6268">
        <v>6207</v>
      </c>
      <c r="B6268" s="138">
        <f>'Acct Summary 7-8'!D82</f>
        <v>-1558488</v>
      </c>
      <c r="D6268" s="2" t="str">
        <f t="shared" si="96"/>
        <v>Error?</v>
      </c>
      <c r="E6268" s="2" t="s">
        <v>199</v>
      </c>
    </row>
    <row r="6269" spans="1:5" x14ac:dyDescent="0.2">
      <c r="A6269">
        <v>6208</v>
      </c>
      <c r="B6269" s="138">
        <f>'Acct Summary 7-8'!E82</f>
        <v>451947</v>
      </c>
      <c r="D6269" s="2" t="str">
        <f t="shared" si="96"/>
        <v>Error?</v>
      </c>
      <c r="E6269" s="2" t="s">
        <v>199</v>
      </c>
    </row>
    <row r="6270" spans="1:5" x14ac:dyDescent="0.2">
      <c r="A6270">
        <v>6209</v>
      </c>
      <c r="B6270" s="138">
        <f>'Acct Summary 7-8'!F82</f>
        <v>88759</v>
      </c>
      <c r="D6270" s="2" t="str">
        <f t="shared" si="96"/>
        <v>Error?</v>
      </c>
      <c r="E6270" s="2" t="s">
        <v>199</v>
      </c>
    </row>
    <row r="6271" spans="1:5" x14ac:dyDescent="0.2">
      <c r="A6271">
        <v>6210</v>
      </c>
      <c r="B6271" s="138">
        <f>'Acct Summary 7-8'!G82</f>
        <v>51254</v>
      </c>
      <c r="D6271" s="2" t="str">
        <f t="shared" ref="D6271:D6334" si="97">IF(ISBLANK(B6271),"OK",IF(A6271-B6271=0,"OK","Error?"))</f>
        <v>Error?</v>
      </c>
      <c r="E6271" s="2" t="s">
        <v>199</v>
      </c>
    </row>
    <row r="6272" spans="1:5" x14ac:dyDescent="0.2">
      <c r="A6272">
        <v>6211</v>
      </c>
      <c r="B6272" s="138">
        <f>'Acct Summary 7-8'!H82</f>
        <v>112534</v>
      </c>
      <c r="D6272" s="2" t="str">
        <f t="shared" si="97"/>
        <v>Error?</v>
      </c>
      <c r="E6272" s="2" t="s">
        <v>199</v>
      </c>
    </row>
    <row r="6273" spans="1:5" x14ac:dyDescent="0.2">
      <c r="A6273">
        <v>6212</v>
      </c>
      <c r="B6273" s="138">
        <f>'Acct Summary 7-8'!I82</f>
        <v>113328</v>
      </c>
      <c r="D6273" s="2" t="str">
        <f t="shared" si="97"/>
        <v>Error?</v>
      </c>
      <c r="E6273" s="2" t="s">
        <v>199</v>
      </c>
    </row>
    <row r="6274" spans="1:5" x14ac:dyDescent="0.2">
      <c r="A6274">
        <v>6213</v>
      </c>
      <c r="B6274" s="138">
        <f>'Acct Summary 7-8'!J82</f>
        <v>-20087</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0.23466664824483649</v>
      </c>
      <c r="D6276" s="2" t="str">
        <f t="shared" si="97"/>
        <v>Error?</v>
      </c>
      <c r="E6276" s="2" t="s">
        <v>199</v>
      </c>
    </row>
    <row r="6277" spans="1:5" x14ac:dyDescent="0.2">
      <c r="A6277">
        <v>6216</v>
      </c>
      <c r="B6277" s="138">
        <f>'Acct Summary 7-8'!D83</f>
        <v>-0.42810441268209687</v>
      </c>
      <c r="D6277" s="2" t="str">
        <f t="shared" si="97"/>
        <v>Error?</v>
      </c>
      <c r="E6277" s="2" t="s">
        <v>199</v>
      </c>
    </row>
    <row r="6278" spans="1:5" x14ac:dyDescent="0.2">
      <c r="A6278">
        <v>6217</v>
      </c>
      <c r="B6278" s="138">
        <f>'Acct Summary 7-8'!E83</f>
        <v>0.17508740869302455</v>
      </c>
      <c r="D6278" s="2" t="str">
        <f t="shared" si="97"/>
        <v>Error?</v>
      </c>
      <c r="E6278" s="2" t="s">
        <v>199</v>
      </c>
    </row>
    <row r="6279" spans="1:5" x14ac:dyDescent="0.2">
      <c r="A6279">
        <v>6218</v>
      </c>
      <c r="B6279" s="138">
        <f>'Acct Summary 7-8'!F83</f>
        <v>0.13932202964158236</v>
      </c>
      <c r="D6279" s="2" t="str">
        <f t="shared" si="97"/>
        <v>Error?</v>
      </c>
      <c r="E6279" s="2" t="s">
        <v>199</v>
      </c>
    </row>
    <row r="6280" spans="1:5" x14ac:dyDescent="0.2">
      <c r="A6280">
        <v>6219</v>
      </c>
      <c r="B6280" s="138">
        <f>'Acct Summary 7-8'!G83</f>
        <v>0.14218146209391289</v>
      </c>
      <c r="D6280" s="2" t="str">
        <f t="shared" si="97"/>
        <v>Error?</v>
      </c>
      <c r="E6280" s="2" t="s">
        <v>199</v>
      </c>
    </row>
    <row r="6281" spans="1:5" x14ac:dyDescent="0.2">
      <c r="A6281">
        <v>6220</v>
      </c>
      <c r="B6281" s="138">
        <f>'Acct Summary 7-8'!H83</f>
        <v>0.14836778820799493</v>
      </c>
      <c r="D6281" s="2" t="str">
        <f t="shared" si="97"/>
        <v>Error?</v>
      </c>
      <c r="E6281" s="2" t="s">
        <v>199</v>
      </c>
    </row>
    <row r="6282" spans="1:5" x14ac:dyDescent="0.2">
      <c r="A6282">
        <v>6221</v>
      </c>
      <c r="B6282" s="138">
        <f>'Acct Summary 7-8'!I83</f>
        <v>0.16401552045779852</v>
      </c>
      <c r="D6282" s="2" t="str">
        <f t="shared" si="97"/>
        <v>Error?</v>
      </c>
      <c r="E6282" s="2" t="s">
        <v>199</v>
      </c>
    </row>
    <row r="6283" spans="1:5" x14ac:dyDescent="0.2">
      <c r="A6283">
        <v>6222</v>
      </c>
      <c r="B6283" s="138">
        <f>'Acct Summary 7-8'!J83</f>
        <v>-0.17441476799110864</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127977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127977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1146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1146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31136</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21579</v>
      </c>
      <c r="D6350" s="2" t="str">
        <f t="shared" si="98"/>
        <v>Error?</v>
      </c>
      <c r="E6350" s="2" t="s">
        <v>199</v>
      </c>
    </row>
    <row r="6351" spans="1:5" x14ac:dyDescent="0.2">
      <c r="A6351">
        <v>6290</v>
      </c>
      <c r="B6351" s="138">
        <f>'Revenues 9-14'!J108</f>
        <v>21579</v>
      </c>
      <c r="D6351" s="2" t="str">
        <f t="shared" si="98"/>
        <v>Error?</v>
      </c>
      <c r="E6351" s="2" t="s">
        <v>199</v>
      </c>
    </row>
    <row r="6352" spans="1:5" x14ac:dyDescent="0.2">
      <c r="A6352">
        <v>6291</v>
      </c>
      <c r="B6352" s="138">
        <f>'Revenues 9-14'!J109</f>
        <v>150702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85282</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2424</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6842</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43844</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18319</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277720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9606</v>
      </c>
      <c r="D6878" s="2" t="str">
        <f t="shared" si="106"/>
        <v>Error?</v>
      </c>
    </row>
    <row r="6879" spans="1:4" x14ac:dyDescent="0.2">
      <c r="A6879">
        <v>6818</v>
      </c>
      <c r="B6879" s="138">
        <f>'Expenditures 15-22'!K21</f>
        <v>9606</v>
      </c>
      <c r="D6879" s="2" t="str">
        <f t="shared" si="106"/>
        <v>Error?</v>
      </c>
    </row>
    <row r="6880" spans="1:4" x14ac:dyDescent="0.2">
      <c r="A6880">
        <v>6819</v>
      </c>
      <c r="B6880" s="138">
        <f>'Expenditures 15-22'!H22</f>
        <v>1554592</v>
      </c>
      <c r="D6880" s="2" t="str">
        <f t="shared" si="106"/>
        <v>Error?</v>
      </c>
    </row>
    <row r="6881" spans="1:4" x14ac:dyDescent="0.2">
      <c r="A6881">
        <v>6820</v>
      </c>
      <c r="B6881" s="138">
        <f>'Expenditures 15-22'!K22</f>
        <v>1554592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156711</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50144</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525890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576034</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25835</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25835</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1650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603519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5745</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349059</v>
      </c>
      <c r="D6983" s="2" t="str">
        <f t="shared" si="108"/>
        <v>Error?</v>
      </c>
    </row>
    <row r="6984" spans="1:4" x14ac:dyDescent="0.2">
      <c r="A6984">
        <v>6923</v>
      </c>
      <c r="B6984" s="138">
        <f>'Expenditures 15-22'!K86</f>
        <v>349059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349059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765975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269502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269502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269502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170789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269502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150702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3603</v>
      </c>
      <c r="D7079" s="2" t="str">
        <f t="shared" si="109"/>
        <v>Error?</v>
      </c>
    </row>
    <row r="7080" spans="1:4" x14ac:dyDescent="0.2">
      <c r="A7080">
        <v>7019</v>
      </c>
      <c r="B7080" s="138">
        <f>'Expenditures 15-22'!K226</f>
        <v>3603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140341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140341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170789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170789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170789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170789</v>
      </c>
      <c r="D7224" s="2" t="str">
        <f t="shared" si="111"/>
        <v>Error?</v>
      </c>
    </row>
    <row r="7225" spans="1:4" x14ac:dyDescent="0.2">
      <c r="A7225">
        <v>7164</v>
      </c>
      <c r="B7225" s="138">
        <f>'Expenditures 15-22'!K343</f>
        <v>-20087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249125</v>
      </c>
      <c r="D7263" s="2" t="str">
        <f t="shared" si="112"/>
        <v>Error?</v>
      </c>
    </row>
    <row r="7264" spans="1:4" x14ac:dyDescent="0.2">
      <c r="A7264">
        <f t="shared" si="113"/>
        <v>7203</v>
      </c>
      <c r="B7264" s="138">
        <f>'Expenditures 15-22'!D17</f>
        <v>24705</v>
      </c>
      <c r="D7264" s="2" t="str">
        <f t="shared" si="112"/>
        <v>Error?</v>
      </c>
    </row>
    <row r="7265" spans="1:5" x14ac:dyDescent="0.2">
      <c r="A7265">
        <f t="shared" si="113"/>
        <v>7204</v>
      </c>
      <c r="B7265" s="138">
        <f>'Expenditures 15-22'!E17</f>
        <v>471</v>
      </c>
      <c r="D7265" s="2" t="str">
        <f t="shared" si="112"/>
        <v>Error?</v>
      </c>
    </row>
    <row r="7266" spans="1:5" x14ac:dyDescent="0.2">
      <c r="A7266">
        <f t="shared" si="113"/>
        <v>7205</v>
      </c>
      <c r="B7266" s="138">
        <f>'Expenditures 15-22'!F17</f>
        <v>3419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1035477</v>
      </c>
      <c r="D7624" s="2" t="str">
        <f t="shared" si="124"/>
        <v>Error?</v>
      </c>
      <c r="E7624" s="2" t="s">
        <v>19</v>
      </c>
    </row>
    <row r="7625" spans="1:5" x14ac:dyDescent="0.2">
      <c r="A7625">
        <f t="shared" si="123"/>
        <v>7564</v>
      </c>
      <c r="B7625" s="138">
        <f>'Cap Outlay Deprec 26'!I17</f>
        <v>103547.7</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813018.7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112534</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30448</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30448</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1650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31136</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76802</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107938</v>
      </c>
      <c r="D7719" s="2" t="str">
        <f t="shared" si="126"/>
        <v>Error?</v>
      </c>
      <c r="E7719" s="2" t="s">
        <v>881</v>
      </c>
    </row>
    <row r="7720" spans="1:6" x14ac:dyDescent="0.2">
      <c r="A7720">
        <v>7659</v>
      </c>
      <c r="B7720" s="138">
        <f>'Rest Tax Levies-Tort Im 25'!H14</f>
        <v>260467</v>
      </c>
      <c r="D7720" s="2" t="str">
        <f t="shared" si="126"/>
        <v>Error?</v>
      </c>
      <c r="E7720" s="2" t="s">
        <v>881</v>
      </c>
    </row>
    <row r="7721" spans="1:6" x14ac:dyDescent="0.2">
      <c r="A7721">
        <v>7660</v>
      </c>
      <c r="B7721" s="138">
        <f>'Rest Tax Levies-Tort Im 25'!K14</f>
        <v>107938</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88940</v>
      </c>
      <c r="D7797" s="2" t="str">
        <f t="shared" si="127"/>
        <v>Error?</v>
      </c>
      <c r="E7797" s="4" t="s">
        <v>2017</v>
      </c>
    </row>
    <row r="7798" spans="1:5" x14ac:dyDescent="0.2">
      <c r="A7798">
        <v>7737</v>
      </c>
      <c r="B7798" s="138">
        <f>'Contracts Paid in CY 29'!F141</f>
        <v>25000</v>
      </c>
      <c r="D7798" s="2" t="str">
        <f t="shared" si="127"/>
        <v>Error?</v>
      </c>
      <c r="E7798" s="4" t="s">
        <v>2017</v>
      </c>
    </row>
    <row r="7799" spans="1:5" x14ac:dyDescent="0.2">
      <c r="A7799">
        <v>7738</v>
      </c>
      <c r="B7799" s="138">
        <f>'Contracts Paid in CY 29'!G141</f>
        <v>48095</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60"/>
  <sheetViews>
    <sheetView showGridLines="0" showZeros="0" zoomScale="110" zoomScaleNormal="110" workbookViewId="0">
      <selection activeCell="T32" sqref="T32"/>
    </sheetView>
  </sheetViews>
  <sheetFormatPr defaultColWidth="9.140625" defaultRowHeight="12.75" x14ac:dyDescent="0.2"/>
  <cols>
    <col min="1" max="1" width="7.85546875" style="1176" customWidth="1"/>
    <col min="2" max="2" width="2.28515625" style="1172" customWidth="1"/>
    <col min="3" max="3" width="9.140625" style="1176"/>
    <col min="4" max="4" width="13" style="1176" customWidth="1"/>
    <col min="5" max="5" width="16" style="1176" customWidth="1"/>
    <col min="6" max="6" width="4.140625" style="1176" customWidth="1"/>
    <col min="7" max="7" width="3.7109375" style="1176" customWidth="1"/>
    <col min="8" max="8" width="9.7109375" style="1176" customWidth="1"/>
    <col min="9" max="9" width="10.7109375" style="1176" customWidth="1"/>
    <col min="10" max="10" width="5" style="1176" customWidth="1"/>
    <col min="11" max="11" width="6.5703125" style="1176" customWidth="1"/>
    <col min="12" max="12" width="12.85546875" style="1176" customWidth="1"/>
    <col min="13" max="13" width="2.7109375" style="1176" customWidth="1"/>
    <col min="14" max="14" width="13.140625" style="1176" customWidth="1"/>
    <col min="15" max="15" width="7.140625" style="1176" customWidth="1"/>
    <col min="16" max="16" width="7" style="1176" customWidth="1"/>
    <col min="17" max="17" width="9.7109375" style="1176" customWidth="1"/>
    <col min="18" max="19" width="9.85546875" style="1176" customWidth="1"/>
    <col min="20" max="16384" width="9.140625" style="1176"/>
  </cols>
  <sheetData>
    <row r="1" spans="1:29" x14ac:dyDescent="0.2">
      <c r="A1" s="1949"/>
      <c r="C1" s="1949"/>
      <c r="D1" s="1949"/>
      <c r="E1" s="1949"/>
      <c r="F1" s="1173"/>
      <c r="G1" s="1948"/>
      <c r="H1" s="1949"/>
      <c r="I1" s="1949"/>
      <c r="J1" s="1949"/>
      <c r="K1" s="1949"/>
      <c r="L1" s="1174"/>
      <c r="M1" s="1175"/>
    </row>
    <row r="2" spans="1:29" ht="13.5" customHeight="1" x14ac:dyDescent="0.2">
      <c r="A2" s="2480" t="s">
        <v>1253</v>
      </c>
      <c r="B2" s="2480"/>
      <c r="C2" s="2480"/>
      <c r="D2" s="2480"/>
      <c r="E2" s="2480"/>
      <c r="F2" s="2480"/>
      <c r="G2" s="2480"/>
      <c r="H2" s="2480"/>
      <c r="I2" s="2480"/>
      <c r="J2" s="2480"/>
      <c r="K2" s="2480"/>
      <c r="L2" s="2480"/>
    </row>
    <row r="3" spans="1:29" ht="13.5" customHeight="1" x14ac:dyDescent="0.2">
      <c r="A3" s="2466" t="s">
        <v>1252</v>
      </c>
      <c r="B3" s="2466"/>
      <c r="C3" s="2466"/>
      <c r="D3" s="2466"/>
      <c r="E3" s="2466"/>
      <c r="F3" s="2466"/>
      <c r="G3" s="2466"/>
      <c r="H3" s="2466"/>
      <c r="I3" s="2466"/>
      <c r="J3" s="2466"/>
      <c r="K3" s="2466"/>
      <c r="L3" s="2466"/>
    </row>
    <row r="4" spans="1:29" ht="13.5" customHeight="1" x14ac:dyDescent="0.2">
      <c r="A4" s="2480" t="s">
        <v>1799</v>
      </c>
      <c r="B4" s="2497"/>
      <c r="C4" s="2497"/>
      <c r="D4" s="2497"/>
      <c r="E4" s="2497"/>
      <c r="F4" s="2497"/>
      <c r="G4" s="2497"/>
      <c r="H4" s="2497"/>
      <c r="I4" s="2497"/>
      <c r="J4" s="2497"/>
      <c r="K4" s="2497"/>
      <c r="L4" s="2497"/>
    </row>
    <row r="5" spans="1:29" ht="29.85" customHeight="1" x14ac:dyDescent="0.2">
      <c r="A5" s="1177"/>
      <c r="B5" s="1178"/>
      <c r="C5" s="1177"/>
      <c r="D5" s="1177"/>
      <c r="E5" s="1177"/>
      <c r="F5" s="1177"/>
      <c r="G5" s="1177"/>
      <c r="H5" s="1177"/>
      <c r="I5" s="1177"/>
      <c r="J5" s="1177"/>
      <c r="K5" s="1177"/>
      <c r="L5" s="1177"/>
      <c r="V5" s="1179"/>
      <c r="W5" s="1179"/>
      <c r="X5" s="1179"/>
      <c r="Y5" s="1179"/>
      <c r="Z5" s="1179"/>
      <c r="AA5" s="1179"/>
      <c r="AB5" s="1179"/>
      <c r="AC5" s="1179"/>
    </row>
    <row r="6" spans="1:29" ht="13.5" customHeight="1" x14ac:dyDescent="0.2">
      <c r="A6" s="1180" t="s">
        <v>1251</v>
      </c>
      <c r="B6" s="1181"/>
      <c r="C6" s="1182"/>
      <c r="D6" s="1182"/>
      <c r="E6" s="1183" t="s">
        <v>1250</v>
      </c>
      <c r="F6" s="1184"/>
      <c r="G6" s="1185" t="s">
        <v>1249</v>
      </c>
      <c r="H6" s="1182"/>
      <c r="I6" s="1182"/>
      <c r="J6" s="1182"/>
      <c r="K6" s="1182"/>
      <c r="L6" s="1186"/>
      <c r="V6" s="1179"/>
      <c r="W6" s="1179"/>
      <c r="X6" s="1179"/>
      <c r="Y6" s="1179"/>
      <c r="Z6" s="1179"/>
      <c r="AA6" s="1179"/>
      <c r="AB6" s="1179"/>
      <c r="AC6" s="1179"/>
    </row>
    <row r="7" spans="1:29" ht="30" customHeight="1" x14ac:dyDescent="0.2">
      <c r="A7" s="2498" t="str">
        <f>COVER!A17</f>
        <v>McHenry CHSD 156</v>
      </c>
      <c r="B7" s="2499"/>
      <c r="C7" s="2499"/>
      <c r="D7" s="2500"/>
      <c r="E7" s="2501">
        <f>COVER!A13</f>
        <v>44063156016</v>
      </c>
      <c r="F7" s="2502"/>
      <c r="G7" s="2467" t="str">
        <f>COVER!T23</f>
        <v>066-005142</v>
      </c>
      <c r="H7" s="2468"/>
      <c r="I7" s="2468"/>
      <c r="J7" s="2468"/>
      <c r="K7" s="2468"/>
      <c r="L7" s="2469"/>
    </row>
    <row r="8" spans="1:29" ht="13.5" customHeight="1" x14ac:dyDescent="0.2">
      <c r="A8" s="1180" t="s">
        <v>1597</v>
      </c>
      <c r="B8" s="1181"/>
      <c r="C8" s="1182"/>
      <c r="D8" s="1182"/>
      <c r="E8" s="1187"/>
      <c r="F8" s="1186"/>
      <c r="G8" s="1188" t="s">
        <v>1248</v>
      </c>
      <c r="H8" s="1189"/>
      <c r="I8" s="1189"/>
      <c r="J8" s="1189"/>
      <c r="K8" s="1189"/>
      <c r="L8" s="1190"/>
    </row>
    <row r="9" spans="1:29" ht="13.5" customHeight="1" x14ac:dyDescent="0.2">
      <c r="A9" s="2470"/>
      <c r="B9" s="2471"/>
      <c r="C9" s="2471"/>
      <c r="D9" s="2471"/>
      <c r="E9" s="2471"/>
      <c r="F9" s="2472"/>
      <c r="G9" s="2473" t="str">
        <f>COVER!T13</f>
        <v>EDER, CASELLA &amp; CO.</v>
      </c>
      <c r="H9" s="2474"/>
      <c r="I9" s="2474"/>
      <c r="J9" s="2474"/>
      <c r="K9" s="2474"/>
      <c r="L9" s="2475"/>
    </row>
    <row r="10" spans="1:29" ht="13.5" customHeight="1" x14ac:dyDescent="0.2">
      <c r="A10" s="2457" t="str">
        <f>COVER!A38</f>
        <v>DAVID LAWSON</v>
      </c>
      <c r="B10" s="2458"/>
      <c r="C10" s="2458"/>
      <c r="D10" s="2458"/>
      <c r="E10" s="2458"/>
      <c r="F10" s="2459"/>
      <c r="G10" s="2473" t="str">
        <f>COVER!T17</f>
        <v>5400 WEST ELM STREET, SUITE 203</v>
      </c>
      <c r="H10" s="2486"/>
      <c r="I10" s="2486"/>
      <c r="J10" s="2486"/>
      <c r="K10" s="2486"/>
      <c r="L10" s="2487"/>
    </row>
    <row r="11" spans="1:29" ht="13.5" customHeight="1" x14ac:dyDescent="0.2">
      <c r="A11" s="1180" t="s">
        <v>1599</v>
      </c>
      <c r="B11" s="1181"/>
      <c r="C11" s="1182"/>
      <c r="D11" s="1187"/>
      <c r="E11" s="1182"/>
      <c r="F11" s="1186"/>
      <c r="G11" s="2473" t="str">
        <f>COVER!T19</f>
        <v>MCHENRY</v>
      </c>
      <c r="H11" s="2486"/>
      <c r="I11" s="2486"/>
      <c r="J11" s="2486"/>
      <c r="K11" s="2486"/>
      <c r="L11" s="2487"/>
    </row>
    <row r="12" spans="1:29" ht="13.5" customHeight="1" x14ac:dyDescent="0.2">
      <c r="A12" s="2491" t="s">
        <v>1598</v>
      </c>
      <c r="B12" s="2492"/>
      <c r="C12" s="2492"/>
      <c r="D12" s="2492"/>
      <c r="E12" s="2492"/>
      <c r="F12" s="2493"/>
      <c r="G12" s="2488"/>
      <c r="H12" s="2489"/>
      <c r="I12" s="2489"/>
      <c r="J12" s="2489"/>
      <c r="K12" s="2489"/>
      <c r="L12" s="2490"/>
    </row>
    <row r="13" spans="1:29" ht="13.5" customHeight="1" x14ac:dyDescent="0.2">
      <c r="A13" s="2473"/>
      <c r="B13" s="2486"/>
      <c r="C13" s="2486"/>
      <c r="D13" s="2486"/>
      <c r="E13" s="2486"/>
      <c r="F13" s="2487"/>
      <c r="G13" s="2481" t="s">
        <v>1600</v>
      </c>
      <c r="H13" s="2482"/>
      <c r="I13" s="2494" t="str">
        <f>COVER!T25</f>
        <v>CPAS@EDERCASELLA.COM</v>
      </c>
      <c r="J13" s="2495"/>
      <c r="K13" s="2495"/>
      <c r="L13" s="2496"/>
    </row>
    <row r="14" spans="1:29" ht="13.5" customHeight="1" x14ac:dyDescent="0.2">
      <c r="A14" s="2473" t="str">
        <f>COVER!A19</f>
        <v>4716 W CRYSTAL LAKE ROAD</v>
      </c>
      <c r="B14" s="2486"/>
      <c r="C14" s="2486"/>
      <c r="D14" s="2486"/>
      <c r="E14" s="2486"/>
      <c r="F14" s="2487"/>
      <c r="G14" s="1191" t="s">
        <v>1247</v>
      </c>
      <c r="H14" s="1189"/>
      <c r="I14" s="1189"/>
      <c r="J14" s="1189"/>
      <c r="K14" s="1189"/>
      <c r="L14" s="1190"/>
    </row>
    <row r="15" spans="1:29" ht="13.5" customHeight="1" x14ac:dyDescent="0.2">
      <c r="A15" s="2473" t="str">
        <f>COVER!A21</f>
        <v>MCHENRY</v>
      </c>
      <c r="B15" s="2486"/>
      <c r="C15" s="2486"/>
      <c r="D15" s="2486"/>
      <c r="E15" s="2486"/>
      <c r="F15" s="2487"/>
      <c r="G15" s="2483" t="str">
        <f>COVER!T15</f>
        <v>CHERYDEN JUERGENSEN</v>
      </c>
      <c r="H15" s="2484"/>
      <c r="I15" s="2484"/>
      <c r="J15" s="2484"/>
      <c r="K15" s="2484"/>
      <c r="L15" s="2485"/>
    </row>
    <row r="16" spans="1:29" ht="12.2" customHeight="1" x14ac:dyDescent="0.2">
      <c r="A16" s="2463">
        <f>COVER!A25</f>
        <v>60050</v>
      </c>
      <c r="B16" s="2464"/>
      <c r="C16" s="2464"/>
      <c r="D16" s="2464"/>
      <c r="E16" s="2464"/>
      <c r="F16" s="2465"/>
      <c r="G16" s="2476"/>
      <c r="H16" s="2477"/>
      <c r="I16" s="2477"/>
      <c r="J16" s="2477"/>
      <c r="K16" s="2477"/>
      <c r="L16" s="2478"/>
    </row>
    <row r="17" spans="1:13" ht="12.2" customHeight="1" x14ac:dyDescent="0.2">
      <c r="A17" s="2479"/>
      <c r="B17" s="2464"/>
      <c r="C17" s="2464"/>
      <c r="D17" s="2464"/>
      <c r="E17" s="2464"/>
      <c r="F17" s="2465"/>
      <c r="G17" s="1191" t="s">
        <v>1246</v>
      </c>
      <c r="H17" s="1189"/>
      <c r="I17" s="1189"/>
      <c r="J17" s="1189"/>
      <c r="K17" s="1193" t="s">
        <v>1245</v>
      </c>
      <c r="L17" s="1186"/>
      <c r="M17" s="1179"/>
    </row>
    <row r="18" spans="1:13" ht="12.2" customHeight="1" x14ac:dyDescent="0.2">
      <c r="A18" s="2457"/>
      <c r="B18" s="2458"/>
      <c r="C18" s="2458"/>
      <c r="D18" s="2458"/>
      <c r="E18" s="2458"/>
      <c r="F18" s="2459"/>
      <c r="G18" s="2460" t="str">
        <f>COVER!T21</f>
        <v>815-344-1300</v>
      </c>
      <c r="H18" s="2461"/>
      <c r="I18" s="2461"/>
      <c r="J18" s="2461"/>
      <c r="K18" s="2460" t="str">
        <f>COVER!X21</f>
        <v>815-344-1320</v>
      </c>
      <c r="L18" s="2462"/>
    </row>
    <row r="19" spans="1:13" ht="12.2" customHeight="1" x14ac:dyDescent="0.2">
      <c r="A19" s="1194"/>
      <c r="C19" s="1194"/>
      <c r="D19" s="1194"/>
      <c r="E19" s="1194"/>
      <c r="F19" s="1194"/>
      <c r="G19" s="1194"/>
      <c r="H19" s="1194"/>
      <c r="I19" s="1194"/>
      <c r="J19" s="1194"/>
      <c r="K19" s="1194"/>
      <c r="L19" s="1194"/>
    </row>
    <row r="20" spans="1:13" ht="12.2" customHeight="1" x14ac:dyDescent="0.2">
      <c r="A20" s="1194"/>
      <c r="C20" s="1194"/>
      <c r="D20" s="1194"/>
      <c r="E20" s="1194"/>
      <c r="F20" s="1194"/>
      <c r="G20" s="1194"/>
      <c r="H20" s="1194"/>
      <c r="I20" s="1194"/>
      <c r="J20" s="1194" t="s">
        <v>1231</v>
      </c>
      <c r="K20" s="1172" t="s">
        <v>1231</v>
      </c>
    </row>
    <row r="21" spans="1:13" ht="12.2" customHeight="1" x14ac:dyDescent="0.2">
      <c r="A21" s="1195" t="s">
        <v>1800</v>
      </c>
    </row>
    <row r="22" spans="1:13" ht="12.2" customHeight="1" x14ac:dyDescent="0.2">
      <c r="A22" s="1196"/>
    </row>
    <row r="23" spans="1:13" ht="12.2" customHeight="1" x14ac:dyDescent="0.2">
      <c r="A23" s="1196"/>
      <c r="B23" s="2012" t="s">
        <v>2165</v>
      </c>
      <c r="C23" s="1198" t="s">
        <v>1244</v>
      </c>
    </row>
    <row r="24" spans="1:13" ht="10.15" customHeight="1" x14ac:dyDescent="0.2">
      <c r="A24" s="1196"/>
      <c r="B24" s="2011"/>
      <c r="C24" s="1198" t="s">
        <v>1243</v>
      </c>
    </row>
    <row r="25" spans="1:13" ht="9" customHeight="1" x14ac:dyDescent="0.2">
      <c r="B25" s="2013" t="s">
        <v>1231</v>
      </c>
      <c r="C25" s="1200"/>
    </row>
    <row r="26" spans="1:13" s="1194" customFormat="1" ht="12.2" customHeight="1" x14ac:dyDescent="0.2">
      <c r="B26" s="2012" t="s">
        <v>2165</v>
      </c>
      <c r="C26" s="1198" t="s">
        <v>1801</v>
      </c>
    </row>
    <row r="27" spans="1:13" s="1194" customFormat="1" ht="9" customHeight="1" x14ac:dyDescent="0.2">
      <c r="B27" s="2013"/>
      <c r="C27" s="1198"/>
    </row>
    <row r="28" spans="1:13" s="1194" customFormat="1" ht="12.2" customHeight="1" x14ac:dyDescent="0.2">
      <c r="A28" s="1201"/>
      <c r="B28" s="2012" t="s">
        <v>2165</v>
      </c>
      <c r="C28" s="1198" t="s">
        <v>1802</v>
      </c>
    </row>
    <row r="29" spans="1:13" s="1194" customFormat="1" ht="9" customHeight="1" x14ac:dyDescent="0.2">
      <c r="A29" s="1201"/>
      <c r="B29" s="2013"/>
      <c r="C29" s="1198"/>
    </row>
    <row r="30" spans="1:13" s="1194" customFormat="1" ht="12.2" customHeight="1" x14ac:dyDescent="0.2">
      <c r="B30" s="2012" t="s">
        <v>2165</v>
      </c>
      <c r="C30" s="1198" t="s">
        <v>1643</v>
      </c>
      <c r="D30" s="1192"/>
      <c r="E30" s="1192"/>
    </row>
    <row r="31" spans="1:13" s="1194" customFormat="1" ht="9" customHeight="1" x14ac:dyDescent="0.2">
      <c r="B31" s="2013"/>
      <c r="C31" s="1198"/>
      <c r="D31" s="1192"/>
      <c r="E31" s="1192"/>
    </row>
    <row r="32" spans="1:13" s="1194" customFormat="1" ht="12.2" customHeight="1" x14ac:dyDescent="0.2">
      <c r="B32" s="2012" t="s">
        <v>2165</v>
      </c>
      <c r="C32" s="1198" t="s">
        <v>1644</v>
      </c>
      <c r="D32" s="1192"/>
      <c r="E32" s="1192"/>
    </row>
    <row r="33" spans="1:8" s="1194" customFormat="1" ht="10.9" customHeight="1" x14ac:dyDescent="0.2">
      <c r="B33" s="2013"/>
      <c r="C33" s="1202" t="s">
        <v>1803</v>
      </c>
      <c r="D33" s="1192"/>
      <c r="E33" s="1192"/>
    </row>
    <row r="34" spans="1:8" ht="9" customHeight="1" x14ac:dyDescent="0.2">
      <c r="B34" s="2013"/>
      <c r="C34" s="1202"/>
    </row>
    <row r="35" spans="1:8" s="1194" customFormat="1" ht="13.5" customHeight="1" x14ac:dyDescent="0.2">
      <c r="B35" s="2012" t="s">
        <v>2165</v>
      </c>
      <c r="C35" s="1198" t="s">
        <v>1645</v>
      </c>
    </row>
    <row r="36" spans="1:8" s="1194" customFormat="1" ht="10.9" customHeight="1" x14ac:dyDescent="0.2">
      <c r="B36" s="2013"/>
      <c r="C36" s="1202" t="s">
        <v>1646</v>
      </c>
    </row>
    <row r="37" spans="1:8" ht="9" customHeight="1" x14ac:dyDescent="0.2">
      <c r="B37" s="2013"/>
      <c r="C37" s="1202"/>
    </row>
    <row r="38" spans="1:8" s="1194" customFormat="1" ht="12.2" customHeight="1" x14ac:dyDescent="0.2">
      <c r="B38" s="2012" t="s">
        <v>2165</v>
      </c>
      <c r="C38" s="1198" t="s">
        <v>1647</v>
      </c>
    </row>
    <row r="39" spans="1:8" ht="9" customHeight="1" x14ac:dyDescent="0.2">
      <c r="B39" s="2013"/>
      <c r="C39" s="1202"/>
    </row>
    <row r="40" spans="1:8" s="1194" customFormat="1" ht="13.5" customHeight="1" x14ac:dyDescent="0.2">
      <c r="B40" s="2012" t="s">
        <v>2165</v>
      </c>
      <c r="C40" s="1198" t="s">
        <v>1648</v>
      </c>
    </row>
    <row r="41" spans="1:8" ht="9" customHeight="1" x14ac:dyDescent="0.2">
      <c r="A41" s="1203"/>
      <c r="B41" s="2013"/>
      <c r="C41" s="1202"/>
    </row>
    <row r="42" spans="1:8" s="1194" customFormat="1" ht="13.5" customHeight="1" x14ac:dyDescent="0.2">
      <c r="B42" s="2012" t="s">
        <v>2165</v>
      </c>
      <c r="C42" s="1198" t="s">
        <v>1944</v>
      </c>
      <c r="D42" s="1192"/>
      <c r="E42" s="1192"/>
      <c r="F42" s="1192"/>
      <c r="G42" s="1192"/>
      <c r="H42" s="1192"/>
    </row>
    <row r="43" spans="1:8" s="1194" customFormat="1" ht="12.95" customHeight="1" x14ac:dyDescent="0.2">
      <c r="B43" s="1199"/>
      <c r="C43" s="1189"/>
      <c r="D43" s="1192"/>
      <c r="E43" s="1192"/>
      <c r="F43" s="1192"/>
      <c r="G43" s="1192"/>
      <c r="H43" s="1192"/>
    </row>
    <row r="44" spans="1:8" s="1194" customFormat="1" ht="13.5" customHeight="1" x14ac:dyDescent="0.2">
      <c r="A44" s="1195" t="s">
        <v>1242</v>
      </c>
      <c r="B44" s="1199"/>
      <c r="D44" s="1192"/>
      <c r="E44" s="1192"/>
      <c r="F44" s="1192"/>
      <c r="G44" s="1192"/>
      <c r="H44" s="1192"/>
    </row>
    <row r="45" spans="1:8" ht="12" customHeight="1" x14ac:dyDescent="0.2">
      <c r="B45" s="1199"/>
      <c r="D45" s="1204"/>
      <c r="E45" s="1204"/>
      <c r="F45" s="1204"/>
      <c r="G45" s="1204"/>
      <c r="H45" s="1204"/>
    </row>
    <row r="46" spans="1:8" s="1194" customFormat="1" ht="12.2" customHeight="1" x14ac:dyDescent="0.2">
      <c r="B46" s="1197"/>
      <c r="C46" s="1205" t="s">
        <v>1649</v>
      </c>
      <c r="D46" s="1192"/>
      <c r="E46" s="1192"/>
      <c r="F46" s="1192"/>
      <c r="G46" s="1192"/>
      <c r="H46" s="1192"/>
    </row>
    <row r="47" spans="1:8" ht="9" customHeight="1" x14ac:dyDescent="0.2"/>
    <row r="48" spans="1:8" ht="12.2" customHeight="1" x14ac:dyDescent="0.2">
      <c r="B48" s="1206"/>
      <c r="C48" s="1207" t="s">
        <v>1650</v>
      </c>
    </row>
    <row r="49" spans="1:12" ht="9" customHeight="1" x14ac:dyDescent="0.2"/>
    <row r="50" spans="1:12" ht="6" customHeight="1" x14ac:dyDescent="0.2">
      <c r="C50" s="1207"/>
    </row>
    <row r="51" spans="1:12" ht="12.2" customHeight="1" x14ac:dyDescent="0.2">
      <c r="A51" s="1209" t="s">
        <v>1804</v>
      </c>
    </row>
    <row r="52" spans="1:12" ht="12.2" customHeight="1" x14ac:dyDescent="0.2">
      <c r="A52" s="1204"/>
    </row>
    <row r="53" spans="1:12" ht="12.2" customHeight="1" x14ac:dyDescent="0.2"/>
    <row r="54" spans="1:12" ht="12.2" customHeight="1" x14ac:dyDescent="0.2"/>
    <row r="55" spans="1:12" ht="12.2" customHeight="1" x14ac:dyDescent="0.2"/>
    <row r="56" spans="1:12" ht="12.2" customHeight="1" x14ac:dyDescent="0.2">
      <c r="A56" s="1208"/>
    </row>
    <row r="59" spans="1:12" ht="12.75" customHeight="1" x14ac:dyDescent="0.2"/>
    <row r="60" spans="1:12" ht="36" customHeight="1" x14ac:dyDescent="0.2">
      <c r="L60" s="1174"/>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1"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K127"/>
  <sheetViews>
    <sheetView showGridLines="0" zoomScale="125" zoomScaleNormal="125" workbookViewId="0">
      <selection activeCell="I124" sqref="I124"/>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503" t="str">
        <f>'Single Audit Cover'!A7</f>
        <v>McHenry CHSD 156</v>
      </c>
      <c r="B1" s="2497"/>
      <c r="C1" s="2497"/>
      <c r="D1" s="2497"/>
    </row>
    <row r="2" spans="1:11" s="1210" customFormat="1" ht="12.75" x14ac:dyDescent="0.2">
      <c r="A2" s="2504">
        <f>'Single Audit Cover'!E7</f>
        <v>44063156016</v>
      </c>
      <c r="B2" s="2505"/>
      <c r="C2" s="2505"/>
      <c r="D2" s="2505"/>
    </row>
    <row r="3" spans="1:11" s="1210" customFormat="1" ht="12.75" x14ac:dyDescent="0.2">
      <c r="A3" s="2503" t="s">
        <v>1593</v>
      </c>
      <c r="B3" s="2497"/>
      <c r="C3" s="2497"/>
      <c r="D3" s="2497"/>
    </row>
    <row r="4" spans="1:11" s="1210" customFormat="1" ht="4.5" customHeight="1" x14ac:dyDescent="0.2">
      <c r="A4" s="1211"/>
      <c r="B4" s="1212"/>
      <c r="C4" s="1212"/>
      <c r="D4" s="1212"/>
    </row>
    <row r="5" spans="1:11" x14ac:dyDescent="0.2">
      <c r="B5" s="1214" t="s">
        <v>1594</v>
      </c>
      <c r="C5" s="1215"/>
      <c r="D5" s="1216"/>
    </row>
    <row r="6" spans="1:11" x14ac:dyDescent="0.2">
      <c r="B6" s="1214" t="s">
        <v>1287</v>
      </c>
      <c r="C6" s="1215"/>
      <c r="D6" s="1216"/>
    </row>
    <row r="7" spans="1:11" x14ac:dyDescent="0.2">
      <c r="B7" s="1214" t="s">
        <v>1595</v>
      </c>
      <c r="C7" s="1215"/>
      <c r="D7" s="1216"/>
    </row>
    <row r="8" spans="1:11" ht="4.5" customHeight="1" x14ac:dyDescent="0.2">
      <c r="B8" s="1214"/>
      <c r="C8" s="1215"/>
      <c r="D8" s="1216"/>
    </row>
    <row r="9" spans="1:11" x14ac:dyDescent="0.2">
      <c r="B9" s="1218" t="s">
        <v>1286</v>
      </c>
      <c r="C9" s="1219"/>
      <c r="D9" s="1216"/>
    </row>
    <row r="10" spans="1:11" ht="4.5" customHeight="1" x14ac:dyDescent="0.2">
      <c r="B10" s="1218"/>
      <c r="C10" s="1219"/>
      <c r="D10" s="1216"/>
    </row>
    <row r="11" spans="1:11" x14ac:dyDescent="0.2">
      <c r="B11" s="1220"/>
      <c r="C11" s="1221">
        <v>1</v>
      </c>
      <c r="D11" s="1222" t="s">
        <v>1805</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1806</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1807</v>
      </c>
      <c r="E15" s="1223"/>
      <c r="F15" s="1223"/>
      <c r="G15" s="1223"/>
      <c r="H15" s="1223"/>
      <c r="I15" s="1223"/>
      <c r="J15" s="1223"/>
      <c r="K15" s="1223"/>
    </row>
    <row r="16" spans="1:11" ht="10.5" customHeight="1" x14ac:dyDescent="0.2">
      <c r="B16" s="1226"/>
      <c r="D16" s="1225" t="s">
        <v>1285</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1808</v>
      </c>
      <c r="E18" s="1223"/>
      <c r="F18" s="1223"/>
      <c r="G18" s="1223"/>
      <c r="H18" s="1223"/>
      <c r="I18" s="1223"/>
      <c r="J18" s="1223"/>
      <c r="K18" s="1223"/>
    </row>
    <row r="19" spans="1:11" ht="9.75" customHeight="1" x14ac:dyDescent="0.2">
      <c r="A19" s="1217"/>
      <c r="B19" s="1226"/>
      <c r="D19" s="1225" t="s">
        <v>1284</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1283</v>
      </c>
      <c r="E21" s="1223"/>
      <c r="F21" s="1223"/>
      <c r="G21" s="1223"/>
      <c r="H21" s="1223"/>
      <c r="I21" s="1223"/>
      <c r="J21" s="1223"/>
      <c r="K21" s="1223"/>
    </row>
    <row r="22" spans="1:11" ht="10.5" customHeight="1" x14ac:dyDescent="0.2">
      <c r="A22" s="1217"/>
      <c r="B22" s="1226"/>
      <c r="D22" s="1225" t="s">
        <v>1282</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1829</v>
      </c>
      <c r="E24" s="1223"/>
      <c r="F24" s="1223"/>
      <c r="G24" s="1223"/>
      <c r="H24" s="1223"/>
      <c r="I24" s="1223"/>
      <c r="J24" s="1223"/>
      <c r="K24" s="1223"/>
    </row>
    <row r="25" spans="1:11" x14ac:dyDescent="0.2">
      <c r="A25" s="1217"/>
      <c r="B25" s="1226"/>
      <c r="D25" s="1225" t="s">
        <v>1809</v>
      </c>
      <c r="E25" s="1223"/>
      <c r="F25" s="1223"/>
      <c r="G25" s="1223"/>
      <c r="H25" s="1223"/>
      <c r="I25" s="1223"/>
      <c r="J25" s="1223"/>
      <c r="K25" s="1223"/>
    </row>
    <row r="26" spans="1:11" x14ac:dyDescent="0.2">
      <c r="A26" s="1217"/>
      <c r="B26" s="1226"/>
      <c r="D26" s="1230" t="s">
        <v>1810</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1651</v>
      </c>
      <c r="E28" s="1223"/>
      <c r="F28" s="1223"/>
      <c r="G28" s="1223"/>
      <c r="H28" s="1223"/>
      <c r="I28" s="1223"/>
      <c r="J28" s="1223"/>
      <c r="K28" s="1223"/>
    </row>
    <row r="29" spans="1:11" ht="10.5" customHeight="1" x14ac:dyDescent="0.2">
      <c r="A29" s="1217"/>
      <c r="D29" s="1231" t="s">
        <v>1652</v>
      </c>
    </row>
    <row r="30" spans="1:11" ht="6" customHeight="1" x14ac:dyDescent="0.2">
      <c r="A30" s="1217"/>
      <c r="D30" s="1216"/>
    </row>
    <row r="31" spans="1:11" x14ac:dyDescent="0.2">
      <c r="A31" s="1217"/>
      <c r="B31" s="1218" t="s">
        <v>1281</v>
      </c>
      <c r="C31" s="1219"/>
      <c r="D31" s="1216"/>
    </row>
    <row r="32" spans="1:11" ht="4.5" customHeight="1" x14ac:dyDescent="0.2">
      <c r="A32" s="1217"/>
      <c r="B32" s="1218"/>
      <c r="C32" s="1219"/>
      <c r="D32" s="1216"/>
    </row>
    <row r="33" spans="1:5" x14ac:dyDescent="0.2">
      <c r="A33" s="1217"/>
      <c r="B33" s="1220"/>
      <c r="C33" s="1221">
        <v>8</v>
      </c>
      <c r="D33" s="1232" t="s">
        <v>1280</v>
      </c>
    </row>
    <row r="34" spans="1:5" ht="10.5" customHeight="1" x14ac:dyDescent="0.2">
      <c r="A34" s="1217"/>
      <c r="B34" s="1233"/>
      <c r="C34" s="1221"/>
      <c r="D34" s="1232" t="s">
        <v>1653</v>
      </c>
    </row>
    <row r="35" spans="1:5" ht="3" customHeight="1" x14ac:dyDescent="0.2">
      <c r="A35" s="1217"/>
      <c r="B35" s="1226"/>
      <c r="D35" s="1216"/>
    </row>
    <row r="36" spans="1:5" x14ac:dyDescent="0.2">
      <c r="A36" s="1217"/>
      <c r="B36" s="1220"/>
      <c r="C36" s="1221">
        <f>C33+1</f>
        <v>9</v>
      </c>
      <c r="D36" s="1232" t="s">
        <v>1279</v>
      </c>
    </row>
    <row r="37" spans="1:5" ht="10.5" customHeight="1" x14ac:dyDescent="0.2">
      <c r="A37" s="1217"/>
      <c r="B37" s="1226"/>
      <c r="D37" s="1232" t="s">
        <v>1653</v>
      </c>
    </row>
    <row r="38" spans="1:5" ht="3" customHeight="1" x14ac:dyDescent="0.2">
      <c r="A38" s="1217"/>
      <c r="B38" s="1234"/>
      <c r="C38" s="1235"/>
      <c r="D38" s="1216"/>
    </row>
    <row r="39" spans="1:5" x14ac:dyDescent="0.2">
      <c r="A39" s="1217"/>
      <c r="B39" s="1236"/>
      <c r="C39" s="1227">
        <f>C36+1</f>
        <v>10</v>
      </c>
      <c r="D39" s="1216" t="s">
        <v>1278</v>
      </c>
    </row>
    <row r="40" spans="1:5" ht="10.5" customHeight="1" x14ac:dyDescent="0.2">
      <c r="A40" s="1217"/>
      <c r="B40" s="1237"/>
      <c r="C40" s="1235"/>
      <c r="D40" s="1216" t="s">
        <v>1654</v>
      </c>
    </row>
    <row r="41" spans="1:5" ht="3" customHeight="1" x14ac:dyDescent="0.2">
      <c r="A41" s="1217"/>
      <c r="B41" s="1234"/>
      <c r="C41" s="1235"/>
      <c r="D41" s="1216"/>
    </row>
    <row r="42" spans="1:5" ht="10.5" customHeight="1" x14ac:dyDescent="0.2">
      <c r="A42" s="1217"/>
      <c r="B42" s="1236"/>
      <c r="C42" s="1227">
        <v>11</v>
      </c>
      <c r="D42" s="1238" t="s">
        <v>1655</v>
      </c>
      <c r="E42" s="312"/>
    </row>
    <row r="43" spans="1:5" ht="3" customHeight="1" x14ac:dyDescent="0.2">
      <c r="A43" s="1217"/>
      <c r="B43" s="1234"/>
      <c r="C43" s="1235"/>
      <c r="D43" s="1216"/>
    </row>
    <row r="44" spans="1:5" x14ac:dyDescent="0.2">
      <c r="A44" s="1217"/>
      <c r="B44" s="1220"/>
      <c r="C44" s="1221">
        <f>C42+1</f>
        <v>12</v>
      </c>
      <c r="D44" s="1232" t="s">
        <v>1277</v>
      </c>
    </row>
    <row r="45" spans="1:5" ht="10.5" customHeight="1" x14ac:dyDescent="0.2">
      <c r="A45" s="1217"/>
      <c r="B45" s="1233"/>
      <c r="C45" s="1221"/>
      <c r="D45" s="1232" t="s">
        <v>1276</v>
      </c>
    </row>
    <row r="46" spans="1:5" ht="10.5" customHeight="1" x14ac:dyDescent="0.2">
      <c r="A46" s="1217"/>
      <c r="B46" s="1234"/>
      <c r="C46" s="1235"/>
      <c r="D46" s="1232" t="s">
        <v>1275</v>
      </c>
    </row>
    <row r="47" spans="1:5" ht="3" customHeight="1" x14ac:dyDescent="0.2">
      <c r="A47" s="1217"/>
      <c r="B47" s="1234"/>
      <c r="C47" s="1235"/>
      <c r="D47" s="1232"/>
    </row>
    <row r="48" spans="1:5" x14ac:dyDescent="0.2">
      <c r="A48" s="1217"/>
      <c r="B48" s="1220"/>
      <c r="C48" s="1221">
        <f>C44+1</f>
        <v>13</v>
      </c>
      <c r="D48" s="1232" t="s">
        <v>1656</v>
      </c>
    </row>
    <row r="49" spans="1:4" ht="3" customHeight="1" x14ac:dyDescent="0.2">
      <c r="A49" s="1217"/>
      <c r="B49" s="1224"/>
      <c r="C49" s="1221"/>
      <c r="D49" s="1232"/>
    </row>
    <row r="50" spans="1:4" x14ac:dyDescent="0.2">
      <c r="A50" s="1217"/>
      <c r="B50" s="1220"/>
      <c r="C50" s="1221">
        <f>C48+1</f>
        <v>14</v>
      </c>
      <c r="D50" s="1232" t="s">
        <v>1274</v>
      </c>
    </row>
    <row r="51" spans="1:4" ht="3" customHeight="1" x14ac:dyDescent="0.2">
      <c r="A51" s="1217"/>
      <c r="B51" s="1224"/>
      <c r="C51" s="1221"/>
      <c r="D51" s="1232"/>
    </row>
    <row r="52" spans="1:4" x14ac:dyDescent="0.2">
      <c r="A52" s="1217"/>
      <c r="B52" s="1220"/>
      <c r="C52" s="1221">
        <f>C50+1</f>
        <v>15</v>
      </c>
      <c r="D52" s="1232" t="s">
        <v>1273</v>
      </c>
    </row>
    <row r="53" spans="1:4" ht="3" customHeight="1" x14ac:dyDescent="0.2">
      <c r="A53" s="1217"/>
      <c r="B53" s="1224"/>
      <c r="C53" s="1221"/>
      <c r="D53" s="1232"/>
    </row>
    <row r="54" spans="1:4" x14ac:dyDescent="0.2">
      <c r="A54" s="1217"/>
      <c r="B54" s="1220"/>
      <c r="C54" s="1221">
        <f>C52+1</f>
        <v>16</v>
      </c>
      <c r="D54" s="1232" t="s">
        <v>1272</v>
      </c>
    </row>
    <row r="55" spans="1:4" ht="3" customHeight="1" x14ac:dyDescent="0.2">
      <c r="A55" s="1217"/>
      <c r="B55" s="1224"/>
      <c r="C55" s="1221"/>
      <c r="D55" s="1232"/>
    </row>
    <row r="56" spans="1:4" x14ac:dyDescent="0.2">
      <c r="A56" s="1217"/>
      <c r="B56" s="1220"/>
      <c r="C56" s="1221">
        <f>C54+1</f>
        <v>17</v>
      </c>
      <c r="D56" s="1216" t="s">
        <v>1811</v>
      </c>
    </row>
    <row r="57" spans="1:4" ht="10.5" customHeight="1" x14ac:dyDescent="0.2">
      <c r="A57" s="1217"/>
      <c r="D57" s="1232" t="s">
        <v>1812</v>
      </c>
    </row>
    <row r="58" spans="1:4" x14ac:dyDescent="0.2">
      <c r="A58" s="1217"/>
      <c r="C58" s="1239"/>
      <c r="D58" s="1232" t="s">
        <v>1813</v>
      </c>
    </row>
    <row r="59" spans="1:4" ht="10.5" customHeight="1" x14ac:dyDescent="0.2">
      <c r="A59" s="1217"/>
      <c r="D59" s="1216" t="s">
        <v>1271</v>
      </c>
    </row>
    <row r="60" spans="1:4" ht="10.5" customHeight="1" x14ac:dyDescent="0.2">
      <c r="A60" s="1217"/>
      <c r="D60" s="1240" t="s">
        <v>1681</v>
      </c>
    </row>
    <row r="61" spans="1:4" ht="10.5" customHeight="1" x14ac:dyDescent="0.2">
      <c r="A61" s="1217"/>
      <c r="C61" s="1239"/>
      <c r="D61" s="1232" t="s">
        <v>1814</v>
      </c>
    </row>
    <row r="62" spans="1:4" ht="10.5" customHeight="1" x14ac:dyDescent="0.2">
      <c r="A62" s="1217"/>
      <c r="D62" s="1241" t="s">
        <v>1270</v>
      </c>
    </row>
    <row r="63" spans="1:4" ht="10.5" customHeight="1" x14ac:dyDescent="0.2">
      <c r="A63" s="1217"/>
      <c r="D63" s="1216" t="s">
        <v>1657</v>
      </c>
    </row>
    <row r="64" spans="1:4" ht="10.5" customHeight="1" x14ac:dyDescent="0.2">
      <c r="A64" s="1217"/>
      <c r="D64" s="1240" t="s">
        <v>1680</v>
      </c>
    </row>
    <row r="65" spans="1:4" x14ac:dyDescent="0.2">
      <c r="A65" s="1217"/>
      <c r="C65" s="1239"/>
      <c r="D65" s="1232" t="s">
        <v>1815</v>
      </c>
    </row>
    <row r="66" spans="1:4" ht="10.5" customHeight="1" x14ac:dyDescent="0.2">
      <c r="A66" s="1217"/>
      <c r="D66" s="1242" t="s">
        <v>1269</v>
      </c>
    </row>
    <row r="67" spans="1:4" ht="10.5" customHeight="1" x14ac:dyDescent="0.2">
      <c r="A67" s="1217"/>
      <c r="D67" s="1216" t="s">
        <v>1658</v>
      </c>
    </row>
    <row r="68" spans="1:4" ht="10.5" customHeight="1" x14ac:dyDescent="0.2">
      <c r="A68" s="1217"/>
      <c r="D68" s="1240" t="s">
        <v>1680</v>
      </c>
    </row>
    <row r="69" spans="1:4" ht="10.5" customHeight="1" x14ac:dyDescent="0.2">
      <c r="A69" s="1217"/>
      <c r="C69" s="1239"/>
      <c r="D69" s="1232" t="s">
        <v>1816</v>
      </c>
    </row>
    <row r="70" spans="1:4" x14ac:dyDescent="0.2">
      <c r="A70" s="1217"/>
      <c r="D70" s="1241" t="s">
        <v>1268</v>
      </c>
    </row>
    <row r="71" spans="1:4" ht="3" customHeight="1" x14ac:dyDescent="0.2">
      <c r="A71" s="1217"/>
      <c r="D71" s="1216"/>
    </row>
    <row r="72" spans="1:4" x14ac:dyDescent="0.2">
      <c r="A72" s="1217"/>
      <c r="B72" s="1220"/>
      <c r="C72" s="1221">
        <f>C56+1</f>
        <v>18</v>
      </c>
      <c r="D72" s="1242" t="s">
        <v>1817</v>
      </c>
    </row>
    <row r="73" spans="1:4" ht="3" customHeight="1" x14ac:dyDescent="0.2">
      <c r="A73" s="1217"/>
      <c r="B73" s="1224"/>
      <c r="C73" s="1221"/>
      <c r="D73" s="1242"/>
    </row>
    <row r="74" spans="1:4" x14ac:dyDescent="0.2">
      <c r="A74" s="1217"/>
      <c r="B74" s="1220"/>
      <c r="C74" s="1221">
        <f>C72+1</f>
        <v>19</v>
      </c>
      <c r="D74" s="1232" t="s">
        <v>1267</v>
      </c>
    </row>
    <row r="75" spans="1:4" ht="3" customHeight="1" x14ac:dyDescent="0.2">
      <c r="A75" s="1217"/>
      <c r="B75" s="1224"/>
      <c r="C75" s="1221"/>
      <c r="D75" s="1232"/>
    </row>
    <row r="76" spans="1:4" x14ac:dyDescent="0.2">
      <c r="A76" s="1217"/>
      <c r="B76" s="1220"/>
      <c r="C76" s="1221">
        <f>C74+1</f>
        <v>20</v>
      </c>
      <c r="D76" s="1243" t="s">
        <v>1818</v>
      </c>
    </row>
    <row r="77" spans="1:4" ht="3" customHeight="1" x14ac:dyDescent="0.2">
      <c r="A77" s="1217"/>
      <c r="B77" s="1224"/>
      <c r="C77" s="1221"/>
      <c r="D77" s="1243"/>
    </row>
    <row r="78" spans="1:4" x14ac:dyDescent="0.2">
      <c r="A78" s="1217"/>
      <c r="B78" s="1220"/>
      <c r="C78" s="1221">
        <f>C76+1</f>
        <v>21</v>
      </c>
      <c r="D78" s="1216" t="s">
        <v>1819</v>
      </c>
    </row>
    <row r="79" spans="1:4" ht="3" customHeight="1" x14ac:dyDescent="0.2">
      <c r="A79" s="1217"/>
      <c r="B79" s="1224"/>
      <c r="C79" s="1221"/>
      <c r="D79" s="1216"/>
    </row>
    <row r="80" spans="1:4" x14ac:dyDescent="0.2">
      <c r="A80" s="1217"/>
      <c r="B80" s="1220"/>
      <c r="C80" s="1221">
        <f>C78+1</f>
        <v>22</v>
      </c>
      <c r="D80" s="1244" t="s">
        <v>1820</v>
      </c>
    </row>
    <row r="81" spans="1:4" ht="3" customHeight="1" x14ac:dyDescent="0.2">
      <c r="A81" s="1217"/>
      <c r="B81" s="1224"/>
      <c r="C81" s="1221"/>
      <c r="D81" s="1244"/>
    </row>
    <row r="82" spans="1:4" x14ac:dyDescent="0.2">
      <c r="A82" s="1217"/>
      <c r="B82" s="1220"/>
      <c r="C82" s="1221">
        <f>C80+1</f>
        <v>23</v>
      </c>
      <c r="D82" s="1243" t="s">
        <v>1821</v>
      </c>
    </row>
    <row r="83" spans="1:4" ht="10.5" customHeight="1" x14ac:dyDescent="0.2">
      <c r="A83" s="1217"/>
      <c r="B83" s="1226"/>
      <c r="D83" s="1232" t="s">
        <v>1266</v>
      </c>
    </row>
    <row r="84" spans="1:4" ht="3" customHeight="1" x14ac:dyDescent="0.2">
      <c r="A84" s="1217"/>
      <c r="B84" s="1226"/>
      <c r="D84" s="1232"/>
    </row>
    <row r="85" spans="1:4" x14ac:dyDescent="0.2">
      <c r="A85" s="1217"/>
      <c r="B85" s="1220"/>
      <c r="C85" s="1221">
        <f>C82+1</f>
        <v>24</v>
      </c>
      <c r="D85" s="1232" t="s">
        <v>1265</v>
      </c>
    </row>
    <row r="86" spans="1:4" ht="3" customHeight="1" x14ac:dyDescent="0.2">
      <c r="A86" s="1217"/>
      <c r="B86" s="1224"/>
      <c r="C86" s="1221"/>
      <c r="D86" s="1232"/>
    </row>
    <row r="87" spans="1:4" x14ac:dyDescent="0.2">
      <c r="A87" s="1217"/>
      <c r="B87" s="1220"/>
      <c r="C87" s="1221">
        <f>C85+1</f>
        <v>25</v>
      </c>
      <c r="D87" s="1232" t="s">
        <v>1264</v>
      </c>
    </row>
    <row r="88" spans="1:4" ht="3" customHeight="1" x14ac:dyDescent="0.2">
      <c r="A88" s="1217"/>
      <c r="B88" s="1224"/>
      <c r="C88" s="1221"/>
      <c r="D88" s="1232"/>
    </row>
    <row r="89" spans="1:4" x14ac:dyDescent="0.2">
      <c r="A89" s="1217"/>
      <c r="B89" s="1220"/>
      <c r="C89" s="1221">
        <f>C87+1</f>
        <v>26</v>
      </c>
      <c r="D89" s="1232" t="s">
        <v>1263</v>
      </c>
    </row>
    <row r="90" spans="1:4" ht="3" customHeight="1" x14ac:dyDescent="0.2">
      <c r="A90" s="1217"/>
      <c r="B90" s="1224"/>
      <c r="C90" s="1221"/>
      <c r="D90" s="1232"/>
    </row>
    <row r="91" spans="1:4" x14ac:dyDescent="0.2">
      <c r="A91" s="1217"/>
      <c r="B91" s="1220"/>
      <c r="C91" s="1221">
        <f>C89+1</f>
        <v>27</v>
      </c>
      <c r="D91" s="1232" t="s">
        <v>1822</v>
      </c>
    </row>
    <row r="92" spans="1:4" x14ac:dyDescent="0.2">
      <c r="A92" s="1217"/>
      <c r="B92" s="1245"/>
      <c r="C92" s="1239"/>
      <c r="D92" s="1232" t="s">
        <v>1262</v>
      </c>
    </row>
    <row r="93" spans="1:4" ht="4.5" customHeight="1" x14ac:dyDescent="0.2">
      <c r="A93" s="1217"/>
      <c r="D93" s="1216"/>
    </row>
    <row r="94" spans="1:4" x14ac:dyDescent="0.2">
      <c r="A94" s="1217"/>
      <c r="B94" s="1218" t="s">
        <v>1659</v>
      </c>
      <c r="C94" s="1219"/>
      <c r="D94" s="1216"/>
    </row>
    <row r="95" spans="1:4" ht="4.5" customHeight="1" x14ac:dyDescent="0.2">
      <c r="A95" s="1217"/>
      <c r="B95" s="1218"/>
      <c r="C95" s="1219"/>
      <c r="D95" s="1216"/>
    </row>
    <row r="96" spans="1:4" x14ac:dyDescent="0.2">
      <c r="A96" s="1217"/>
      <c r="B96" s="1220"/>
      <c r="C96" s="1221">
        <f>C91+1</f>
        <v>28</v>
      </c>
      <c r="D96" s="1232" t="s">
        <v>1823</v>
      </c>
    </row>
    <row r="97" spans="1:4" ht="3" customHeight="1" x14ac:dyDescent="0.2">
      <c r="A97" s="1217"/>
      <c r="B97" s="1224"/>
      <c r="C97" s="1221"/>
      <c r="D97" s="1232"/>
    </row>
    <row r="98" spans="1:4" x14ac:dyDescent="0.2">
      <c r="A98" s="1217"/>
      <c r="B98" s="1220"/>
      <c r="C98" s="1221">
        <f>C96+1</f>
        <v>29</v>
      </c>
      <c r="D98" s="1246" t="s">
        <v>1824</v>
      </c>
    </row>
    <row r="99" spans="1:4" ht="3" customHeight="1" x14ac:dyDescent="0.2">
      <c r="A99" s="1217"/>
      <c r="B99" s="1224"/>
      <c r="C99" s="1221"/>
      <c r="D99" s="1246"/>
    </row>
    <row r="100" spans="1:4" x14ac:dyDescent="0.2">
      <c r="A100" s="1217"/>
      <c r="B100" s="1220"/>
      <c r="C100" s="1221">
        <f>C98+1</f>
        <v>30</v>
      </c>
      <c r="D100" s="1232" t="s">
        <v>1825</v>
      </c>
    </row>
    <row r="101" spans="1:4" ht="3" customHeight="1" x14ac:dyDescent="0.2">
      <c r="A101" s="1217"/>
      <c r="B101" s="1224"/>
      <c r="C101" s="1221"/>
      <c r="D101" s="1247"/>
    </row>
    <row r="102" spans="1:4" x14ac:dyDescent="0.2">
      <c r="A102" s="1217"/>
      <c r="B102" s="1220"/>
      <c r="C102" s="1221">
        <f>C100+1</f>
        <v>31</v>
      </c>
      <c r="D102" s="1232" t="s">
        <v>1660</v>
      </c>
    </row>
    <row r="103" spans="1:4" ht="4.5" customHeight="1" x14ac:dyDescent="0.2">
      <c r="A103" s="1217"/>
      <c r="B103" s="312"/>
      <c r="C103" s="1221"/>
      <c r="D103" s="1232"/>
    </row>
    <row r="104" spans="1:4" ht="14.1" customHeight="1" x14ac:dyDescent="0.2">
      <c r="A104" s="1217"/>
      <c r="B104" s="1248" t="s">
        <v>1261</v>
      </c>
    </row>
    <row r="105" spans="1:4" ht="4.5" customHeight="1" x14ac:dyDescent="0.2">
      <c r="A105" s="1217"/>
      <c r="B105" s="1248"/>
    </row>
    <row r="106" spans="1:4" x14ac:dyDescent="0.2">
      <c r="A106" s="1217"/>
      <c r="B106" s="1220"/>
      <c r="C106" s="1221">
        <f>C102+1</f>
        <v>32</v>
      </c>
      <c r="D106" s="1216" t="s">
        <v>1661</v>
      </c>
    </row>
    <row r="107" spans="1:4" ht="3" customHeight="1" x14ac:dyDescent="0.2">
      <c r="A107" s="1217"/>
      <c r="B107" s="1224"/>
      <c r="C107" s="1221"/>
      <c r="D107" s="1216"/>
    </row>
    <row r="108" spans="1:4" x14ac:dyDescent="0.2">
      <c r="A108" s="1217"/>
      <c r="B108" s="1220"/>
      <c r="C108" s="1221">
        <v>33</v>
      </c>
      <c r="D108" s="1216" t="s">
        <v>1826</v>
      </c>
    </row>
    <row r="109" spans="1:4" ht="3" customHeight="1" x14ac:dyDescent="0.2">
      <c r="A109" s="1217"/>
      <c r="B109" s="1224"/>
      <c r="C109" s="1221"/>
      <c r="D109" s="1216"/>
    </row>
    <row r="110" spans="1:4" x14ac:dyDescent="0.2">
      <c r="A110" s="1217"/>
      <c r="B110" s="1220"/>
      <c r="C110" s="1221">
        <f>C108+1</f>
        <v>34</v>
      </c>
      <c r="D110" s="1216" t="s">
        <v>1260</v>
      </c>
    </row>
    <row r="111" spans="1:4" ht="3" customHeight="1" x14ac:dyDescent="0.2">
      <c r="A111" s="1217"/>
      <c r="B111" s="1224"/>
      <c r="C111" s="1221"/>
      <c r="D111" s="1216"/>
    </row>
    <row r="112" spans="1:4" x14ac:dyDescent="0.2">
      <c r="A112" s="1217"/>
      <c r="B112" s="1220"/>
      <c r="C112" s="1221">
        <f>C110+1</f>
        <v>35</v>
      </c>
      <c r="D112" s="1216" t="s">
        <v>1259</v>
      </c>
    </row>
    <row r="113" spans="1:4" ht="11.25" customHeight="1" x14ac:dyDescent="0.2">
      <c r="A113" s="1217"/>
      <c r="B113" s="1249"/>
      <c r="C113" s="1221"/>
      <c r="D113" s="1250" t="s">
        <v>1258</v>
      </c>
    </row>
    <row r="114" spans="1:4" ht="3" customHeight="1" x14ac:dyDescent="0.2">
      <c r="A114" s="1217"/>
      <c r="B114" s="1251"/>
      <c r="C114" s="1221"/>
      <c r="D114" s="1250"/>
    </row>
    <row r="115" spans="1:4" x14ac:dyDescent="0.2">
      <c r="A115" s="1217"/>
      <c r="B115" s="1220"/>
      <c r="C115" s="1221">
        <f>C112+1</f>
        <v>36</v>
      </c>
      <c r="D115" s="1232" t="s">
        <v>1257</v>
      </c>
    </row>
    <row r="116" spans="1:4" ht="3" customHeight="1" x14ac:dyDescent="0.2">
      <c r="A116" s="1217"/>
      <c r="B116" s="1224"/>
      <c r="C116" s="1221"/>
      <c r="D116" s="1232"/>
    </row>
    <row r="117" spans="1:4" x14ac:dyDescent="0.2">
      <c r="A117" s="1217"/>
      <c r="B117" s="1220"/>
      <c r="C117" s="1221">
        <f>C115+1</f>
        <v>37</v>
      </c>
      <c r="D117" s="1232" t="s">
        <v>1827</v>
      </c>
    </row>
    <row r="118" spans="1:4" ht="3" customHeight="1" x14ac:dyDescent="0.2">
      <c r="A118" s="1217"/>
      <c r="B118" s="1224"/>
      <c r="C118" s="1221"/>
      <c r="D118" s="1232"/>
    </row>
    <row r="119" spans="1:4" x14ac:dyDescent="0.2">
      <c r="A119" s="1217"/>
      <c r="B119" s="1220"/>
      <c r="C119" s="1221">
        <f>C117+1</f>
        <v>38</v>
      </c>
      <c r="D119" s="1232" t="s">
        <v>1828</v>
      </c>
    </row>
    <row r="120" spans="1:4" ht="10.5" customHeight="1" x14ac:dyDescent="0.2">
      <c r="A120" s="1217"/>
      <c r="B120" s="1245"/>
      <c r="C120" s="1221"/>
      <c r="D120" s="1232" t="s">
        <v>1256</v>
      </c>
    </row>
    <row r="121" spans="1:4" ht="10.5" customHeight="1" x14ac:dyDescent="0.2">
      <c r="A121" s="1217"/>
      <c r="B121" s="1245"/>
      <c r="C121" s="1221"/>
      <c r="D121" s="1232" t="s">
        <v>1255</v>
      </c>
    </row>
    <row r="122" spans="1:4" ht="3" customHeight="1" x14ac:dyDescent="0.2">
      <c r="A122" s="1217"/>
      <c r="B122" s="1245"/>
      <c r="C122" s="1221"/>
      <c r="D122" s="1232"/>
    </row>
    <row r="123" spans="1:4" x14ac:dyDescent="0.2">
      <c r="A123" s="1217"/>
      <c r="B123" s="1220"/>
      <c r="C123" s="1221">
        <f>C119+1</f>
        <v>39</v>
      </c>
      <c r="D123" s="1242" t="s">
        <v>1945</v>
      </c>
    </row>
    <row r="124" spans="1:4" x14ac:dyDescent="0.2">
      <c r="A124" s="1217"/>
      <c r="B124" s="312"/>
      <c r="C124" s="1221"/>
      <c r="D124" s="1232" t="s">
        <v>1254</v>
      </c>
    </row>
    <row r="125" spans="1:4" ht="4.5" customHeight="1" x14ac:dyDescent="0.2">
      <c r="A125" s="1217"/>
      <c r="D125" s="1216"/>
    </row>
    <row r="126" spans="1:4" x14ac:dyDescent="0.2">
      <c r="A126" s="1217"/>
      <c r="B126" s="1252"/>
      <c r="C126" s="1221"/>
      <c r="D126" s="1232"/>
    </row>
    <row r="127" spans="1:4" x14ac:dyDescent="0.2">
      <c r="A127" s="1217"/>
      <c r="D127" s="1232"/>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95" firstPageNumber="36" fitToHeight="0"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49"/>
  <sheetViews>
    <sheetView showGridLines="0" topLeftCell="A4" zoomScale="110" zoomScaleNormal="110" zoomScaleSheetLayoutView="100" workbookViewId="0">
      <selection activeCell="I45" sqref="I44:I45"/>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507" t="str">
        <f>'Single Audit Cover'!A7</f>
        <v>McHenry CHSD 156</v>
      </c>
      <c r="B1" s="2507"/>
      <c r="C1" s="2507"/>
      <c r="D1" s="2507"/>
      <c r="E1" s="2507"/>
    </row>
    <row r="2" spans="1:5" x14ac:dyDescent="0.2">
      <c r="A2" s="2508">
        <f>'Single Audit Cover'!E7</f>
        <v>44063156016</v>
      </c>
      <c r="B2" s="2508"/>
      <c r="C2" s="2508"/>
      <c r="D2" s="2508"/>
      <c r="E2" s="2508"/>
    </row>
    <row r="3" spans="1:5" ht="4.5" customHeight="1" x14ac:dyDescent="0.2"/>
    <row r="4" spans="1:5" x14ac:dyDescent="0.2">
      <c r="A4" s="2507" t="s">
        <v>1307</v>
      </c>
      <c r="B4" s="2507"/>
      <c r="C4" s="2507"/>
      <c r="D4" s="2507"/>
      <c r="E4" s="2507"/>
    </row>
    <row r="5" spans="1:5" x14ac:dyDescent="0.2">
      <c r="A5" s="2510" t="str">
        <f>'Single Audit Cover'!A4</f>
        <v>Year Ending June 30, 2018</v>
      </c>
      <c r="B5" s="2510"/>
      <c r="C5" s="2510"/>
      <c r="D5" s="2510"/>
      <c r="E5" s="2510"/>
    </row>
    <row r="6" spans="1:5" x14ac:dyDescent="0.2">
      <c r="A6" s="2507" t="s">
        <v>1306</v>
      </c>
      <c r="B6" s="2507"/>
      <c r="C6" s="2507"/>
      <c r="D6" s="2507"/>
      <c r="E6" s="2507"/>
    </row>
    <row r="8" spans="1:5" x14ac:dyDescent="0.2">
      <c r="A8" s="1255" t="s">
        <v>1305</v>
      </c>
    </row>
    <row r="10" spans="1:5" x14ac:dyDescent="0.2">
      <c r="A10" s="1256" t="s">
        <v>1304</v>
      </c>
      <c r="B10" s="1257" t="s">
        <v>1303</v>
      </c>
      <c r="C10" s="1257"/>
      <c r="D10" s="1258">
        <f>SUM('Acct Summary 7-8'!C7:K7)</f>
        <v>1338134</v>
      </c>
    </row>
    <row r="11" spans="1:5" ht="18" customHeight="1" x14ac:dyDescent="0.2">
      <c r="A11" s="1256" t="s">
        <v>1302</v>
      </c>
      <c r="B11" s="1257"/>
      <c r="C11" s="1257"/>
    </row>
    <row r="12" spans="1:5" x14ac:dyDescent="0.2">
      <c r="A12" s="1256" t="s">
        <v>1301</v>
      </c>
      <c r="B12" s="1257" t="s">
        <v>1300</v>
      </c>
      <c r="C12" s="1257"/>
      <c r="D12" s="1259">
        <f>SUM('Revenues 9-14'!C112:D112,'Revenues 9-14'!F112:G112)</f>
        <v>0</v>
      </c>
    </row>
    <row r="13" spans="1:5" x14ac:dyDescent="0.2">
      <c r="A13" s="1256" t="s">
        <v>1299</v>
      </c>
      <c r="B13" s="1257"/>
      <c r="C13" s="1257"/>
    </row>
    <row r="14" spans="1:5" x14ac:dyDescent="0.2">
      <c r="A14" s="1256" t="s">
        <v>1830</v>
      </c>
      <c r="B14" s="1257"/>
      <c r="C14" s="1257"/>
      <c r="D14" s="1259">
        <f>'ICR Computation 30'!E11</f>
        <v>46814</v>
      </c>
    </row>
    <row r="15" spans="1:5" x14ac:dyDescent="0.2">
      <c r="A15" s="1256"/>
      <c r="B15" s="1257"/>
      <c r="C15" s="1257"/>
    </row>
    <row r="16" spans="1:5" x14ac:dyDescent="0.2">
      <c r="A16" s="1256" t="s">
        <v>1953</v>
      </c>
      <c r="B16" s="1257"/>
      <c r="C16" s="1257"/>
    </row>
    <row r="17" spans="1:4" x14ac:dyDescent="0.2">
      <c r="A17" s="1256" t="s">
        <v>1601</v>
      </c>
      <c r="B17" s="1257" t="s">
        <v>1298</v>
      </c>
      <c r="C17" s="1257"/>
      <c r="D17" s="1259">
        <f>-SUM('Revenues 9-14'!C271:D271,'Revenues 9-14'!F271:G271)</f>
        <v>-145635</v>
      </c>
    </row>
    <row r="19" spans="1:4" ht="13.5" thickBot="1" x14ac:dyDescent="0.25">
      <c r="A19" s="1260" t="s">
        <v>1297</v>
      </c>
      <c r="D19" s="1261">
        <f>SUM(D10:D17)</f>
        <v>1239313</v>
      </c>
    </row>
    <row r="20" spans="1:4" ht="21.75" customHeight="1" thickTop="1" x14ac:dyDescent="0.2"/>
    <row r="21" spans="1:4" x14ac:dyDescent="0.2">
      <c r="A21" s="1255" t="s">
        <v>1296</v>
      </c>
    </row>
    <row r="22" spans="1:4" ht="8.25" customHeight="1" x14ac:dyDescent="0.2"/>
    <row r="23" spans="1:4" x14ac:dyDescent="0.2">
      <c r="A23" s="1262" t="s">
        <v>1290</v>
      </c>
    </row>
    <row r="24" spans="1:4" x14ac:dyDescent="0.2">
      <c r="A24" s="2509" t="s">
        <v>2130</v>
      </c>
      <c r="B24" s="2509"/>
      <c r="D24" s="1263">
        <v>214</v>
      </c>
    </row>
    <row r="25" spans="1:4" x14ac:dyDescent="0.2">
      <c r="A25" s="2506" t="s">
        <v>2131</v>
      </c>
      <c r="B25" s="2506"/>
      <c r="D25" s="1263">
        <v>372</v>
      </c>
    </row>
    <row r="26" spans="1:4" x14ac:dyDescent="0.2">
      <c r="A26" s="2506" t="s">
        <v>2132</v>
      </c>
      <c r="B26" s="2506"/>
      <c r="D26" s="1263">
        <v>-1</v>
      </c>
    </row>
    <row r="27" spans="1:4" x14ac:dyDescent="0.2">
      <c r="A27" s="2506"/>
      <c r="B27" s="2506"/>
      <c r="D27" s="1263"/>
    </row>
    <row r="28" spans="1:4" x14ac:dyDescent="0.2">
      <c r="A28" s="2506"/>
      <c r="B28" s="2506"/>
      <c r="D28" s="1263"/>
    </row>
    <row r="29" spans="1:4" x14ac:dyDescent="0.2">
      <c r="A29" s="2506"/>
      <c r="B29" s="2506"/>
      <c r="D29" s="1263"/>
    </row>
    <row r="30" spans="1:4" x14ac:dyDescent="0.2">
      <c r="A30" s="2506"/>
      <c r="B30" s="2506"/>
      <c r="D30" s="1263"/>
    </row>
    <row r="32" spans="1:4" x14ac:dyDescent="0.2">
      <c r="A32" s="1255" t="s">
        <v>1295</v>
      </c>
      <c r="D32" s="1258">
        <f>SUM(D19:D30)</f>
        <v>1239898</v>
      </c>
    </row>
    <row r="33" spans="1:4" x14ac:dyDescent="0.2">
      <c r="D33" s="1264"/>
    </row>
    <row r="34" spans="1:4" x14ac:dyDescent="0.2">
      <c r="A34" s="317" t="s">
        <v>1294</v>
      </c>
    </row>
    <row r="35" spans="1:4" x14ac:dyDescent="0.2">
      <c r="A35" s="317" t="s">
        <v>1293</v>
      </c>
      <c r="B35" s="1253" t="s">
        <v>1292</v>
      </c>
      <c r="D35" s="1265">
        <f>' SEFA (3)'!F26</f>
        <v>1239898</v>
      </c>
    </row>
    <row r="37" spans="1:4" x14ac:dyDescent="0.2">
      <c r="A37" s="1255" t="s">
        <v>1291</v>
      </c>
    </row>
    <row r="39" spans="1:4" ht="13.35" customHeight="1" x14ac:dyDescent="0.2">
      <c r="A39" s="1262" t="s">
        <v>1290</v>
      </c>
    </row>
    <row r="40" spans="1:4" x14ac:dyDescent="0.2">
      <c r="A40" s="2506"/>
      <c r="B40" s="2506"/>
      <c r="D40" s="1263"/>
    </row>
    <row r="41" spans="1:4" x14ac:dyDescent="0.2">
      <c r="A41" s="2506"/>
      <c r="B41" s="2506"/>
      <c r="D41" s="1266"/>
    </row>
    <row r="42" spans="1:4" x14ac:dyDescent="0.2">
      <c r="A42" s="2506"/>
      <c r="B42" s="2506"/>
      <c r="D42" s="1266"/>
    </row>
    <row r="43" spans="1:4" x14ac:dyDescent="0.2">
      <c r="A43" s="2506"/>
      <c r="B43" s="2506"/>
      <c r="D43" s="1266"/>
    </row>
    <row r="44" spans="1:4" x14ac:dyDescent="0.2">
      <c r="A44" s="2506"/>
      <c r="B44" s="2506"/>
      <c r="D44" s="1266"/>
    </row>
    <row r="45" spans="1:4" x14ac:dyDescent="0.2">
      <c r="A45" s="2506"/>
      <c r="B45" s="2506"/>
      <c r="D45" s="1266"/>
    </row>
    <row r="47" spans="1:4" x14ac:dyDescent="0.2">
      <c r="B47" s="1267" t="s">
        <v>1289</v>
      </c>
      <c r="C47" s="1267"/>
      <c r="D47" s="1268">
        <f>SUM(D35:D45)</f>
        <v>1239898</v>
      </c>
    </row>
    <row r="49" spans="2:4" x14ac:dyDescent="0.2">
      <c r="B49" s="1267" t="s">
        <v>1288</v>
      </c>
      <c r="C49" s="1267"/>
      <c r="D49" s="1268">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52"/>
  <sheetViews>
    <sheetView showGridLines="0" topLeftCell="A22" zoomScale="120" zoomScaleNormal="120" workbookViewId="0">
      <selection activeCell="M23" sqref="M23"/>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512" t="str">
        <f>'Single Audit Cover'!A7</f>
        <v>McHenry CHSD 156</v>
      </c>
      <c r="B1" s="2512"/>
      <c r="C1" s="2512"/>
      <c r="D1" s="2512"/>
      <c r="E1" s="2512"/>
      <c r="F1" s="2512"/>
    </row>
    <row r="2" spans="1:7" ht="13.5" customHeight="1" x14ac:dyDescent="0.2">
      <c r="A2" s="2513">
        <f>'Single Audit Cover'!E7</f>
        <v>44063156016</v>
      </c>
      <c r="B2" s="2513"/>
      <c r="C2" s="2513"/>
      <c r="D2" s="2513"/>
      <c r="E2" s="2513"/>
      <c r="F2" s="2513"/>
      <c r="G2" s="1270"/>
    </row>
    <row r="3" spans="1:7" ht="15.75" customHeight="1" x14ac:dyDescent="0.2">
      <c r="A3" s="2514" t="s">
        <v>1333</v>
      </c>
      <c r="B3" s="2514"/>
      <c r="C3" s="2514"/>
      <c r="D3" s="2514"/>
      <c r="E3" s="2514"/>
      <c r="F3" s="2514"/>
    </row>
    <row r="4" spans="1:7" ht="13.5" customHeight="1" x14ac:dyDescent="0.2">
      <c r="A4" s="2515" t="str">
        <f>'Single Audit Cover'!A4</f>
        <v>Year Ending June 30, 2018</v>
      </c>
      <c r="B4" s="2515"/>
      <c r="C4" s="2515"/>
      <c r="D4" s="2515"/>
      <c r="E4" s="2515"/>
      <c r="F4" s="2515"/>
    </row>
    <row r="5" spans="1:7" ht="8.25" customHeight="1" x14ac:dyDescent="0.2">
      <c r="C5" s="317"/>
      <c r="D5" s="317"/>
    </row>
    <row r="6" spans="1:7" ht="13.5" customHeight="1" x14ac:dyDescent="0.2">
      <c r="A6" s="1271" t="s">
        <v>1831</v>
      </c>
      <c r="C6" s="317"/>
      <c r="D6" s="317"/>
    </row>
    <row r="7" spans="1:7" ht="60.95" customHeight="1" x14ac:dyDescent="0.2">
      <c r="A7" s="2511" t="s">
        <v>2167</v>
      </c>
      <c r="B7" s="2511"/>
      <c r="C7" s="2511"/>
      <c r="D7" s="2511"/>
      <c r="E7" s="2511"/>
      <c r="F7" s="2511"/>
    </row>
    <row r="8" spans="1:7" ht="12" customHeight="1" x14ac:dyDescent="0.2">
      <c r="A8" s="1271"/>
      <c r="B8" s="1277"/>
      <c r="C8" s="1277"/>
      <c r="D8" s="1277"/>
    </row>
    <row r="9" spans="1:7" ht="15" customHeight="1" x14ac:dyDescent="0.2">
      <c r="A9" s="1272" t="s">
        <v>1832</v>
      </c>
      <c r="B9" s="1275"/>
      <c r="C9" s="1275"/>
      <c r="D9" s="1275"/>
      <c r="E9" s="1273"/>
      <c r="F9" s="1273"/>
      <c r="G9" s="1273"/>
    </row>
    <row r="10" spans="1:7" ht="15" customHeight="1" x14ac:dyDescent="0.2">
      <c r="A10" s="1274" t="s">
        <v>1628</v>
      </c>
      <c r="B10" s="1275"/>
      <c r="C10" s="1276"/>
      <c r="D10" s="1275" t="s">
        <v>1629</v>
      </c>
      <c r="E10" s="1276" t="s">
        <v>2165</v>
      </c>
      <c r="F10" s="1275" t="s">
        <v>101</v>
      </c>
      <c r="G10" s="1273"/>
    </row>
    <row r="11" spans="1:7" ht="12" customHeight="1" x14ac:dyDescent="0.2">
      <c r="A11" s="1274"/>
      <c r="B11" s="1275"/>
      <c r="C11" s="1919"/>
      <c r="D11" s="1275"/>
      <c r="E11" s="1919"/>
      <c r="F11" s="1275"/>
      <c r="G11" s="1273"/>
    </row>
    <row r="12" spans="1:7" x14ac:dyDescent="0.2">
      <c r="A12" s="1271" t="s">
        <v>1669</v>
      </c>
      <c r="C12" s="1255"/>
      <c r="D12" s="1255"/>
    </row>
    <row r="13" spans="1:7" ht="21.75" customHeight="1" x14ac:dyDescent="0.2">
      <c r="A13" s="2511" t="s">
        <v>2166</v>
      </c>
      <c r="B13" s="2511"/>
      <c r="C13" s="2511"/>
      <c r="D13" s="2511"/>
      <c r="E13" s="2511"/>
      <c r="F13" s="2511"/>
    </row>
    <row r="14" spans="1:7" ht="9.75" customHeight="1" x14ac:dyDescent="0.2">
      <c r="C14" s="1255"/>
      <c r="D14" s="1255"/>
    </row>
    <row r="15" spans="1:7" ht="13.5" customHeight="1" x14ac:dyDescent="0.2">
      <c r="C15" s="1863" t="s">
        <v>1332</v>
      </c>
      <c r="D15" s="2517" t="s">
        <v>1331</v>
      </c>
      <c r="E15" s="2517"/>
      <c r="F15" s="2517"/>
    </row>
    <row r="16" spans="1:7" ht="13.5" customHeight="1" x14ac:dyDescent="0.2">
      <c r="A16" s="1277"/>
      <c r="B16" s="1271" t="s">
        <v>1330</v>
      </c>
      <c r="C16" s="1863" t="s">
        <v>1329</v>
      </c>
      <c r="D16" s="2518" t="s">
        <v>1670</v>
      </c>
      <c r="E16" s="2518"/>
      <c r="F16" s="2518"/>
    </row>
    <row r="17" spans="1:6" ht="20.45" customHeight="1" x14ac:dyDescent="0.2">
      <c r="A17" s="1278"/>
      <c r="B17" s="1279" t="s">
        <v>2090</v>
      </c>
      <c r="C17" s="1280"/>
      <c r="D17" s="2516"/>
      <c r="E17" s="2516"/>
      <c r="F17" s="2516"/>
    </row>
    <row r="18" spans="1:6" ht="20.65" customHeight="1" x14ac:dyDescent="0.2">
      <c r="A18" s="1278"/>
      <c r="B18" s="1279"/>
      <c r="C18" s="1280"/>
      <c r="D18" s="2516"/>
      <c r="E18" s="2516"/>
      <c r="F18" s="2516"/>
    </row>
    <row r="19" spans="1:6" ht="20.65" customHeight="1" x14ac:dyDescent="0.2">
      <c r="A19" s="1278"/>
      <c r="B19" s="1279"/>
      <c r="C19" s="1280"/>
      <c r="D19" s="2516"/>
      <c r="E19" s="2516"/>
      <c r="F19" s="2516"/>
    </row>
    <row r="20" spans="1:6" ht="20.65" customHeight="1" x14ac:dyDescent="0.2">
      <c r="A20" s="1278"/>
      <c r="B20" s="1279"/>
      <c r="C20" s="1280"/>
      <c r="D20" s="2516"/>
      <c r="E20" s="2516"/>
      <c r="F20" s="2516"/>
    </row>
    <row r="21" spans="1:6" ht="20.65" customHeight="1" x14ac:dyDescent="0.2">
      <c r="A21" s="1278"/>
      <c r="B21" s="1279"/>
      <c r="C21" s="1280"/>
      <c r="D21" s="2516"/>
      <c r="E21" s="2516"/>
      <c r="F21" s="2516"/>
    </row>
    <row r="22" spans="1:6" ht="20.65" customHeight="1" x14ac:dyDescent="0.2">
      <c r="A22" s="1278"/>
      <c r="B22" s="1279"/>
      <c r="C22" s="1280"/>
      <c r="D22" s="2516"/>
      <c r="E22" s="2516"/>
      <c r="F22" s="2516"/>
    </row>
    <row r="23" spans="1:6" ht="20.65" customHeight="1" x14ac:dyDescent="0.2">
      <c r="A23" s="1278"/>
      <c r="B23" s="1279"/>
      <c r="C23" s="1280"/>
      <c r="D23" s="2516"/>
      <c r="E23" s="2516"/>
      <c r="F23" s="2516"/>
    </row>
    <row r="24" spans="1:6" ht="20.65" customHeight="1" x14ac:dyDescent="0.2">
      <c r="A24" s="1278"/>
      <c r="B24" s="1279"/>
      <c r="C24" s="1280"/>
      <c r="D24" s="2516"/>
      <c r="E24" s="2516"/>
      <c r="F24" s="2516"/>
    </row>
    <row r="25" spans="1:6" ht="20.65" customHeight="1" x14ac:dyDescent="0.2">
      <c r="A25" s="1278"/>
      <c r="B25" s="1279"/>
      <c r="C25" s="1280"/>
      <c r="D25" s="2516"/>
      <c r="E25" s="2516"/>
      <c r="F25" s="2516"/>
    </row>
    <row r="26" spans="1:6" ht="20.65" customHeight="1" x14ac:dyDescent="0.2">
      <c r="A26" s="1278"/>
      <c r="B26" s="1279"/>
      <c r="C26" s="1280"/>
      <c r="D26" s="2516"/>
      <c r="E26" s="2516"/>
      <c r="F26" s="2516"/>
    </row>
    <row r="27" spans="1:6" ht="20.65" customHeight="1" x14ac:dyDescent="0.2">
      <c r="A27" s="1278"/>
      <c r="B27" s="1279"/>
      <c r="C27" s="1280"/>
      <c r="D27" s="2516"/>
      <c r="E27" s="2516"/>
      <c r="F27" s="2516"/>
    </row>
    <row r="28" spans="1:6" ht="20.65" customHeight="1" x14ac:dyDescent="0.2">
      <c r="A28" s="1278"/>
      <c r="B28" s="1279"/>
      <c r="C28" s="1280"/>
      <c r="D28" s="2516"/>
      <c r="E28" s="2516"/>
      <c r="F28" s="2516"/>
    </row>
    <row r="29" spans="1:6" ht="20.65" customHeight="1" x14ac:dyDescent="0.2">
      <c r="A29" s="1278"/>
      <c r="B29" s="1279"/>
      <c r="C29" s="1280"/>
      <c r="D29" s="2516"/>
      <c r="E29" s="2516"/>
      <c r="F29" s="2516"/>
    </row>
    <row r="30" spans="1:6" ht="12" customHeight="1" x14ac:dyDescent="0.2">
      <c r="A30" s="328"/>
      <c r="B30" s="328"/>
      <c r="C30" s="1471"/>
      <c r="D30" s="1920"/>
      <c r="E30" s="1281"/>
    </row>
    <row r="31" spans="1:6" ht="12" customHeight="1" x14ac:dyDescent="0.2">
      <c r="A31" s="1282" t="s">
        <v>1630</v>
      </c>
      <c r="B31" s="328"/>
      <c r="C31" s="1471"/>
      <c r="D31" s="1920"/>
      <c r="E31" s="1281"/>
    </row>
    <row r="32" spans="1:6" ht="30" customHeight="1" x14ac:dyDescent="0.2">
      <c r="A32" s="2520" t="s">
        <v>2202</v>
      </c>
      <c r="B32" s="2520"/>
      <c r="C32" s="2520"/>
      <c r="D32" s="2520"/>
      <c r="E32" s="2520"/>
      <c r="F32" s="2520"/>
    </row>
    <row r="33" spans="1:6" ht="13.5" customHeight="1" x14ac:dyDescent="0.2">
      <c r="A33" s="328" t="s">
        <v>1509</v>
      </c>
      <c r="B33" s="328"/>
      <c r="C33" s="1283">
        <v>46814</v>
      </c>
      <c r="D33" s="1920"/>
      <c r="E33" s="1281"/>
    </row>
    <row r="34" spans="1:6" ht="13.5" customHeight="1" x14ac:dyDescent="0.2">
      <c r="A34" s="328" t="s">
        <v>1946</v>
      </c>
      <c r="B34" s="328"/>
      <c r="C34" s="1284">
        <v>0</v>
      </c>
      <c r="D34" s="1920" t="s">
        <v>1671</v>
      </c>
      <c r="E34" s="2521">
        <f>+C33+C34</f>
        <v>46814</v>
      </c>
      <c r="F34" s="2522"/>
    </row>
    <row r="35" spans="1:6" ht="12" customHeight="1" x14ac:dyDescent="0.2">
      <c r="A35" s="328"/>
      <c r="B35" s="328"/>
      <c r="C35" s="1921"/>
      <c r="D35" s="1920"/>
      <c r="E35" s="1285"/>
      <c r="F35" s="1286"/>
    </row>
    <row r="36" spans="1:6" ht="13.5" customHeight="1" x14ac:dyDescent="0.2">
      <c r="A36" s="1282" t="s">
        <v>1631</v>
      </c>
      <c r="B36" s="328"/>
      <c r="C36" s="1471"/>
      <c r="D36" s="1920"/>
      <c r="E36" s="1281"/>
    </row>
    <row r="37" spans="1:6" ht="14.25" customHeight="1" x14ac:dyDescent="0.2">
      <c r="A37" s="328" t="s">
        <v>1563</v>
      </c>
      <c r="B37" s="328"/>
      <c r="C37" s="1922"/>
      <c r="D37" s="1920"/>
      <c r="E37" s="1281"/>
    </row>
    <row r="38" spans="1:6" ht="14.25" customHeight="1" x14ac:dyDescent="0.2">
      <c r="A38" s="328"/>
      <c r="B38" s="328" t="s">
        <v>1510</v>
      </c>
      <c r="C38" s="1287" t="s">
        <v>401</v>
      </c>
      <c r="D38" s="1920"/>
      <c r="E38" s="1281"/>
    </row>
    <row r="39" spans="1:6" ht="14.25" customHeight="1" x14ac:dyDescent="0.2">
      <c r="A39" s="328"/>
      <c r="B39" s="328" t="s">
        <v>1511</v>
      </c>
      <c r="C39" s="1287" t="s">
        <v>401</v>
      </c>
      <c r="D39" s="1920"/>
      <c r="E39" s="1281"/>
    </row>
    <row r="40" spans="1:6" ht="14.25" customHeight="1" x14ac:dyDescent="0.2">
      <c r="A40" s="328"/>
      <c r="B40" s="328" t="s">
        <v>1512</v>
      </c>
      <c r="C40" s="1287" t="s">
        <v>401</v>
      </c>
      <c r="D40" s="1920"/>
      <c r="E40" s="1281"/>
    </row>
    <row r="41" spans="1:6" ht="14.25" customHeight="1" x14ac:dyDescent="0.2">
      <c r="A41" s="328"/>
      <c r="B41" s="328" t="s">
        <v>1513</v>
      </c>
      <c r="C41" s="1287" t="s">
        <v>401</v>
      </c>
      <c r="D41" s="1920"/>
      <c r="E41" s="1281"/>
    </row>
    <row r="42" spans="1:6" ht="14.25" customHeight="1" x14ac:dyDescent="0.2">
      <c r="A42" s="328" t="s">
        <v>1514</v>
      </c>
      <c r="B42" s="328"/>
      <c r="C42" s="1918">
        <v>0</v>
      </c>
      <c r="D42" s="1920"/>
      <c r="E42" s="1281"/>
    </row>
    <row r="43" spans="1:6" ht="14.25" customHeight="1" x14ac:dyDescent="0.2">
      <c r="A43" s="328" t="s">
        <v>1515</v>
      </c>
      <c r="B43" s="328"/>
      <c r="C43" s="1288" t="s">
        <v>401</v>
      </c>
      <c r="D43" s="1920"/>
      <c r="E43" s="1281"/>
    </row>
    <row r="44" spans="1:6" ht="14.25" customHeight="1" x14ac:dyDescent="0.2">
      <c r="A44" s="328"/>
      <c r="B44" s="328"/>
      <c r="C44" s="1922" t="s">
        <v>1516</v>
      </c>
      <c r="D44" s="1920"/>
      <c r="E44" s="1281"/>
    </row>
    <row r="45" spans="1:6" ht="13.5" customHeight="1" x14ac:dyDescent="0.2">
      <c r="B45" s="322"/>
      <c r="C45" s="1289"/>
      <c r="D45" s="1289"/>
    </row>
    <row r="46" spans="1:6" x14ac:dyDescent="0.2">
      <c r="A46" s="1290" t="s">
        <v>1833</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523" t="s">
        <v>1672</v>
      </c>
      <c r="C49" s="2523"/>
      <c r="D49" s="2523"/>
      <c r="E49" s="1392"/>
    </row>
    <row r="50" spans="1:5" s="1295" customFormat="1" ht="3.75" customHeight="1" x14ac:dyDescent="0.2">
      <c r="A50" s="1294"/>
      <c r="B50" s="1862"/>
      <c r="C50" s="1862"/>
      <c r="D50" s="1862"/>
      <c r="E50" s="1392"/>
    </row>
    <row r="51" spans="1:5" s="1295" customFormat="1" ht="20.25" customHeight="1" x14ac:dyDescent="0.2">
      <c r="A51" s="1296">
        <v>6</v>
      </c>
      <c r="B51" s="2519" t="s">
        <v>1632</v>
      </c>
      <c r="C51" s="2519"/>
      <c r="D51" s="2519"/>
    </row>
    <row r="52" spans="1:5" ht="14.25" customHeight="1" x14ac:dyDescent="0.2">
      <c r="A52" s="1296"/>
      <c r="B52" s="2519"/>
      <c r="C52" s="2519"/>
      <c r="D52" s="2519"/>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N152"/>
  <sheetViews>
    <sheetView showGridLines="0" zoomScale="93" zoomScaleNormal="93" workbookViewId="0">
      <selection sqref="A1:XFD1048576"/>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66" t="str">
        <f>'Single Audit Cover'!A7</f>
        <v>McHenry CHSD 156</v>
      </c>
      <c r="C1" s="2524"/>
      <c r="D1" s="2524"/>
      <c r="E1" s="2524"/>
      <c r="F1" s="2524"/>
      <c r="G1" s="2524"/>
      <c r="H1" s="2524"/>
      <c r="I1" s="2524"/>
      <c r="J1" s="2524"/>
      <c r="K1" s="2524"/>
      <c r="L1" s="2524"/>
      <c r="M1" s="2524"/>
    </row>
    <row r="2" spans="2:14" ht="15" x14ac:dyDescent="0.2">
      <c r="B2" s="2513">
        <f>'Single Audit Cover'!E7</f>
        <v>44063156016</v>
      </c>
      <c r="C2" s="2513"/>
      <c r="D2" s="2513"/>
      <c r="E2" s="2513"/>
      <c r="F2" s="2513"/>
      <c r="G2" s="2513"/>
      <c r="H2" s="2513"/>
      <c r="I2" s="2513"/>
      <c r="J2" s="2513"/>
      <c r="K2" s="2513"/>
      <c r="L2" s="2513"/>
      <c r="M2" s="2513"/>
      <c r="N2" s="1297"/>
    </row>
    <row r="3" spans="2:14" ht="15" x14ac:dyDescent="0.2">
      <c r="B3" s="2525" t="s">
        <v>1281</v>
      </c>
      <c r="C3" s="2525"/>
      <c r="D3" s="2525"/>
      <c r="E3" s="2525"/>
      <c r="F3" s="2525"/>
      <c r="G3" s="2525"/>
      <c r="H3" s="2525"/>
      <c r="I3" s="2525"/>
      <c r="J3" s="2525"/>
      <c r="K3" s="2525"/>
      <c r="L3" s="2525"/>
      <c r="M3" s="2525"/>
      <c r="N3" s="1297"/>
    </row>
    <row r="4" spans="2:14" ht="15" x14ac:dyDescent="0.2">
      <c r="B4" s="2526" t="str">
        <f>'Single Audit Cover'!A4</f>
        <v>Year Ending June 30, 2018</v>
      </c>
      <c r="C4" s="2526"/>
      <c r="D4" s="2526"/>
      <c r="E4" s="2526"/>
      <c r="F4" s="2526"/>
      <c r="G4" s="2526"/>
      <c r="H4" s="2526"/>
      <c r="I4" s="2526"/>
      <c r="J4" s="2526"/>
      <c r="K4" s="2526"/>
      <c r="L4" s="2526"/>
      <c r="M4" s="2526"/>
      <c r="N4" s="1297"/>
    </row>
    <row r="6" spans="2:14" x14ac:dyDescent="0.2">
      <c r="B6" s="1298"/>
      <c r="C6" s="1299"/>
      <c r="D6" s="1300" t="s">
        <v>1327</v>
      </c>
      <c r="E6" s="1301" t="s">
        <v>548</v>
      </c>
      <c r="F6" s="1302"/>
      <c r="G6" s="1303" t="s">
        <v>1834</v>
      </c>
      <c r="H6" s="1301"/>
      <c r="I6" s="1301"/>
      <c r="J6" s="1301"/>
      <c r="K6" s="1304"/>
      <c r="L6" s="1305"/>
      <c r="M6" s="1306"/>
    </row>
    <row r="7" spans="2:14" x14ac:dyDescent="0.2">
      <c r="B7" s="1307" t="s">
        <v>1662</v>
      </c>
      <c r="C7" s="1308"/>
      <c r="D7" s="1309"/>
      <c r="E7" s="1310"/>
      <c r="F7" s="1311"/>
      <c r="G7" s="1310"/>
      <c r="H7" s="1312" t="s">
        <v>1324</v>
      </c>
      <c r="I7" s="1310"/>
      <c r="J7" s="1313" t="s">
        <v>1324</v>
      </c>
      <c r="K7" s="1314"/>
      <c r="L7" s="1315" t="s">
        <v>1322</v>
      </c>
      <c r="M7" s="1316"/>
    </row>
    <row r="8" spans="2:14" x14ac:dyDescent="0.2">
      <c r="B8" s="1679"/>
      <c r="C8" s="1308" t="s">
        <v>1326</v>
      </c>
      <c r="D8" s="1309" t="s">
        <v>1325</v>
      </c>
      <c r="E8" s="1317" t="s">
        <v>1324</v>
      </c>
      <c r="F8" s="1318" t="s">
        <v>1324</v>
      </c>
      <c r="G8" s="1319" t="s">
        <v>1324</v>
      </c>
      <c r="H8" s="1312" t="s">
        <v>1663</v>
      </c>
      <c r="I8" s="1314" t="s">
        <v>1324</v>
      </c>
      <c r="J8" s="1313" t="s">
        <v>1947</v>
      </c>
      <c r="K8" s="1314" t="s">
        <v>1323</v>
      </c>
      <c r="L8" s="1315" t="s">
        <v>1319</v>
      </c>
      <c r="M8" s="1316" t="s">
        <v>30</v>
      </c>
    </row>
    <row r="9" spans="2:14" ht="14.25" x14ac:dyDescent="0.2">
      <c r="B9" s="1320" t="s">
        <v>1321</v>
      </c>
      <c r="C9" s="1308" t="s">
        <v>1835</v>
      </c>
      <c r="D9" s="1309" t="s">
        <v>1836</v>
      </c>
      <c r="E9" s="1317" t="s">
        <v>1663</v>
      </c>
      <c r="F9" s="1318" t="s">
        <v>1947</v>
      </c>
      <c r="G9" s="1319" t="s">
        <v>1663</v>
      </c>
      <c r="H9" s="1312" t="s">
        <v>1664</v>
      </c>
      <c r="I9" s="1314" t="s">
        <v>1947</v>
      </c>
      <c r="J9" s="1313" t="s">
        <v>1664</v>
      </c>
      <c r="K9" s="1314" t="s">
        <v>1320</v>
      </c>
      <c r="L9" s="1321" t="s">
        <v>1665</v>
      </c>
      <c r="M9" s="1316"/>
    </row>
    <row r="10" spans="2:14" ht="11.85" customHeight="1" x14ac:dyDescent="0.2">
      <c r="B10" s="1320" t="s">
        <v>1318</v>
      </c>
      <c r="C10" s="1322" t="s">
        <v>1317</v>
      </c>
      <c r="D10" s="1323" t="s">
        <v>1316</v>
      </c>
      <c r="E10" s="1324" t="s">
        <v>1315</v>
      </c>
      <c r="F10" s="1325" t="s">
        <v>1314</v>
      </c>
      <c r="G10" s="1326" t="s">
        <v>1313</v>
      </c>
      <c r="H10" s="1327" t="s">
        <v>1328</v>
      </c>
      <c r="I10" s="1328" t="s">
        <v>1312</v>
      </c>
      <c r="J10" s="1329" t="s">
        <v>1328</v>
      </c>
      <c r="K10" s="1330" t="s">
        <v>1311</v>
      </c>
      <c r="L10" s="1330" t="s">
        <v>1310</v>
      </c>
      <c r="M10" s="1331" t="s">
        <v>1309</v>
      </c>
    </row>
    <row r="11" spans="2:14" ht="20.100000000000001" customHeight="1" x14ac:dyDescent="0.2">
      <c r="B11" s="1953" t="s">
        <v>2087</v>
      </c>
      <c r="C11" s="1956"/>
      <c r="D11" s="1955"/>
      <c r="E11" s="1954"/>
      <c r="F11" s="1954"/>
      <c r="G11" s="1954"/>
      <c r="H11" s="1954"/>
      <c r="I11" s="1954"/>
      <c r="J11" s="1954"/>
      <c r="K11" s="1954"/>
      <c r="L11" s="1954"/>
      <c r="M11" s="1954"/>
    </row>
    <row r="12" spans="2:14" ht="20.100000000000001" customHeight="1" x14ac:dyDescent="0.2">
      <c r="B12" s="1953" t="s">
        <v>2088</v>
      </c>
      <c r="C12" s="1952"/>
      <c r="D12" s="1951"/>
      <c r="E12" s="1950"/>
      <c r="F12" s="1950"/>
      <c r="G12" s="1950"/>
      <c r="H12" s="1950"/>
      <c r="I12" s="1950"/>
      <c r="J12" s="1950"/>
      <c r="K12" s="1950"/>
      <c r="L12" s="1954"/>
      <c r="M12" s="1950"/>
    </row>
    <row r="13" spans="2:14" ht="20.100000000000001" customHeight="1" x14ac:dyDescent="0.2">
      <c r="B13" s="1953" t="s">
        <v>2089</v>
      </c>
      <c r="C13" s="1952">
        <v>10.555</v>
      </c>
      <c r="D13" s="1951" t="s">
        <v>2095</v>
      </c>
      <c r="E13" s="1989"/>
      <c r="F13" s="1989">
        <v>34255</v>
      </c>
      <c r="G13" s="1989"/>
      <c r="H13" s="1989"/>
      <c r="I13" s="1989">
        <v>34255</v>
      </c>
      <c r="J13" s="1989"/>
      <c r="K13" s="1989"/>
      <c r="L13" s="1988">
        <f t="shared" ref="L13:L24" si="0">+G13+I13+K13</f>
        <v>34255</v>
      </c>
      <c r="M13" s="1950" t="s">
        <v>2090</v>
      </c>
    </row>
    <row r="14" spans="2:14" ht="20.100000000000001" customHeight="1" x14ac:dyDescent="0.2">
      <c r="B14" s="1953" t="s">
        <v>2091</v>
      </c>
      <c r="C14" s="1952">
        <v>10.555</v>
      </c>
      <c r="D14" s="1951" t="s">
        <v>2092</v>
      </c>
      <c r="E14" s="1989">
        <v>214933</v>
      </c>
      <c r="F14" s="1989">
        <v>48341</v>
      </c>
      <c r="G14" s="1989">
        <v>214933</v>
      </c>
      <c r="H14" s="1989"/>
      <c r="I14" s="1989">
        <v>48341</v>
      </c>
      <c r="J14" s="1989"/>
      <c r="K14" s="1989"/>
      <c r="L14" s="1988">
        <f t="shared" si="0"/>
        <v>263274</v>
      </c>
      <c r="M14" s="1950" t="s">
        <v>2090</v>
      </c>
    </row>
    <row r="15" spans="2:14" ht="20.100000000000001" customHeight="1" x14ac:dyDescent="0.2">
      <c r="B15" s="1953" t="s">
        <v>2091</v>
      </c>
      <c r="C15" s="1952">
        <v>10.555</v>
      </c>
      <c r="D15" s="1951" t="s">
        <v>2096</v>
      </c>
      <c r="E15" s="1989"/>
      <c r="F15" s="1989">
        <f>213291-23320</f>
        <v>189971</v>
      </c>
      <c r="G15" s="1989"/>
      <c r="H15" s="1989"/>
      <c r="I15" s="1989">
        <v>213291</v>
      </c>
      <c r="J15" s="1989"/>
      <c r="K15" s="1989"/>
      <c r="L15" s="1988">
        <f t="shared" si="0"/>
        <v>213291</v>
      </c>
      <c r="M15" s="1950" t="s">
        <v>2090</v>
      </c>
    </row>
    <row r="16" spans="2:14" ht="20.100000000000001" customHeight="1" x14ac:dyDescent="0.2">
      <c r="B16" s="1953" t="s">
        <v>2093</v>
      </c>
      <c r="C16" s="1952">
        <v>10.553000000000001</v>
      </c>
      <c r="D16" s="1951" t="s">
        <v>2094</v>
      </c>
      <c r="E16" s="1989">
        <v>25441</v>
      </c>
      <c r="F16" s="1989">
        <v>4796</v>
      </c>
      <c r="G16" s="1989">
        <v>25441</v>
      </c>
      <c r="H16" s="1989"/>
      <c r="I16" s="1989">
        <v>4796</v>
      </c>
      <c r="J16" s="1989"/>
      <c r="K16" s="1989"/>
      <c r="L16" s="1988">
        <f t="shared" si="0"/>
        <v>30237</v>
      </c>
      <c r="M16" s="1950" t="s">
        <v>2090</v>
      </c>
    </row>
    <row r="17" spans="2:14" ht="20.100000000000001" customHeight="1" x14ac:dyDescent="0.2">
      <c r="B17" s="1953" t="s">
        <v>2093</v>
      </c>
      <c r="C17" s="1952">
        <v>10.553000000000001</v>
      </c>
      <c r="D17" s="1951" t="s">
        <v>2097</v>
      </c>
      <c r="E17" s="1989"/>
      <c r="F17" s="1989">
        <f>28714-3260</f>
        <v>25454</v>
      </c>
      <c r="G17" s="1989"/>
      <c r="H17" s="1989"/>
      <c r="I17" s="1989">
        <v>28714</v>
      </c>
      <c r="J17" s="1989"/>
      <c r="K17" s="1989"/>
      <c r="L17" s="1988">
        <f t="shared" si="0"/>
        <v>28714</v>
      </c>
      <c r="M17" s="1950" t="s">
        <v>2090</v>
      </c>
    </row>
    <row r="18" spans="2:14" ht="20.100000000000001" customHeight="1" x14ac:dyDescent="0.2">
      <c r="B18" s="1953"/>
      <c r="C18" s="1952"/>
      <c r="D18" s="1951"/>
      <c r="E18" s="1989"/>
      <c r="F18" s="1989"/>
      <c r="G18" s="1989"/>
      <c r="H18" s="1989"/>
      <c r="I18" s="1989"/>
      <c r="J18" s="1989"/>
      <c r="K18" s="1989"/>
      <c r="L18" s="1988"/>
      <c r="M18" s="1950"/>
    </row>
    <row r="19" spans="2:14" ht="20.100000000000001" customHeight="1" x14ac:dyDescent="0.2">
      <c r="B19" s="1960" t="s">
        <v>2098</v>
      </c>
      <c r="C19" s="1959"/>
      <c r="D19" s="1958"/>
      <c r="E19" s="1989"/>
      <c r="F19" s="1989"/>
      <c r="G19" s="1989"/>
      <c r="H19" s="1989"/>
      <c r="I19" s="1989"/>
      <c r="J19" s="1990"/>
      <c r="K19" s="1990"/>
      <c r="L19" s="1991"/>
      <c r="M19" s="1336"/>
    </row>
    <row r="20" spans="2:14" ht="20.100000000000001" customHeight="1" x14ac:dyDescent="0.2">
      <c r="B20" s="1960" t="s">
        <v>2099</v>
      </c>
      <c r="C20" s="1959"/>
      <c r="D20" s="1958"/>
      <c r="E20" s="1989"/>
      <c r="F20" s="1989"/>
      <c r="G20" s="1989"/>
      <c r="H20" s="1989"/>
      <c r="I20" s="1989"/>
      <c r="J20" s="1990"/>
      <c r="K20" s="1990"/>
      <c r="L20" s="1991"/>
      <c r="M20" s="1336"/>
    </row>
    <row r="21" spans="2:14" ht="20.100000000000001" customHeight="1" x14ac:dyDescent="0.2">
      <c r="B21" s="1960" t="s">
        <v>2100</v>
      </c>
      <c r="C21" s="1959"/>
      <c r="D21" s="1958"/>
      <c r="E21" s="1989"/>
      <c r="F21" s="1989"/>
      <c r="G21" s="1989"/>
      <c r="H21" s="1989"/>
      <c r="I21" s="1989"/>
      <c r="J21" s="1990"/>
      <c r="K21" s="1990"/>
      <c r="L21" s="1991"/>
      <c r="M21" s="1336"/>
    </row>
    <row r="22" spans="2:14" ht="20.100000000000001" customHeight="1" x14ac:dyDescent="0.2">
      <c r="B22" s="1960" t="s">
        <v>2089</v>
      </c>
      <c r="C22" s="1959">
        <v>10.555</v>
      </c>
      <c r="D22" s="1958" t="s">
        <v>2095</v>
      </c>
      <c r="E22" s="1989"/>
      <c r="F22" s="1989">
        <v>12559</v>
      </c>
      <c r="G22" s="1989"/>
      <c r="H22" s="1989"/>
      <c r="I22" s="1989">
        <v>12559</v>
      </c>
      <c r="J22" s="1990"/>
      <c r="K22" s="1990"/>
      <c r="L22" s="1991">
        <f t="shared" si="0"/>
        <v>12559</v>
      </c>
      <c r="M22" s="1336" t="s">
        <v>2090</v>
      </c>
    </row>
    <row r="23" spans="2:14" ht="20.100000000000001" customHeight="1" x14ac:dyDescent="0.2">
      <c r="B23" s="1960"/>
      <c r="C23" s="1959"/>
      <c r="D23" s="1958"/>
      <c r="E23" s="1989"/>
      <c r="F23" s="1989"/>
      <c r="G23" s="1989"/>
      <c r="H23" s="1989"/>
      <c r="I23" s="1989"/>
      <c r="J23" s="1990"/>
      <c r="K23" s="1990"/>
      <c r="L23" s="1991"/>
      <c r="M23" s="1336"/>
    </row>
    <row r="24" spans="2:14" ht="20.100000000000001" customHeight="1" x14ac:dyDescent="0.2">
      <c r="B24" s="1960" t="s">
        <v>2101</v>
      </c>
      <c r="C24" s="1959"/>
      <c r="D24" s="1958"/>
      <c r="E24" s="1989">
        <f>SUM(E13:E22)</f>
        <v>240374</v>
      </c>
      <c r="F24" s="1989">
        <f>SUM(F13:F23)</f>
        <v>315376</v>
      </c>
      <c r="G24" s="1989">
        <f>SUM(G13:G22)</f>
        <v>240374</v>
      </c>
      <c r="H24" s="1989"/>
      <c r="I24" s="1989">
        <f>SUM(I13:I22)</f>
        <v>341956</v>
      </c>
      <c r="J24" s="1990"/>
      <c r="K24" s="1990"/>
      <c r="L24" s="1991">
        <f t="shared" si="0"/>
        <v>582330</v>
      </c>
      <c r="M24" s="1336"/>
    </row>
    <row r="25" spans="2:14" ht="20.100000000000001" customHeight="1" x14ac:dyDescent="0.2">
      <c r="B25" s="1332"/>
      <c r="C25" s="1334"/>
      <c r="D25" s="1335"/>
      <c r="E25" s="1990"/>
      <c r="F25" s="1990"/>
      <c r="G25" s="1990"/>
      <c r="H25" s="1990"/>
      <c r="I25" s="1990"/>
      <c r="J25" s="1990"/>
      <c r="K25" s="1990"/>
      <c r="L25" s="1991"/>
      <c r="M25" s="1336"/>
    </row>
    <row r="26" spans="2:14" ht="20.100000000000001" customHeight="1" x14ac:dyDescent="0.2">
      <c r="B26" s="1332"/>
      <c r="C26" s="1334"/>
      <c r="D26" s="1335"/>
      <c r="E26" s="1336"/>
      <c r="F26" s="1336"/>
      <c r="G26" s="1336"/>
      <c r="H26" s="1336"/>
      <c r="I26" s="1336"/>
      <c r="J26" s="1336"/>
      <c r="K26" s="1336"/>
      <c r="L26" s="1333"/>
      <c r="M26" s="1336"/>
    </row>
    <row r="27" spans="2:14" ht="20.100000000000001" customHeight="1" x14ac:dyDescent="0.2">
      <c r="B27" s="1986" t="s">
        <v>2137</v>
      </c>
      <c r="C27" s="1334"/>
      <c r="D27" s="1335"/>
      <c r="E27" s="1336"/>
      <c r="F27" s="1336"/>
      <c r="G27" s="1336"/>
      <c r="H27" s="1336"/>
      <c r="I27" s="1336"/>
      <c r="J27" s="1336"/>
      <c r="K27" s="1336"/>
      <c r="L27" s="1333"/>
      <c r="M27" s="1336"/>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2"/>
      <c r="C29" s="1342"/>
      <c r="D29" s="1343"/>
      <c r="E29" s="1252"/>
      <c r="F29" s="1252"/>
      <c r="G29" s="1245"/>
      <c r="H29" s="1245"/>
      <c r="I29" s="1245"/>
      <c r="J29" s="1245"/>
      <c r="K29" s="1245"/>
      <c r="L29" s="1245"/>
      <c r="M29" s="1252"/>
      <c r="N29" s="1337"/>
    </row>
    <row r="30" spans="2:14" ht="13.5" customHeight="1" x14ac:dyDescent="0.2">
      <c r="B30" s="1277" t="s">
        <v>1837</v>
      </c>
      <c r="C30" s="1342"/>
      <c r="D30" s="1343"/>
      <c r="E30" s="1252"/>
      <c r="F30" s="1252"/>
      <c r="G30" s="1245"/>
      <c r="H30" s="1245"/>
      <c r="I30" s="1245"/>
      <c r="J30" s="1245"/>
      <c r="K30" s="1245"/>
      <c r="L30" s="1245"/>
      <c r="M30" s="1252"/>
      <c r="N30" s="1337"/>
    </row>
    <row r="31" spans="2:14" ht="8.25" customHeight="1" x14ac:dyDescent="0.2">
      <c r="B31" s="1277"/>
      <c r="C31" s="1342"/>
      <c r="D31" s="1343"/>
      <c r="E31" s="1252"/>
      <c r="F31" s="1252"/>
      <c r="G31" s="1245"/>
      <c r="H31" s="1245"/>
      <c r="I31" s="1245"/>
      <c r="J31" s="1245"/>
      <c r="K31" s="1245"/>
      <c r="L31" s="1245"/>
      <c r="M31" s="1252"/>
      <c r="N31" s="1337"/>
    </row>
    <row r="32" spans="2:14" x14ac:dyDescent="0.2">
      <c r="B32" s="1344" t="s">
        <v>1948</v>
      </c>
      <c r="C32" s="1345"/>
      <c r="D32" s="1346"/>
      <c r="E32" s="1347"/>
      <c r="F32" s="1347"/>
      <c r="G32" s="1347"/>
      <c r="H32" s="1347"/>
      <c r="I32" s="317"/>
      <c r="J32" s="317"/>
    </row>
    <row r="33" spans="2:13" x14ac:dyDescent="0.2">
      <c r="B33" s="1272"/>
      <c r="C33" s="1348"/>
      <c r="D33" s="1349"/>
      <c r="E33" s="1273"/>
      <c r="F33" s="1273"/>
      <c r="G33" s="317"/>
      <c r="H33" s="317"/>
      <c r="I33" s="317"/>
      <c r="J33" s="317"/>
    </row>
    <row r="34" spans="2:13" ht="13.5" customHeight="1" x14ac:dyDescent="0.2">
      <c r="B34" s="1271" t="s">
        <v>1308</v>
      </c>
      <c r="G34" s="317"/>
      <c r="H34" s="317"/>
      <c r="I34" s="317"/>
      <c r="J34" s="317"/>
    </row>
    <row r="35" spans="2:13" ht="13.5" customHeight="1" x14ac:dyDescent="0.2">
      <c r="B35" s="1352"/>
      <c r="C35" s="1353"/>
      <c r="D35" s="1354"/>
      <c r="E35" s="1292"/>
      <c r="F35" s="1292"/>
      <c r="G35" s="1292"/>
      <c r="H35" s="1292"/>
      <c r="I35" s="1292"/>
      <c r="J35" s="1292"/>
      <c r="K35" s="1355"/>
      <c r="L35" s="1355"/>
      <c r="M35" s="1292"/>
    </row>
    <row r="36" spans="2:13" ht="9.6" customHeight="1" x14ac:dyDescent="0.2">
      <c r="B36" s="1356"/>
      <c r="G36" s="317"/>
      <c r="H36" s="317"/>
      <c r="I36" s="317"/>
      <c r="J36" s="317"/>
    </row>
    <row r="37" spans="2:13" ht="11.25" customHeight="1" x14ac:dyDescent="0.2">
      <c r="B37" s="1357" t="s">
        <v>1838</v>
      </c>
      <c r="C37" s="1358"/>
      <c r="D37" s="1358"/>
      <c r="E37" s="1358"/>
      <c r="F37" s="1358"/>
      <c r="G37" s="1358"/>
      <c r="H37" s="1358"/>
      <c r="I37" s="1359"/>
      <c r="J37" s="1359"/>
      <c r="K37" s="1359"/>
      <c r="L37" s="1359"/>
      <c r="M37" s="1359"/>
    </row>
    <row r="38" spans="2:13" ht="11.25" customHeight="1" x14ac:dyDescent="0.2">
      <c r="B38" s="1360" t="s">
        <v>1666</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1839</v>
      </c>
      <c r="C40" s="1359"/>
      <c r="D40" s="1359"/>
      <c r="E40" s="1359"/>
      <c r="F40" s="1359"/>
      <c r="G40" s="1359"/>
      <c r="H40" s="1359"/>
      <c r="I40" s="1359"/>
      <c r="J40" s="1359"/>
      <c r="K40" s="1359"/>
      <c r="L40" s="1359"/>
      <c r="M40" s="1359"/>
    </row>
    <row r="41" spans="2:13" ht="11.25" customHeight="1" x14ac:dyDescent="0.2">
      <c r="B41" s="1295" t="s">
        <v>1667</v>
      </c>
      <c r="C41" s="1361"/>
      <c r="D41" s="1362"/>
      <c r="E41" s="1295"/>
      <c r="F41" s="1295"/>
      <c r="G41" s="1295"/>
      <c r="H41" s="1295"/>
      <c r="I41" s="1295"/>
      <c r="J41" s="1295"/>
      <c r="K41" s="1363"/>
      <c r="L41" s="1363"/>
      <c r="M41" s="1295"/>
    </row>
    <row r="42" spans="2:13" ht="3.95" customHeight="1" x14ac:dyDescent="0.2">
      <c r="B42" s="1295"/>
      <c r="C42" s="1361"/>
      <c r="D42" s="1362"/>
      <c r="E42" s="1295"/>
      <c r="F42" s="1295"/>
      <c r="G42" s="1295"/>
      <c r="H42" s="1295"/>
      <c r="I42" s="1295"/>
      <c r="J42" s="1295"/>
      <c r="K42" s="1363"/>
      <c r="L42" s="1363"/>
      <c r="M42" s="1295"/>
    </row>
    <row r="43" spans="2:13" ht="11.25" customHeight="1" x14ac:dyDescent="0.2">
      <c r="B43" s="1364" t="s">
        <v>1840</v>
      </c>
      <c r="C43" s="1361"/>
      <c r="D43" s="1362"/>
      <c r="E43" s="1295"/>
      <c r="F43" s="1295"/>
      <c r="G43" s="1295"/>
      <c r="H43" s="1295"/>
      <c r="I43" s="1295"/>
      <c r="J43" s="1295"/>
      <c r="K43" s="1363"/>
      <c r="L43" s="1363"/>
      <c r="M43" s="1295"/>
    </row>
    <row r="44" spans="2:13" ht="3.95" customHeight="1" x14ac:dyDescent="0.2">
      <c r="B44" s="1364"/>
      <c r="C44" s="1361"/>
      <c r="D44" s="1362"/>
      <c r="E44" s="1295"/>
      <c r="F44" s="1295"/>
      <c r="G44" s="1295"/>
      <c r="H44" s="1295"/>
      <c r="I44" s="1295"/>
      <c r="J44" s="1295"/>
      <c r="K44" s="1363"/>
      <c r="L44" s="1363"/>
      <c r="M44" s="1295"/>
    </row>
    <row r="45" spans="2:13" ht="11.25" customHeight="1" x14ac:dyDescent="0.2">
      <c r="B45" s="1365" t="s">
        <v>1841</v>
      </c>
      <c r="C45" s="1361"/>
      <c r="D45" s="1362"/>
      <c r="E45" s="1295"/>
      <c r="F45" s="1295"/>
      <c r="G45" s="1295"/>
      <c r="H45" s="1295"/>
      <c r="I45" s="1295"/>
      <c r="J45" s="1295"/>
      <c r="K45" s="1363"/>
      <c r="L45" s="1363"/>
      <c r="M45" s="1295"/>
    </row>
    <row r="46" spans="2:13" ht="11.25" customHeight="1" x14ac:dyDescent="0.2">
      <c r="B46" s="1295" t="s">
        <v>1668</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65" right="0.5" top="0.79" bottom="0.61" header="0.5" footer="0.3"/>
  <pageSetup scale="77" firstPageNumber="37" orientation="landscape" useFirstPageNumber="1" r:id="rId1"/>
  <headerFooter alignWithMargins="0">
    <oddHeader>&amp;L&amp;8Page 39&amp;R&amp;8Page 39</oddHeader>
  </headerFooter>
  <ignoredErrors>
    <ignoredError sqref="E24 G24 I24"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143"/>
  <sheetViews>
    <sheetView showGridLines="0" defaultGridColor="0" topLeftCell="A107" colorId="8" zoomScale="110" zoomScaleNormal="110" workbookViewId="0">
      <selection activeCell="C117" sqref="C117:H1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30" t="s">
        <v>1230</v>
      </c>
      <c r="B2" s="2130"/>
      <c r="C2" s="2130"/>
      <c r="D2" s="2130"/>
      <c r="E2" s="2130"/>
      <c r="F2" s="2130"/>
      <c r="G2" s="2130"/>
      <c r="H2" s="2130"/>
      <c r="I2" s="2130"/>
      <c r="J2" s="213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44" t="s">
        <v>1731</v>
      </c>
      <c r="B35" s="2145"/>
      <c r="C35" s="2145"/>
      <c r="D35" s="2145"/>
      <c r="E35" s="2146"/>
      <c r="F35" s="2146"/>
      <c r="G35" s="2146"/>
      <c r="H35" s="2146"/>
      <c r="I35" s="214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44" t="s">
        <v>331</v>
      </c>
      <c r="B47" s="2147"/>
      <c r="C47" s="2147"/>
      <c r="D47" s="2147"/>
      <c r="E47" s="2148"/>
      <c r="F47" s="2148"/>
      <c r="G47" s="2148"/>
      <c r="H47" s="2148"/>
      <c r="I47" s="214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2076</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2076</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51"/>
      <c r="C57" s="2152"/>
      <c r="D57" s="2152"/>
      <c r="E57" s="2152"/>
      <c r="F57" s="2152"/>
      <c r="G57" s="2152"/>
      <c r="H57" s="2152"/>
      <c r="I57" s="2152"/>
      <c r="J57" s="2153"/>
    </row>
    <row r="58" spans="1:10" s="181" customFormat="1" x14ac:dyDescent="0.2">
      <c r="A58" s="253"/>
      <c r="B58" s="2154"/>
      <c r="C58" s="2155"/>
      <c r="D58" s="2155"/>
      <c r="E58" s="2155"/>
      <c r="F58" s="2155"/>
      <c r="G58" s="2155"/>
      <c r="H58" s="2155"/>
      <c r="I58" s="2155"/>
      <c r="J58" s="2156"/>
    </row>
    <row r="59" spans="1:10" s="181" customFormat="1" x14ac:dyDescent="0.2">
      <c r="A59" s="253"/>
      <c r="B59" s="2154"/>
      <c r="C59" s="2155"/>
      <c r="D59" s="2155"/>
      <c r="E59" s="2155"/>
      <c r="F59" s="2155"/>
      <c r="G59" s="2155"/>
      <c r="H59" s="2155"/>
      <c r="I59" s="2155"/>
      <c r="J59" s="2156"/>
    </row>
    <row r="60" spans="1:10" s="181" customFormat="1" x14ac:dyDescent="0.2">
      <c r="A60" s="253"/>
      <c r="B60" s="2154"/>
      <c r="C60" s="2155"/>
      <c r="D60" s="2155"/>
      <c r="E60" s="2155"/>
      <c r="F60" s="2155"/>
      <c r="G60" s="2155"/>
      <c r="H60" s="2155"/>
      <c r="I60" s="2155"/>
      <c r="J60" s="2156"/>
    </row>
    <row r="61" spans="1:10" s="181" customFormat="1" x14ac:dyDescent="0.2">
      <c r="A61" s="253"/>
      <c r="B61" s="2154"/>
      <c r="C61" s="2155"/>
      <c r="D61" s="2155"/>
      <c r="E61" s="2155"/>
      <c r="F61" s="2155"/>
      <c r="G61" s="2155"/>
      <c r="H61" s="2155"/>
      <c r="I61" s="2155"/>
      <c r="J61" s="2156"/>
    </row>
    <row r="62" spans="1:10" s="181" customFormat="1" x14ac:dyDescent="0.2">
      <c r="A62" s="253"/>
      <c r="B62" s="2154"/>
      <c r="C62" s="2155"/>
      <c r="D62" s="2155"/>
      <c r="E62" s="2155"/>
      <c r="F62" s="2155"/>
      <c r="G62" s="2155"/>
      <c r="H62" s="2155"/>
      <c r="I62" s="2155"/>
      <c r="J62" s="2156"/>
    </row>
    <row r="63" spans="1:10" s="181" customFormat="1" x14ac:dyDescent="0.2">
      <c r="A63" s="253"/>
      <c r="B63" s="2154"/>
      <c r="C63" s="2155"/>
      <c r="D63" s="2155"/>
      <c r="E63" s="2155"/>
      <c r="F63" s="2155"/>
      <c r="G63" s="2155"/>
      <c r="H63" s="2155"/>
      <c r="I63" s="2155"/>
      <c r="J63" s="2156"/>
    </row>
    <row r="64" spans="1:10" s="181" customFormat="1" x14ac:dyDescent="0.2">
      <c r="A64" s="253"/>
      <c r="B64" s="2154"/>
      <c r="C64" s="2155"/>
      <c r="D64" s="2155"/>
      <c r="E64" s="2155"/>
      <c r="F64" s="2155"/>
      <c r="G64" s="2155"/>
      <c r="H64" s="2155"/>
      <c r="I64" s="2155"/>
      <c r="J64" s="2156"/>
    </row>
    <row r="65" spans="1:10" s="181" customFormat="1" x14ac:dyDescent="0.2">
      <c r="A65" s="253"/>
      <c r="B65" s="2154"/>
      <c r="C65" s="2155"/>
      <c r="D65" s="2155"/>
      <c r="E65" s="2155"/>
      <c r="F65" s="2155"/>
      <c r="G65" s="2155"/>
      <c r="H65" s="2155"/>
      <c r="I65" s="2155"/>
      <c r="J65" s="2156"/>
    </row>
    <row r="66" spans="1:10" s="181" customFormat="1" x14ac:dyDescent="0.2">
      <c r="A66" s="253"/>
      <c r="B66" s="2154"/>
      <c r="C66" s="2155"/>
      <c r="D66" s="2155"/>
      <c r="E66" s="2155"/>
      <c r="F66" s="2155"/>
      <c r="G66" s="2155"/>
      <c r="H66" s="2155"/>
      <c r="I66" s="2155"/>
      <c r="J66" s="2156"/>
    </row>
    <row r="67" spans="1:10" s="181" customFormat="1" ht="9" customHeight="1" x14ac:dyDescent="0.2">
      <c r="A67" s="254"/>
      <c r="B67" s="2157"/>
      <c r="C67" s="2158"/>
      <c r="D67" s="2158"/>
      <c r="E67" s="2158"/>
      <c r="F67" s="2158"/>
      <c r="G67" s="2158"/>
      <c r="H67" s="2158"/>
      <c r="I67" s="2158"/>
      <c r="J67" s="215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44" t="s">
        <v>1390</v>
      </c>
      <c r="B70" s="2147"/>
      <c r="C70" s="2147"/>
      <c r="D70" s="2147"/>
      <c r="E70" s="2148"/>
      <c r="F70" s="2148"/>
      <c r="G70" s="2148"/>
      <c r="H70" s="2148"/>
      <c r="I70" s="214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3"/>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49" t="s">
        <v>1387</v>
      </c>
      <c r="B83" s="2149"/>
      <c r="C83" s="2149"/>
      <c r="D83" s="215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31"/>
      <c r="C102" s="2132"/>
      <c r="D102" s="2132"/>
      <c r="E102" s="2132"/>
      <c r="F102" s="2132"/>
      <c r="G102" s="2132"/>
      <c r="H102" s="2132"/>
      <c r="I102" s="2133"/>
    </row>
    <row r="103" spans="1:9" s="181" customFormat="1" ht="11.25" customHeight="1" x14ac:dyDescent="0.2">
      <c r="A103" s="316"/>
      <c r="B103" s="2134"/>
      <c r="C103" s="2135"/>
      <c r="D103" s="2135"/>
      <c r="E103" s="2135"/>
      <c r="F103" s="2135"/>
      <c r="G103" s="2135"/>
      <c r="H103" s="2135"/>
      <c r="I103" s="2136"/>
    </row>
    <row r="104" spans="1:9" s="181" customFormat="1" ht="11.25" customHeight="1" x14ac:dyDescent="0.2">
      <c r="A104" s="316"/>
      <c r="B104" s="2134"/>
      <c r="C104" s="2135"/>
      <c r="D104" s="2135"/>
      <c r="E104" s="2135"/>
      <c r="F104" s="2135"/>
      <c r="G104" s="2135"/>
      <c r="H104" s="2135"/>
      <c r="I104" s="2136"/>
    </row>
    <row r="105" spans="1:9" s="181" customFormat="1" x14ac:dyDescent="0.2">
      <c r="A105" s="316"/>
      <c r="B105" s="2134"/>
      <c r="C105" s="2135"/>
      <c r="D105" s="2135"/>
      <c r="E105" s="2135"/>
      <c r="F105" s="2135"/>
      <c r="G105" s="2135"/>
      <c r="H105" s="2135"/>
      <c r="I105" s="2136"/>
    </row>
    <row r="106" spans="1:9" s="181" customFormat="1" ht="11.25" customHeight="1" x14ac:dyDescent="0.2">
      <c r="A106" s="316"/>
      <c r="B106" s="2134"/>
      <c r="C106" s="2135"/>
      <c r="D106" s="2135"/>
      <c r="E106" s="2135"/>
      <c r="F106" s="2135"/>
      <c r="G106" s="2135"/>
      <c r="H106" s="2135"/>
      <c r="I106" s="2136"/>
    </row>
    <row r="107" spans="1:9" s="181" customFormat="1" ht="11.25" customHeight="1" x14ac:dyDescent="0.2">
      <c r="A107" s="316"/>
      <c r="B107" s="2134"/>
      <c r="C107" s="2135"/>
      <c r="D107" s="2135"/>
      <c r="E107" s="2135"/>
      <c r="F107" s="2135"/>
      <c r="G107" s="2135"/>
      <c r="H107" s="2135"/>
      <c r="I107" s="2136"/>
    </row>
    <row r="108" spans="1:9" s="181" customFormat="1" ht="11.25" customHeight="1" x14ac:dyDescent="0.2">
      <c r="A108" s="316"/>
      <c r="B108" s="2134"/>
      <c r="C108" s="2135"/>
      <c r="D108" s="2135"/>
      <c r="E108" s="2135"/>
      <c r="F108" s="2135"/>
      <c r="G108" s="2135"/>
      <c r="H108" s="2135"/>
      <c r="I108" s="2136"/>
    </row>
    <row r="109" spans="1:9" s="181" customFormat="1" ht="11.25" customHeight="1" x14ac:dyDescent="0.2">
      <c r="A109" s="316"/>
      <c r="B109" s="2134"/>
      <c r="C109" s="2135"/>
      <c r="D109" s="2135"/>
      <c r="E109" s="2135"/>
      <c r="F109" s="2135"/>
      <c r="G109" s="2135"/>
      <c r="H109" s="2135"/>
      <c r="I109" s="2136"/>
    </row>
    <row r="110" spans="1:9" s="181" customFormat="1" ht="11.25" customHeight="1" x14ac:dyDescent="0.2">
      <c r="A110" s="316"/>
      <c r="B110" s="2134"/>
      <c r="C110" s="2135"/>
      <c r="D110" s="2135"/>
      <c r="E110" s="2135"/>
      <c r="F110" s="2135"/>
      <c r="G110" s="2135"/>
      <c r="H110" s="2135"/>
      <c r="I110" s="2136"/>
    </row>
    <row r="111" spans="1:9" s="181" customFormat="1" ht="11.25" customHeight="1" x14ac:dyDescent="0.2">
      <c r="A111" s="316"/>
      <c r="B111" s="2134"/>
      <c r="C111" s="2135"/>
      <c r="D111" s="2135"/>
      <c r="E111" s="2135"/>
      <c r="F111" s="2135"/>
      <c r="G111" s="2135"/>
      <c r="H111" s="2135"/>
      <c r="I111" s="2136"/>
    </row>
    <row r="112" spans="1:9" s="181" customFormat="1" ht="11.25" customHeight="1" x14ac:dyDescent="0.2">
      <c r="A112" s="316"/>
      <c r="B112" s="2137"/>
      <c r="C112" s="2138"/>
      <c r="D112" s="2138"/>
      <c r="E112" s="2138"/>
      <c r="F112" s="2138"/>
      <c r="G112" s="2138"/>
      <c r="H112" s="2138"/>
      <c r="I112" s="213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40" t="s">
        <v>2080</v>
      </c>
      <c r="D114" s="214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41" t="s">
        <v>1397</v>
      </c>
      <c r="D117" s="2142"/>
      <c r="E117" s="2143"/>
      <c r="F117" s="2143"/>
      <c r="G117" s="2143"/>
      <c r="H117" s="2143"/>
      <c r="I117" s="304"/>
    </row>
    <row r="118" spans="1:9" s="181" customFormat="1" ht="24" customHeight="1" x14ac:dyDescent="0.2">
      <c r="A118" s="316"/>
      <c r="B118" s="316"/>
      <c r="C118" s="316"/>
      <c r="D118" s="323"/>
      <c r="E118" s="322"/>
      <c r="F118" s="324"/>
      <c r="G118" s="1855"/>
      <c r="H118" s="322"/>
      <c r="I118" s="304"/>
    </row>
    <row r="119" spans="1:9" s="181" customFormat="1" ht="11.25" customHeight="1" x14ac:dyDescent="0.2">
      <c r="A119" s="325"/>
      <c r="B119" s="325"/>
      <c r="C119" s="326"/>
      <c r="D119" s="327" t="s">
        <v>379</v>
      </c>
      <c r="E119" s="310"/>
      <c r="F119" s="1854" t="s">
        <v>2019</v>
      </c>
      <c r="G119" s="328"/>
      <c r="H119" s="328"/>
      <c r="I119" s="304"/>
    </row>
    <row r="120" spans="1:9" x14ac:dyDescent="0.2">
      <c r="A120" s="329"/>
      <c r="B120" s="180"/>
      <c r="C120" s="330"/>
      <c r="D120" s="256"/>
      <c r="E120" s="256"/>
      <c r="F120" s="256"/>
      <c r="G120" s="256"/>
      <c r="H120" s="256"/>
      <c r="I120" s="304"/>
    </row>
    <row r="121" spans="1:9" x14ac:dyDescent="0.2">
      <c r="A121" s="329"/>
      <c r="B121" s="1503"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N152"/>
  <sheetViews>
    <sheetView showGridLines="0" zoomScale="84" zoomScaleNormal="84" workbookViewId="0">
      <selection sqref="A1:XFD1048576"/>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66" t="str">
        <f>'Single Audit Cover'!A7</f>
        <v>McHenry CHSD 156</v>
      </c>
      <c r="C1" s="2524"/>
      <c r="D1" s="2524"/>
      <c r="E1" s="2524"/>
      <c r="F1" s="2524"/>
      <c r="G1" s="2524"/>
      <c r="H1" s="2524"/>
      <c r="I1" s="2524"/>
      <c r="J1" s="2524"/>
      <c r="K1" s="2524"/>
      <c r="L1" s="2524"/>
      <c r="M1" s="2524"/>
    </row>
    <row r="2" spans="2:14" ht="15" x14ac:dyDescent="0.2">
      <c r="B2" s="2513">
        <f>'Single Audit Cover'!E7</f>
        <v>44063156016</v>
      </c>
      <c r="C2" s="2513"/>
      <c r="D2" s="2513"/>
      <c r="E2" s="2513"/>
      <c r="F2" s="2513"/>
      <c r="G2" s="2513"/>
      <c r="H2" s="2513"/>
      <c r="I2" s="2513"/>
      <c r="J2" s="2513"/>
      <c r="K2" s="2513"/>
      <c r="L2" s="2513"/>
      <c r="M2" s="2513"/>
      <c r="N2" s="1297"/>
    </row>
    <row r="3" spans="2:14" ht="15" x14ac:dyDescent="0.2">
      <c r="B3" s="2525" t="s">
        <v>1281</v>
      </c>
      <c r="C3" s="2525"/>
      <c r="D3" s="2525"/>
      <c r="E3" s="2525"/>
      <c r="F3" s="2525"/>
      <c r="G3" s="2525"/>
      <c r="H3" s="2525"/>
      <c r="I3" s="2525"/>
      <c r="J3" s="2525"/>
      <c r="K3" s="2525"/>
      <c r="L3" s="2525"/>
      <c r="M3" s="2525"/>
      <c r="N3" s="1297"/>
    </row>
    <row r="4" spans="2:14" ht="15" x14ac:dyDescent="0.2">
      <c r="B4" s="2526" t="str">
        <f>'Single Audit Cover'!A4</f>
        <v>Year Ending June 30, 2018</v>
      </c>
      <c r="C4" s="2526"/>
      <c r="D4" s="2526"/>
      <c r="E4" s="2526"/>
      <c r="F4" s="2526"/>
      <c r="G4" s="2526"/>
      <c r="H4" s="2526"/>
      <c r="I4" s="2526"/>
      <c r="J4" s="2526"/>
      <c r="K4" s="2526"/>
      <c r="L4" s="2526"/>
      <c r="M4" s="2526"/>
      <c r="N4" s="1297"/>
    </row>
    <row r="6" spans="2:14" x14ac:dyDescent="0.2">
      <c r="B6" s="1298"/>
      <c r="C6" s="1299"/>
      <c r="D6" s="1300" t="s">
        <v>1327</v>
      </c>
      <c r="E6" s="1301" t="s">
        <v>548</v>
      </c>
      <c r="F6" s="1302"/>
      <c r="G6" s="1303" t="s">
        <v>1834</v>
      </c>
      <c r="H6" s="1301"/>
      <c r="I6" s="1301"/>
      <c r="J6" s="1301"/>
      <c r="K6" s="1304"/>
      <c r="L6" s="1305"/>
      <c r="M6" s="1306"/>
    </row>
    <row r="7" spans="2:14" x14ac:dyDescent="0.2">
      <c r="B7" s="1307" t="s">
        <v>1662</v>
      </c>
      <c r="C7" s="1308"/>
      <c r="D7" s="1309"/>
      <c r="E7" s="1310"/>
      <c r="F7" s="1311"/>
      <c r="G7" s="1310"/>
      <c r="H7" s="1312" t="s">
        <v>1324</v>
      </c>
      <c r="I7" s="1310"/>
      <c r="J7" s="1313" t="s">
        <v>1324</v>
      </c>
      <c r="K7" s="1314"/>
      <c r="L7" s="1315" t="s">
        <v>1322</v>
      </c>
      <c r="M7" s="1316"/>
    </row>
    <row r="8" spans="2:14" x14ac:dyDescent="0.2">
      <c r="B8" s="1679"/>
      <c r="C8" s="1308" t="s">
        <v>1326</v>
      </c>
      <c r="D8" s="1309" t="s">
        <v>1325</v>
      </c>
      <c r="E8" s="1317" t="s">
        <v>1324</v>
      </c>
      <c r="F8" s="1318" t="s">
        <v>1324</v>
      </c>
      <c r="G8" s="1319" t="s">
        <v>1324</v>
      </c>
      <c r="H8" s="1312" t="s">
        <v>1663</v>
      </c>
      <c r="I8" s="1314" t="s">
        <v>1324</v>
      </c>
      <c r="J8" s="1313" t="s">
        <v>1947</v>
      </c>
      <c r="K8" s="1314" t="s">
        <v>1323</v>
      </c>
      <c r="L8" s="1315" t="s">
        <v>1319</v>
      </c>
      <c r="M8" s="1316" t="s">
        <v>30</v>
      </c>
    </row>
    <row r="9" spans="2:14" ht="14.25" x14ac:dyDescent="0.2">
      <c r="B9" s="1320" t="s">
        <v>1321</v>
      </c>
      <c r="C9" s="1308" t="s">
        <v>1835</v>
      </c>
      <c r="D9" s="1309" t="s">
        <v>1836</v>
      </c>
      <c r="E9" s="1317" t="s">
        <v>1663</v>
      </c>
      <c r="F9" s="1318" t="s">
        <v>1947</v>
      </c>
      <c r="G9" s="1319" t="s">
        <v>1663</v>
      </c>
      <c r="H9" s="1312" t="s">
        <v>1664</v>
      </c>
      <c r="I9" s="1314" t="s">
        <v>1947</v>
      </c>
      <c r="J9" s="1313" t="s">
        <v>1664</v>
      </c>
      <c r="K9" s="1314" t="s">
        <v>1320</v>
      </c>
      <c r="L9" s="1321" t="s">
        <v>1665</v>
      </c>
      <c r="M9" s="1316"/>
    </row>
    <row r="10" spans="2:14" ht="11.85" customHeight="1" x14ac:dyDescent="0.2">
      <c r="B10" s="1320" t="s">
        <v>1318</v>
      </c>
      <c r="C10" s="1322" t="s">
        <v>1317</v>
      </c>
      <c r="D10" s="1323" t="s">
        <v>1316</v>
      </c>
      <c r="E10" s="1324" t="s">
        <v>1315</v>
      </c>
      <c r="F10" s="1325" t="s">
        <v>1314</v>
      </c>
      <c r="G10" s="1326" t="s">
        <v>1313</v>
      </c>
      <c r="H10" s="1327" t="s">
        <v>1328</v>
      </c>
      <c r="I10" s="1328" t="s">
        <v>1312</v>
      </c>
      <c r="J10" s="1329" t="s">
        <v>1328</v>
      </c>
      <c r="K10" s="1330" t="s">
        <v>1311</v>
      </c>
      <c r="L10" s="1330" t="s">
        <v>1310</v>
      </c>
      <c r="M10" s="1331" t="s">
        <v>1309</v>
      </c>
    </row>
    <row r="11" spans="2:14" ht="20.100000000000001" customHeight="1" x14ac:dyDescent="0.2">
      <c r="B11" s="1964" t="s">
        <v>2102</v>
      </c>
      <c r="C11" s="1967"/>
      <c r="D11" s="1966"/>
      <c r="E11" s="1965"/>
      <c r="F11" s="1965"/>
      <c r="G11" s="1965"/>
      <c r="H11" s="1965"/>
      <c r="I11" s="1965"/>
      <c r="J11" s="1965"/>
      <c r="K11" s="1965"/>
      <c r="L11" s="1961"/>
      <c r="M11" s="1961"/>
    </row>
    <row r="12" spans="2:14" ht="20.100000000000001" customHeight="1" x14ac:dyDescent="0.2">
      <c r="B12" s="1964" t="s">
        <v>2100</v>
      </c>
      <c r="C12" s="1963"/>
      <c r="D12" s="1962"/>
      <c r="E12" s="1987"/>
      <c r="F12" s="1987"/>
      <c r="G12" s="1987"/>
      <c r="H12" s="1987"/>
      <c r="I12" s="1987"/>
      <c r="J12" s="1987"/>
      <c r="K12" s="1987"/>
      <c r="L12" s="1988"/>
      <c r="M12" s="1989"/>
    </row>
    <row r="13" spans="2:14" ht="20.100000000000001" customHeight="1" x14ac:dyDescent="0.2">
      <c r="B13" s="1964" t="s">
        <v>2133</v>
      </c>
      <c r="C13" s="1963">
        <v>84.01</v>
      </c>
      <c r="D13" s="1962" t="s">
        <v>2103</v>
      </c>
      <c r="E13" s="1987">
        <v>150498</v>
      </c>
      <c r="F13" s="1987">
        <v>76952</v>
      </c>
      <c r="G13" s="1987">
        <v>227450</v>
      </c>
      <c r="H13" s="1987"/>
      <c r="I13" s="1987"/>
      <c r="J13" s="1987"/>
      <c r="K13" s="1987"/>
      <c r="L13" s="1988">
        <f t="shared" ref="L13:L24" si="0">+G13+I13+K13</f>
        <v>227450</v>
      </c>
      <c r="M13" s="1989">
        <v>308920</v>
      </c>
    </row>
    <row r="14" spans="2:14" ht="20.100000000000001" customHeight="1" x14ac:dyDescent="0.2">
      <c r="B14" s="1964" t="s">
        <v>2135</v>
      </c>
      <c r="C14" s="1963">
        <v>84.01</v>
      </c>
      <c r="D14" s="1962" t="s">
        <v>2106</v>
      </c>
      <c r="E14" s="1987"/>
      <c r="F14" s="1987">
        <v>212951</v>
      </c>
      <c r="G14" s="1987"/>
      <c r="H14" s="1987"/>
      <c r="I14" s="1987">
        <v>278237</v>
      </c>
      <c r="J14" s="1987"/>
      <c r="K14" s="1987"/>
      <c r="L14" s="1988">
        <f t="shared" si="0"/>
        <v>278237</v>
      </c>
      <c r="M14" s="1989">
        <v>347975</v>
      </c>
    </row>
    <row r="15" spans="2:14" ht="20.100000000000001" customHeight="1" x14ac:dyDescent="0.2">
      <c r="B15" s="1964" t="s">
        <v>2134</v>
      </c>
      <c r="C15" s="1963">
        <v>84.027000000000001</v>
      </c>
      <c r="D15" s="1962" t="s">
        <v>2107</v>
      </c>
      <c r="E15" s="1987"/>
      <c r="F15" s="1987">
        <v>15937</v>
      </c>
      <c r="G15" s="1987"/>
      <c r="H15" s="1987"/>
      <c r="I15" s="1987">
        <v>15937</v>
      </c>
      <c r="J15" s="1987"/>
      <c r="K15" s="1987"/>
      <c r="L15" s="1988">
        <f t="shared" si="0"/>
        <v>15937</v>
      </c>
      <c r="M15" s="1989" t="s">
        <v>2090</v>
      </c>
    </row>
    <row r="16" spans="2:14" ht="20.100000000000001" customHeight="1" x14ac:dyDescent="0.2">
      <c r="B16" s="1964" t="s">
        <v>2134</v>
      </c>
      <c r="C16" s="1963">
        <v>84.027000000000001</v>
      </c>
      <c r="D16" s="1962" t="s">
        <v>2109</v>
      </c>
      <c r="E16" s="1987"/>
      <c r="F16" s="1987">
        <v>56950</v>
      </c>
      <c r="G16" s="1987"/>
      <c r="H16" s="1987"/>
      <c r="I16" s="1987">
        <v>64458</v>
      </c>
      <c r="J16" s="1987"/>
      <c r="K16" s="1987"/>
      <c r="L16" s="1988">
        <f t="shared" si="0"/>
        <v>64458</v>
      </c>
      <c r="M16" s="1989" t="s">
        <v>2090</v>
      </c>
    </row>
    <row r="17" spans="2:14" ht="20.100000000000001" customHeight="1" x14ac:dyDescent="0.2">
      <c r="B17" s="1964" t="s">
        <v>2104</v>
      </c>
      <c r="C17" s="1963">
        <v>84.367000000000004</v>
      </c>
      <c r="D17" s="1962" t="s">
        <v>2105</v>
      </c>
      <c r="E17" s="1987">
        <v>32934</v>
      </c>
      <c r="F17" s="1987">
        <v>12815</v>
      </c>
      <c r="G17" s="1987">
        <v>45749</v>
      </c>
      <c r="H17" s="1987"/>
      <c r="I17" s="1987"/>
      <c r="J17" s="1987"/>
      <c r="K17" s="1987"/>
      <c r="L17" s="1988">
        <f t="shared" si="0"/>
        <v>45749</v>
      </c>
      <c r="M17" s="1989">
        <v>70633</v>
      </c>
    </row>
    <row r="18" spans="2:14" ht="20.100000000000001" customHeight="1" x14ac:dyDescent="0.2">
      <c r="B18" s="1964" t="s">
        <v>2104</v>
      </c>
      <c r="C18" s="1963">
        <v>84.367000000000004</v>
      </c>
      <c r="D18" s="1962" t="s">
        <v>2108</v>
      </c>
      <c r="E18" s="1987"/>
      <c r="F18" s="1987">
        <v>38435</v>
      </c>
      <c r="G18" s="1987"/>
      <c r="H18" s="1987"/>
      <c r="I18" s="1987">
        <v>54517</v>
      </c>
      <c r="J18" s="1987"/>
      <c r="K18" s="1987"/>
      <c r="L18" s="1988">
        <f>G18+I18+K18</f>
        <v>54517</v>
      </c>
      <c r="M18" s="1989">
        <v>90589</v>
      </c>
    </row>
    <row r="19" spans="2:14" ht="20.100000000000001" customHeight="1" x14ac:dyDescent="0.2">
      <c r="B19" s="1971" t="s">
        <v>2128</v>
      </c>
      <c r="C19" s="1970" t="s">
        <v>2113</v>
      </c>
      <c r="D19" s="1969" t="s">
        <v>2114</v>
      </c>
      <c r="E19" s="1987"/>
      <c r="F19" s="1987">
        <v>2861</v>
      </c>
      <c r="G19" s="1987"/>
      <c r="H19" s="1987"/>
      <c r="I19" s="1987">
        <v>9325</v>
      </c>
      <c r="J19" s="1987"/>
      <c r="K19" s="1987"/>
      <c r="L19" s="1988">
        <f>G19+I19+K19</f>
        <v>9325</v>
      </c>
      <c r="M19" s="1989">
        <v>10000</v>
      </c>
    </row>
    <row r="20" spans="2:14" ht="20.100000000000001" customHeight="1" x14ac:dyDescent="0.2">
      <c r="B20" s="1971"/>
      <c r="C20" s="1970"/>
      <c r="D20" s="1969"/>
      <c r="E20" s="1987"/>
      <c r="F20" s="1987"/>
      <c r="G20" s="1987"/>
      <c r="H20" s="1987"/>
      <c r="I20" s="1987"/>
      <c r="J20" s="1987"/>
      <c r="K20" s="1990"/>
      <c r="L20" s="1991"/>
      <c r="M20" s="1990"/>
    </row>
    <row r="21" spans="2:14" ht="20.100000000000001" customHeight="1" x14ac:dyDescent="0.2">
      <c r="B21" s="1971" t="s">
        <v>2102</v>
      </c>
      <c r="C21" s="1970"/>
      <c r="D21" s="1969"/>
      <c r="E21" s="1987"/>
      <c r="F21" s="1987"/>
      <c r="G21" s="1987"/>
      <c r="H21" s="1987"/>
      <c r="I21" s="1987"/>
      <c r="J21" s="1987"/>
      <c r="K21" s="1990"/>
      <c r="L21" s="1991"/>
      <c r="M21" s="1990"/>
    </row>
    <row r="22" spans="2:14" ht="20.100000000000001" customHeight="1" x14ac:dyDescent="0.2">
      <c r="B22" s="1971" t="s">
        <v>2110</v>
      </c>
      <c r="C22" s="1970"/>
      <c r="D22" s="1969"/>
      <c r="E22" s="1987"/>
      <c r="F22" s="1987"/>
      <c r="G22" s="1987"/>
      <c r="H22" s="1987"/>
      <c r="I22" s="1987"/>
      <c r="J22" s="1987"/>
      <c r="K22" s="1990"/>
      <c r="L22" s="1991"/>
      <c r="M22" s="1990"/>
    </row>
    <row r="23" spans="2:14" ht="20.100000000000001" customHeight="1" x14ac:dyDescent="0.2">
      <c r="B23" s="1971" t="s">
        <v>2136</v>
      </c>
      <c r="C23" s="1970">
        <v>84.027000000000001</v>
      </c>
      <c r="D23" s="1969" t="s">
        <v>2111</v>
      </c>
      <c r="E23" s="1987">
        <v>312949</v>
      </c>
      <c r="F23" s="1987">
        <v>120241</v>
      </c>
      <c r="G23" s="1987">
        <v>433190</v>
      </c>
      <c r="H23" s="1987"/>
      <c r="I23" s="1987"/>
      <c r="J23" s="1987"/>
      <c r="K23" s="1990"/>
      <c r="L23" s="1991">
        <f t="shared" si="0"/>
        <v>433190</v>
      </c>
      <c r="M23" s="1990">
        <v>492835</v>
      </c>
    </row>
    <row r="24" spans="2:14" ht="20.100000000000001" customHeight="1" x14ac:dyDescent="0.2">
      <c r="B24" s="1971" t="s">
        <v>2136</v>
      </c>
      <c r="C24" s="1970">
        <v>84.027000000000001</v>
      </c>
      <c r="D24" s="1969" t="s">
        <v>2112</v>
      </c>
      <c r="E24" s="1987"/>
      <c r="F24" s="1987">
        <v>311693</v>
      </c>
      <c r="G24" s="1987"/>
      <c r="H24" s="1987"/>
      <c r="I24" s="1987">
        <v>398301</v>
      </c>
      <c r="J24" s="1990"/>
      <c r="K24" s="1990"/>
      <c r="L24" s="1991">
        <f t="shared" si="0"/>
        <v>398301</v>
      </c>
      <c r="M24" s="1990">
        <v>500232</v>
      </c>
    </row>
    <row r="25" spans="2:14" ht="20.100000000000001" customHeight="1" x14ac:dyDescent="0.2">
      <c r="B25" s="1971"/>
      <c r="C25" s="1970"/>
      <c r="D25" s="1969"/>
      <c r="E25" s="1987"/>
      <c r="F25" s="1987"/>
      <c r="G25" s="1987"/>
      <c r="H25" s="1987"/>
      <c r="I25" s="1987"/>
      <c r="J25" s="1990"/>
      <c r="K25" s="1990"/>
      <c r="L25" s="1991"/>
      <c r="M25" s="1990"/>
    </row>
    <row r="26" spans="2:14" ht="20.100000000000001" customHeight="1" x14ac:dyDescent="0.2">
      <c r="B26" s="1971"/>
      <c r="C26" s="1970"/>
      <c r="D26" s="1969"/>
      <c r="E26" s="1987"/>
      <c r="F26" s="1987"/>
      <c r="G26" s="1987"/>
      <c r="H26" s="1987"/>
      <c r="I26" s="1987"/>
      <c r="J26" s="1990"/>
      <c r="K26" s="1990"/>
      <c r="L26" s="1991"/>
      <c r="M26" s="1990"/>
    </row>
    <row r="27" spans="2:14" ht="20.100000000000001" customHeight="1" x14ac:dyDescent="0.2">
      <c r="B27" s="1986" t="s">
        <v>2129</v>
      </c>
      <c r="C27" s="1970"/>
      <c r="D27" s="1969"/>
      <c r="E27" s="1968"/>
      <c r="F27" s="1968"/>
      <c r="G27" s="1968"/>
      <c r="H27" s="1968"/>
      <c r="I27" s="1968"/>
      <c r="J27" s="1336"/>
      <c r="K27" s="1336"/>
      <c r="L27" s="1333"/>
      <c r="M27" s="1336"/>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2"/>
      <c r="C29" s="1342"/>
      <c r="D29" s="1343"/>
      <c r="E29" s="1252"/>
      <c r="F29" s="1252"/>
      <c r="G29" s="1245"/>
      <c r="H29" s="1245"/>
      <c r="I29" s="1245"/>
      <c r="J29" s="1245"/>
      <c r="K29" s="1245"/>
      <c r="L29" s="1245"/>
      <c r="M29" s="1252"/>
      <c r="N29" s="1337"/>
    </row>
    <row r="30" spans="2:14" ht="13.5" customHeight="1" x14ac:dyDescent="0.2">
      <c r="B30" s="1277" t="s">
        <v>1837</v>
      </c>
      <c r="C30" s="1342"/>
      <c r="D30" s="1343"/>
      <c r="E30" s="1252"/>
      <c r="F30" s="1252"/>
      <c r="G30" s="1245"/>
      <c r="H30" s="1245"/>
      <c r="I30" s="1245"/>
      <c r="J30" s="1245"/>
      <c r="K30" s="1245"/>
      <c r="L30" s="1245"/>
      <c r="M30" s="1252"/>
      <c r="N30" s="1337"/>
    </row>
    <row r="31" spans="2:14" ht="8.25" customHeight="1" x14ac:dyDescent="0.2">
      <c r="B31" s="1277"/>
      <c r="C31" s="1342"/>
      <c r="D31" s="1343"/>
      <c r="E31" s="1252"/>
      <c r="F31" s="1252"/>
      <c r="G31" s="1245"/>
      <c r="H31" s="1245"/>
      <c r="I31" s="1245"/>
      <c r="J31" s="1245"/>
      <c r="K31" s="1245"/>
      <c r="L31" s="1245"/>
      <c r="M31" s="1252"/>
      <c r="N31" s="1337"/>
    </row>
    <row r="32" spans="2:14" x14ac:dyDescent="0.2">
      <c r="B32" s="1344" t="s">
        <v>1948</v>
      </c>
      <c r="C32" s="1345"/>
      <c r="D32" s="1346"/>
      <c r="E32" s="1347"/>
      <c r="F32" s="1347"/>
      <c r="G32" s="1347"/>
      <c r="H32" s="1347"/>
      <c r="I32" s="317"/>
      <c r="J32" s="317"/>
    </row>
    <row r="33" spans="2:13" x14ac:dyDescent="0.2">
      <c r="B33" s="1272"/>
      <c r="C33" s="1348"/>
      <c r="D33" s="1349"/>
      <c r="E33" s="1273"/>
      <c r="F33" s="1273"/>
      <c r="G33" s="317"/>
      <c r="H33" s="317"/>
      <c r="I33" s="317"/>
      <c r="J33" s="317"/>
    </row>
    <row r="34" spans="2:13" ht="13.5" customHeight="1" x14ac:dyDescent="0.2">
      <c r="B34" s="1271" t="s">
        <v>1308</v>
      </c>
      <c r="G34" s="317"/>
      <c r="H34" s="317"/>
      <c r="I34" s="317"/>
      <c r="J34" s="317"/>
    </row>
    <row r="35" spans="2:13" ht="13.5" customHeight="1" x14ac:dyDescent="0.2">
      <c r="B35" s="1352"/>
      <c r="C35" s="1353"/>
      <c r="D35" s="1354"/>
      <c r="E35" s="1292"/>
      <c r="F35" s="1292"/>
      <c r="G35" s="1292"/>
      <c r="H35" s="1292"/>
      <c r="I35" s="1292"/>
      <c r="J35" s="1292"/>
      <c r="K35" s="1355"/>
      <c r="L35" s="1355"/>
      <c r="M35" s="1292"/>
    </row>
    <row r="36" spans="2:13" ht="9.6" customHeight="1" x14ac:dyDescent="0.2">
      <c r="B36" s="1356"/>
      <c r="G36" s="317"/>
      <c r="H36" s="317"/>
      <c r="I36" s="317"/>
      <c r="J36" s="317"/>
    </row>
    <row r="37" spans="2:13" ht="11.25" customHeight="1" x14ac:dyDescent="0.2">
      <c r="B37" s="1357" t="s">
        <v>1838</v>
      </c>
      <c r="C37" s="1358"/>
      <c r="D37" s="1358"/>
      <c r="E37" s="1358"/>
      <c r="F37" s="1358"/>
      <c r="G37" s="1358"/>
      <c r="H37" s="1358"/>
      <c r="I37" s="1359"/>
      <c r="J37" s="1359"/>
      <c r="K37" s="1359"/>
      <c r="L37" s="1359"/>
      <c r="M37" s="1359"/>
    </row>
    <row r="38" spans="2:13" ht="11.25" customHeight="1" x14ac:dyDescent="0.2">
      <c r="B38" s="1360" t="s">
        <v>1666</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1839</v>
      </c>
      <c r="C40" s="1359"/>
      <c r="D40" s="1359"/>
      <c r="E40" s="1359"/>
      <c r="F40" s="1359"/>
      <c r="G40" s="1359"/>
      <c r="H40" s="1359"/>
      <c r="I40" s="1359"/>
      <c r="J40" s="1359"/>
      <c r="K40" s="1359"/>
      <c r="L40" s="1359"/>
      <c r="M40" s="1359"/>
    </row>
    <row r="41" spans="2:13" ht="11.25" customHeight="1" x14ac:dyDescent="0.2">
      <c r="B41" s="1295" t="s">
        <v>1667</v>
      </c>
      <c r="C41" s="1361"/>
      <c r="D41" s="1362"/>
      <c r="E41" s="1295"/>
      <c r="F41" s="1295"/>
      <c r="G41" s="1295"/>
      <c r="H41" s="1295"/>
      <c r="I41" s="1295"/>
      <c r="J41" s="1295"/>
      <c r="K41" s="1363"/>
      <c r="L41" s="1363"/>
      <c r="M41" s="1295"/>
    </row>
    <row r="42" spans="2:13" ht="3.95" customHeight="1" x14ac:dyDescent="0.2">
      <c r="B42" s="1295"/>
      <c r="C42" s="1361"/>
      <c r="D42" s="1362"/>
      <c r="E42" s="1295"/>
      <c r="F42" s="1295"/>
      <c r="G42" s="1295"/>
      <c r="H42" s="1295"/>
      <c r="I42" s="1295"/>
      <c r="J42" s="1295"/>
      <c r="K42" s="1363"/>
      <c r="L42" s="1363"/>
      <c r="M42" s="1295"/>
    </row>
    <row r="43" spans="2:13" ht="11.25" customHeight="1" x14ac:dyDescent="0.2">
      <c r="B43" s="1364" t="s">
        <v>1840</v>
      </c>
      <c r="C43" s="1361"/>
      <c r="D43" s="1362"/>
      <c r="E43" s="1295"/>
      <c r="F43" s="1295"/>
      <c r="G43" s="1295"/>
      <c r="H43" s="1295"/>
      <c r="I43" s="1295"/>
      <c r="J43" s="1295"/>
      <c r="K43" s="1363"/>
      <c r="L43" s="1363"/>
      <c r="M43" s="1295"/>
    </row>
    <row r="44" spans="2:13" ht="3.95" customHeight="1" x14ac:dyDescent="0.2">
      <c r="B44" s="1364"/>
      <c r="C44" s="1361"/>
      <c r="D44" s="1362"/>
      <c r="E44" s="1295"/>
      <c r="F44" s="1295"/>
      <c r="G44" s="1295"/>
      <c r="H44" s="1295"/>
      <c r="I44" s="1295"/>
      <c r="J44" s="1295"/>
      <c r="K44" s="1363"/>
      <c r="L44" s="1363"/>
      <c r="M44" s="1295"/>
    </row>
    <row r="45" spans="2:13" ht="11.25" customHeight="1" x14ac:dyDescent="0.2">
      <c r="B45" s="1365" t="s">
        <v>1841</v>
      </c>
      <c r="C45" s="1361"/>
      <c r="D45" s="1362"/>
      <c r="E45" s="1295"/>
      <c r="F45" s="1295"/>
      <c r="G45" s="1295"/>
      <c r="H45" s="1295"/>
      <c r="I45" s="1295"/>
      <c r="J45" s="1295"/>
      <c r="K45" s="1363"/>
      <c r="L45" s="1363"/>
      <c r="M45" s="1295"/>
    </row>
    <row r="46" spans="2:13" ht="11.25" customHeight="1" x14ac:dyDescent="0.2">
      <c r="B46" s="1295" t="s">
        <v>1668</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65" right="0.5" top="0.79" bottom="0.61" header="0.5" footer="0.3"/>
  <pageSetup scale="77" firstPageNumber="37" orientation="landscape" useFirstPageNumber="1" r:id="rId1"/>
  <headerFooter alignWithMargins="0">
    <oddHeader>&amp;L&amp;8Page 39&amp;R&amp;8Page 39</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N152"/>
  <sheetViews>
    <sheetView showGridLines="0" zoomScale="82" zoomScaleNormal="82" workbookViewId="0">
      <selection sqref="A1:XFD1048576"/>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66" t="str">
        <f>'Single Audit Cover'!A7</f>
        <v>McHenry CHSD 156</v>
      </c>
      <c r="C1" s="2524"/>
      <c r="D1" s="2524"/>
      <c r="E1" s="2524"/>
      <c r="F1" s="2524"/>
      <c r="G1" s="2524"/>
      <c r="H1" s="2524"/>
      <c r="I1" s="2524"/>
      <c r="J1" s="2524"/>
      <c r="K1" s="2524"/>
      <c r="L1" s="2524"/>
      <c r="M1" s="2524"/>
    </row>
    <row r="2" spans="2:14" ht="15" x14ac:dyDescent="0.2">
      <c r="B2" s="2513">
        <f>'Single Audit Cover'!E7</f>
        <v>44063156016</v>
      </c>
      <c r="C2" s="2513"/>
      <c r="D2" s="2513"/>
      <c r="E2" s="2513"/>
      <c r="F2" s="2513"/>
      <c r="G2" s="2513"/>
      <c r="H2" s="2513"/>
      <c r="I2" s="2513"/>
      <c r="J2" s="2513"/>
      <c r="K2" s="2513"/>
      <c r="L2" s="2513"/>
      <c r="M2" s="2513"/>
      <c r="N2" s="1297"/>
    </row>
    <row r="3" spans="2:14" ht="15" x14ac:dyDescent="0.2">
      <c r="B3" s="2525" t="s">
        <v>1281</v>
      </c>
      <c r="C3" s="2525"/>
      <c r="D3" s="2525"/>
      <c r="E3" s="2525"/>
      <c r="F3" s="2525"/>
      <c r="G3" s="2525"/>
      <c r="H3" s="2525"/>
      <c r="I3" s="2525"/>
      <c r="J3" s="2525"/>
      <c r="K3" s="2525"/>
      <c r="L3" s="2525"/>
      <c r="M3" s="2525"/>
      <c r="N3" s="1297"/>
    </row>
    <row r="4" spans="2:14" ht="15" x14ac:dyDescent="0.2">
      <c r="B4" s="2526" t="str">
        <f>'Single Audit Cover'!A4</f>
        <v>Year Ending June 30, 2018</v>
      </c>
      <c r="C4" s="2526"/>
      <c r="D4" s="2526"/>
      <c r="E4" s="2526"/>
      <c r="F4" s="2526"/>
      <c r="G4" s="2526"/>
      <c r="H4" s="2526"/>
      <c r="I4" s="2526"/>
      <c r="J4" s="2526"/>
      <c r="K4" s="2526"/>
      <c r="L4" s="2526"/>
      <c r="M4" s="2526"/>
      <c r="N4" s="1297"/>
    </row>
    <row r="6" spans="2:14" x14ac:dyDescent="0.2">
      <c r="B6" s="1298"/>
      <c r="C6" s="1299"/>
      <c r="D6" s="1300" t="s">
        <v>1327</v>
      </c>
      <c r="E6" s="1301" t="s">
        <v>548</v>
      </c>
      <c r="F6" s="1302"/>
      <c r="G6" s="1303" t="s">
        <v>1834</v>
      </c>
      <c r="H6" s="1301"/>
      <c r="I6" s="1301"/>
      <c r="J6" s="1301"/>
      <c r="K6" s="1304"/>
      <c r="L6" s="1305"/>
      <c r="M6" s="1306"/>
    </row>
    <row r="7" spans="2:14" x14ac:dyDescent="0.2">
      <c r="B7" s="1307" t="s">
        <v>1662</v>
      </c>
      <c r="C7" s="1308"/>
      <c r="D7" s="1309"/>
      <c r="E7" s="1310"/>
      <c r="F7" s="1311"/>
      <c r="G7" s="1310"/>
      <c r="H7" s="1312" t="s">
        <v>1324</v>
      </c>
      <c r="I7" s="1310"/>
      <c r="J7" s="1313" t="s">
        <v>1324</v>
      </c>
      <c r="K7" s="1314"/>
      <c r="L7" s="1315" t="s">
        <v>1322</v>
      </c>
      <c r="M7" s="1316"/>
    </row>
    <row r="8" spans="2:14" x14ac:dyDescent="0.2">
      <c r="B8" s="1679"/>
      <c r="C8" s="1308" t="s">
        <v>1326</v>
      </c>
      <c r="D8" s="1309" t="s">
        <v>1325</v>
      </c>
      <c r="E8" s="1317" t="s">
        <v>1324</v>
      </c>
      <c r="F8" s="1318" t="s">
        <v>1324</v>
      </c>
      <c r="G8" s="1319" t="s">
        <v>1324</v>
      </c>
      <c r="H8" s="1312" t="s">
        <v>1663</v>
      </c>
      <c r="I8" s="1314" t="s">
        <v>1324</v>
      </c>
      <c r="J8" s="1313" t="s">
        <v>1947</v>
      </c>
      <c r="K8" s="1314" t="s">
        <v>1323</v>
      </c>
      <c r="L8" s="1315" t="s">
        <v>1319</v>
      </c>
      <c r="M8" s="1316" t="s">
        <v>30</v>
      </c>
    </row>
    <row r="9" spans="2:14" ht="14.25" x14ac:dyDescent="0.2">
      <c r="B9" s="1320" t="s">
        <v>1321</v>
      </c>
      <c r="C9" s="1308" t="s">
        <v>1835</v>
      </c>
      <c r="D9" s="1309" t="s">
        <v>1836</v>
      </c>
      <c r="E9" s="1317" t="s">
        <v>1663</v>
      </c>
      <c r="F9" s="1318" t="s">
        <v>1947</v>
      </c>
      <c r="G9" s="1319" t="s">
        <v>1663</v>
      </c>
      <c r="H9" s="1312" t="s">
        <v>1664</v>
      </c>
      <c r="I9" s="1314" t="s">
        <v>1947</v>
      </c>
      <c r="J9" s="1313" t="s">
        <v>1664</v>
      </c>
      <c r="K9" s="1314" t="s">
        <v>1320</v>
      </c>
      <c r="L9" s="1321" t="s">
        <v>1665</v>
      </c>
      <c r="M9" s="1316"/>
    </row>
    <row r="10" spans="2:14" ht="11.85" customHeight="1" x14ac:dyDescent="0.2">
      <c r="B10" s="1320" t="s">
        <v>1318</v>
      </c>
      <c r="C10" s="1322" t="s">
        <v>1317</v>
      </c>
      <c r="D10" s="1323" t="s">
        <v>1316</v>
      </c>
      <c r="E10" s="1324" t="s">
        <v>1315</v>
      </c>
      <c r="F10" s="1325" t="s">
        <v>1314</v>
      </c>
      <c r="G10" s="1326" t="s">
        <v>1313</v>
      </c>
      <c r="H10" s="1327" t="s">
        <v>1328</v>
      </c>
      <c r="I10" s="1328" t="s">
        <v>1312</v>
      </c>
      <c r="J10" s="1329" t="s">
        <v>1328</v>
      </c>
      <c r="K10" s="1330" t="s">
        <v>1311</v>
      </c>
      <c r="L10" s="1330" t="s">
        <v>1310</v>
      </c>
      <c r="M10" s="1331" t="s">
        <v>1309</v>
      </c>
    </row>
    <row r="11" spans="2:14" ht="20.100000000000001" customHeight="1" x14ac:dyDescent="0.2">
      <c r="B11" s="1976" t="s">
        <v>2115</v>
      </c>
      <c r="C11" s="1979"/>
      <c r="D11" s="1978"/>
      <c r="E11" s="1977"/>
      <c r="F11" s="1977"/>
      <c r="G11" s="1977"/>
      <c r="H11" s="1977"/>
      <c r="I11" s="1977"/>
      <c r="J11" s="1972"/>
      <c r="K11" s="1972"/>
      <c r="L11" s="1972"/>
      <c r="M11" s="1972"/>
    </row>
    <row r="12" spans="2:14" ht="20.100000000000001" customHeight="1" x14ac:dyDescent="0.2">
      <c r="B12" s="1976" t="s">
        <v>2116</v>
      </c>
      <c r="C12" s="1975"/>
      <c r="D12" s="1974"/>
      <c r="E12" s="1973"/>
      <c r="F12" s="1973"/>
      <c r="G12" s="1973"/>
      <c r="H12" s="1973"/>
      <c r="I12" s="1973"/>
      <c r="J12" s="1968"/>
      <c r="K12" s="1968"/>
      <c r="L12" s="1972"/>
      <c r="M12" s="1957"/>
    </row>
    <row r="13" spans="2:14" ht="20.100000000000001" customHeight="1" x14ac:dyDescent="0.2">
      <c r="B13" s="1976" t="s">
        <v>2117</v>
      </c>
      <c r="C13" s="1975"/>
      <c r="D13" s="1974"/>
      <c r="E13" s="1973"/>
      <c r="F13" s="1973"/>
      <c r="G13" s="1973"/>
      <c r="H13" s="1973"/>
      <c r="I13" s="1973"/>
      <c r="J13" s="1968"/>
      <c r="K13" s="1968"/>
      <c r="L13" s="1972"/>
      <c r="M13" s="1957"/>
    </row>
    <row r="14" spans="2:14" ht="20.100000000000001" customHeight="1" x14ac:dyDescent="0.2">
      <c r="B14" s="1976" t="s">
        <v>2118</v>
      </c>
      <c r="C14" s="1975">
        <v>84.048000000000002</v>
      </c>
      <c r="D14" s="1974" t="s">
        <v>2138</v>
      </c>
      <c r="E14" s="1973"/>
      <c r="F14" s="1973">
        <v>61039</v>
      </c>
      <c r="G14" s="1973"/>
      <c r="H14" s="1973"/>
      <c r="I14" s="1973">
        <v>61039</v>
      </c>
      <c r="J14" s="1968"/>
      <c r="K14" s="1968"/>
      <c r="L14" s="1972">
        <f t="shared" ref="L14:L26" si="0">+G14+I14+K14</f>
        <v>61039</v>
      </c>
      <c r="M14" s="1957" t="s">
        <v>2090</v>
      </c>
    </row>
    <row r="15" spans="2:14" ht="20.100000000000001" customHeight="1" x14ac:dyDescent="0.2">
      <c r="B15" s="1971"/>
      <c r="C15" s="1970"/>
      <c r="D15" s="1969"/>
      <c r="E15" s="1968"/>
      <c r="F15" s="1968"/>
      <c r="G15" s="1968"/>
      <c r="H15" s="1968"/>
      <c r="I15" s="1968"/>
      <c r="J15" s="1968"/>
      <c r="K15" s="1968"/>
      <c r="L15" s="1972"/>
      <c r="M15" s="1957"/>
    </row>
    <row r="16" spans="2:14" ht="20.100000000000001" customHeight="1" x14ac:dyDescent="0.2">
      <c r="B16" s="1980" t="s">
        <v>2119</v>
      </c>
      <c r="C16" s="1970"/>
      <c r="D16" s="1969"/>
      <c r="E16" s="1968">
        <f>' SEFA (2)'!E13+' SEFA (2)'!E17+' SEFA (2)'!E23</f>
        <v>496381</v>
      </c>
      <c r="F16" s="1968">
        <f>' SEFA (2)'!F13+' SEFA (2)'!F14+' SEFA (2)'!F15+' SEFA (2)'!F16+' SEFA (2)'!F17+' SEFA (2)'!F18+' SEFA (2)'!F19+' SEFA (2)'!F23+' SEFA (2)'!F24+' SEFA (3)'!F14</f>
        <v>909874</v>
      </c>
      <c r="G16" s="1968">
        <f>' SEFA (2)'!G13+' SEFA (2)'!G17+' SEFA (2)'!G23</f>
        <v>706389</v>
      </c>
      <c r="H16" s="1968"/>
      <c r="I16" s="1968">
        <f>' SEFA (2)'!I14+' SEFA (2)'!I15+' SEFA (2)'!I16+' SEFA (2)'!I18+' SEFA (2)'!I19+' SEFA (2)'!I24+' SEFA (3)'!I14</f>
        <v>881814</v>
      </c>
      <c r="J16" s="1968"/>
      <c r="K16" s="1968"/>
      <c r="L16" s="1972">
        <f t="shared" si="0"/>
        <v>1588203</v>
      </c>
      <c r="M16" s="1957"/>
    </row>
    <row r="17" spans="2:14" ht="20.100000000000001" customHeight="1" x14ac:dyDescent="0.2">
      <c r="B17" s="1971"/>
      <c r="C17" s="1970"/>
      <c r="D17" s="1969"/>
      <c r="E17" s="1968"/>
      <c r="F17" s="1968"/>
      <c r="G17" s="1968"/>
      <c r="H17" s="1968"/>
      <c r="I17" s="1968"/>
      <c r="J17" s="1968"/>
      <c r="K17" s="1968"/>
      <c r="L17" s="1972"/>
      <c r="M17" s="1957"/>
    </row>
    <row r="18" spans="2:14" ht="20.100000000000001" customHeight="1" x14ac:dyDescent="0.2">
      <c r="B18" s="1984" t="s">
        <v>2120</v>
      </c>
      <c r="C18" s="1983"/>
      <c r="D18" s="1982"/>
      <c r="E18" s="1981"/>
      <c r="F18" s="1981"/>
      <c r="G18" s="1981"/>
      <c r="H18" s="1981"/>
      <c r="I18" s="1981"/>
      <c r="J18" s="1981"/>
      <c r="K18" s="1968"/>
      <c r="L18" s="1972"/>
      <c r="M18" s="1957"/>
    </row>
    <row r="19" spans="2:14" ht="20.100000000000001" customHeight="1" x14ac:dyDescent="0.2">
      <c r="B19" s="1984" t="s">
        <v>2121</v>
      </c>
      <c r="C19" s="1983"/>
      <c r="D19" s="1982"/>
      <c r="E19" s="1981"/>
      <c r="F19" s="1981"/>
      <c r="G19" s="1981"/>
      <c r="H19" s="1981"/>
      <c r="I19" s="1981"/>
      <c r="J19" s="1981"/>
      <c r="K19" s="1968"/>
      <c r="L19" s="1972"/>
      <c r="M19" s="1957"/>
    </row>
    <row r="20" spans="2:14" ht="20.100000000000001" customHeight="1" x14ac:dyDescent="0.2">
      <c r="B20" s="1984" t="s">
        <v>2122</v>
      </c>
      <c r="C20" s="1983"/>
      <c r="D20" s="1982"/>
      <c r="E20" s="1981"/>
      <c r="F20" s="1981"/>
      <c r="G20" s="1981"/>
      <c r="H20" s="1981"/>
      <c r="I20" s="1981"/>
      <c r="J20" s="1981"/>
      <c r="K20" s="1336"/>
      <c r="L20" s="1333"/>
      <c r="M20" s="1336"/>
    </row>
    <row r="21" spans="2:14" ht="20.100000000000001" customHeight="1" x14ac:dyDescent="0.2">
      <c r="B21" s="1984" t="s">
        <v>2123</v>
      </c>
      <c r="C21" s="1983">
        <v>93.778000000000006</v>
      </c>
      <c r="D21" s="1982" t="s">
        <v>2124</v>
      </c>
      <c r="E21" s="1981">
        <v>13585</v>
      </c>
      <c r="F21" s="1981">
        <v>5345</v>
      </c>
      <c r="G21" s="1981">
        <v>13585</v>
      </c>
      <c r="H21" s="1981"/>
      <c r="I21" s="1981">
        <v>5345</v>
      </c>
      <c r="J21" s="1981"/>
      <c r="K21" s="1336"/>
      <c r="L21" s="1333">
        <f t="shared" si="0"/>
        <v>18930</v>
      </c>
      <c r="M21" s="1336" t="s">
        <v>2090</v>
      </c>
    </row>
    <row r="22" spans="2:14" ht="20.100000000000001" customHeight="1" x14ac:dyDescent="0.2">
      <c r="B22" s="1984" t="s">
        <v>2123</v>
      </c>
      <c r="C22" s="1983">
        <v>93.778000000000006</v>
      </c>
      <c r="D22" s="1982" t="s">
        <v>2125</v>
      </c>
      <c r="E22" s="1981"/>
      <c r="F22" s="1981">
        <v>9303</v>
      </c>
      <c r="G22" s="1981"/>
      <c r="H22" s="1981"/>
      <c r="I22" s="1981">
        <v>9303</v>
      </c>
      <c r="J22" s="1981"/>
      <c r="K22" s="1336"/>
      <c r="L22" s="1333">
        <f t="shared" si="0"/>
        <v>9303</v>
      </c>
      <c r="M22" s="1336" t="s">
        <v>2090</v>
      </c>
    </row>
    <row r="23" spans="2:14" ht="20.100000000000001" customHeight="1" x14ac:dyDescent="0.2">
      <c r="B23" s="1971"/>
      <c r="C23" s="1970"/>
      <c r="D23" s="1969"/>
      <c r="E23" s="1968"/>
      <c r="F23" s="1968"/>
      <c r="G23" s="1968"/>
      <c r="H23" s="1968"/>
      <c r="I23" s="1968"/>
      <c r="J23" s="1968"/>
      <c r="K23" s="1336"/>
      <c r="L23" s="1333"/>
      <c r="M23" s="1336"/>
    </row>
    <row r="24" spans="2:14" ht="20.100000000000001" customHeight="1" x14ac:dyDescent="0.2">
      <c r="B24" s="1985" t="s">
        <v>2126</v>
      </c>
      <c r="C24" s="1970"/>
      <c r="D24" s="1969"/>
      <c r="E24" s="1968">
        <f>E21</f>
        <v>13585</v>
      </c>
      <c r="F24" s="1968">
        <f>F21+F22</f>
        <v>14648</v>
      </c>
      <c r="G24" s="1968">
        <f>G21</f>
        <v>13585</v>
      </c>
      <c r="H24" s="1968"/>
      <c r="I24" s="1968">
        <f>I21+I22</f>
        <v>14648</v>
      </c>
      <c r="J24" s="1336"/>
      <c r="K24" s="1336"/>
      <c r="L24" s="1333">
        <f t="shared" si="0"/>
        <v>28233</v>
      </c>
      <c r="M24" s="1336"/>
    </row>
    <row r="25" spans="2:14" ht="20.100000000000001" customHeight="1" x14ac:dyDescent="0.2">
      <c r="B25" s="1971"/>
      <c r="C25" s="1970"/>
      <c r="D25" s="1969"/>
      <c r="E25" s="1968"/>
      <c r="F25" s="1968"/>
      <c r="G25" s="1968"/>
      <c r="H25" s="1968"/>
      <c r="I25" s="1968"/>
      <c r="J25" s="1336"/>
      <c r="K25" s="1336"/>
      <c r="L25" s="1333"/>
      <c r="M25" s="1336"/>
    </row>
    <row r="26" spans="2:14" ht="20.100000000000001" customHeight="1" x14ac:dyDescent="0.2">
      <c r="B26" s="1986" t="s">
        <v>2127</v>
      </c>
      <c r="C26" s="1970"/>
      <c r="D26" s="1969"/>
      <c r="E26" s="1968">
        <f>' SEFA'!E24+' SEFA (3)'!E16+' SEFA (3)'!E24</f>
        <v>750340</v>
      </c>
      <c r="F26" s="1968">
        <f>' SEFA'!F24+' SEFA (3)'!F16+' SEFA (3)'!F24</f>
        <v>1239898</v>
      </c>
      <c r="G26" s="1968">
        <f>' SEFA'!G24+' SEFA (3)'!G16+' SEFA (3)'!G24</f>
        <v>960348</v>
      </c>
      <c r="H26" s="1968"/>
      <c r="I26" s="1968">
        <f>' SEFA'!I24+' SEFA (3)'!I16+' SEFA (3)'!I24</f>
        <v>1238418</v>
      </c>
      <c r="J26" s="1336"/>
      <c r="K26" s="1336"/>
      <c r="L26" s="1333">
        <f t="shared" si="0"/>
        <v>2198766</v>
      </c>
      <c r="M26" s="1336"/>
    </row>
    <row r="27" spans="2:14" ht="20.100000000000001" customHeight="1" x14ac:dyDescent="0.2">
      <c r="B27" s="1971"/>
      <c r="C27" s="1970"/>
      <c r="D27" s="1969"/>
      <c r="E27" s="1968"/>
      <c r="F27" s="1968"/>
      <c r="G27" s="1968"/>
      <c r="H27" s="1968"/>
      <c r="I27" s="1968"/>
      <c r="J27" s="1336"/>
      <c r="K27" s="1336"/>
      <c r="L27" s="1333"/>
      <c r="M27" s="1336"/>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2"/>
      <c r="C29" s="1342"/>
      <c r="D29" s="1343"/>
      <c r="E29" s="1252"/>
      <c r="F29" s="1252"/>
      <c r="G29" s="1245"/>
      <c r="H29" s="1245"/>
      <c r="I29" s="1245"/>
      <c r="J29" s="1245"/>
      <c r="K29" s="1245"/>
      <c r="L29" s="1245"/>
      <c r="M29" s="1252"/>
      <c r="N29" s="1337"/>
    </row>
    <row r="30" spans="2:14" ht="13.5" customHeight="1" x14ac:dyDescent="0.2">
      <c r="B30" s="1277" t="s">
        <v>1837</v>
      </c>
      <c r="C30" s="1342"/>
      <c r="D30" s="1343"/>
      <c r="E30" s="1252"/>
      <c r="F30" s="1252"/>
      <c r="G30" s="1245"/>
      <c r="H30" s="1245"/>
      <c r="I30" s="1245"/>
      <c r="J30" s="1245"/>
      <c r="K30" s="1245"/>
      <c r="L30" s="1245"/>
      <c r="M30" s="1252"/>
      <c r="N30" s="1337"/>
    </row>
    <row r="31" spans="2:14" ht="8.25" customHeight="1" x14ac:dyDescent="0.2">
      <c r="B31" s="1277"/>
      <c r="C31" s="1342"/>
      <c r="D31" s="1343"/>
      <c r="E31" s="1252"/>
      <c r="F31" s="1252"/>
      <c r="G31" s="1245"/>
      <c r="H31" s="1245"/>
      <c r="I31" s="1245"/>
      <c r="J31" s="1245"/>
      <c r="K31" s="1245"/>
      <c r="L31" s="1245"/>
      <c r="M31" s="1252"/>
      <c r="N31" s="1337"/>
    </row>
    <row r="32" spans="2:14" x14ac:dyDescent="0.2">
      <c r="B32" s="1344" t="s">
        <v>1948</v>
      </c>
      <c r="C32" s="1345"/>
      <c r="D32" s="1346"/>
      <c r="E32" s="1347"/>
      <c r="F32" s="1347"/>
      <c r="G32" s="1347"/>
      <c r="H32" s="1347"/>
      <c r="I32" s="317"/>
      <c r="J32" s="317"/>
    </row>
    <row r="33" spans="2:13" x14ac:dyDescent="0.2">
      <c r="B33" s="1272"/>
      <c r="C33" s="1348"/>
      <c r="D33" s="1349"/>
      <c r="E33" s="1273"/>
      <c r="F33" s="1273"/>
      <c r="G33" s="317"/>
      <c r="H33" s="317"/>
      <c r="I33" s="317"/>
      <c r="J33" s="317"/>
    </row>
    <row r="34" spans="2:13" ht="13.5" customHeight="1" x14ac:dyDescent="0.2">
      <c r="B34" s="1271" t="s">
        <v>1308</v>
      </c>
      <c r="G34" s="317"/>
      <c r="H34" s="317"/>
      <c r="I34" s="317"/>
      <c r="J34" s="317"/>
    </row>
    <row r="35" spans="2:13" ht="13.5" customHeight="1" x14ac:dyDescent="0.2">
      <c r="B35" s="1352"/>
      <c r="C35" s="1353"/>
      <c r="D35" s="1354"/>
      <c r="E35" s="1292"/>
      <c r="F35" s="1292"/>
      <c r="G35" s="1292"/>
      <c r="H35" s="1292"/>
      <c r="I35" s="1292"/>
      <c r="J35" s="1292"/>
      <c r="K35" s="1355"/>
      <c r="L35" s="1355"/>
      <c r="M35" s="1292"/>
    </row>
    <row r="36" spans="2:13" ht="9.6" customHeight="1" x14ac:dyDescent="0.2">
      <c r="B36" s="1356"/>
      <c r="G36" s="317"/>
      <c r="H36" s="317"/>
      <c r="I36" s="317"/>
      <c r="J36" s="317"/>
    </row>
    <row r="37" spans="2:13" ht="11.25" customHeight="1" x14ac:dyDescent="0.2">
      <c r="B37" s="1357" t="s">
        <v>1838</v>
      </c>
      <c r="C37" s="1358"/>
      <c r="D37" s="1358"/>
      <c r="E37" s="1358"/>
      <c r="F37" s="1358"/>
      <c r="G37" s="1358"/>
      <c r="H37" s="1358"/>
      <c r="I37" s="1359"/>
      <c r="J37" s="1359"/>
      <c r="K37" s="1359"/>
      <c r="L37" s="1359"/>
      <c r="M37" s="1359"/>
    </row>
    <row r="38" spans="2:13" ht="11.25" customHeight="1" x14ac:dyDescent="0.2">
      <c r="B38" s="1360" t="s">
        <v>1666</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1839</v>
      </c>
      <c r="C40" s="1359"/>
      <c r="D40" s="1359"/>
      <c r="E40" s="1359"/>
      <c r="F40" s="1359"/>
      <c r="G40" s="1359"/>
      <c r="H40" s="1359"/>
      <c r="I40" s="1359"/>
      <c r="J40" s="1359"/>
      <c r="K40" s="1359"/>
      <c r="L40" s="1359"/>
      <c r="M40" s="1359"/>
    </row>
    <row r="41" spans="2:13" ht="11.25" customHeight="1" x14ac:dyDescent="0.2">
      <c r="B41" s="1295" t="s">
        <v>1667</v>
      </c>
      <c r="C41" s="1361"/>
      <c r="D41" s="1362"/>
      <c r="E41" s="1295"/>
      <c r="F41" s="1295"/>
      <c r="G41" s="1295"/>
      <c r="H41" s="1295"/>
      <c r="I41" s="1295"/>
      <c r="J41" s="1295"/>
      <c r="K41" s="1363"/>
      <c r="L41" s="1363"/>
      <c r="M41" s="1295"/>
    </row>
    <row r="42" spans="2:13" ht="3.95" customHeight="1" x14ac:dyDescent="0.2">
      <c r="B42" s="1295"/>
      <c r="C42" s="1361"/>
      <c r="D42" s="1362"/>
      <c r="E42" s="1295"/>
      <c r="F42" s="1295"/>
      <c r="G42" s="1295"/>
      <c r="H42" s="1295"/>
      <c r="I42" s="1295"/>
      <c r="J42" s="1295"/>
      <c r="K42" s="1363"/>
      <c r="L42" s="1363"/>
      <c r="M42" s="1295"/>
    </row>
    <row r="43" spans="2:13" ht="11.25" customHeight="1" x14ac:dyDescent="0.2">
      <c r="B43" s="1364" t="s">
        <v>1840</v>
      </c>
      <c r="C43" s="1361"/>
      <c r="D43" s="1362"/>
      <c r="E43" s="1295"/>
      <c r="F43" s="1295"/>
      <c r="G43" s="1295"/>
      <c r="H43" s="1295"/>
      <c r="I43" s="1295"/>
      <c r="J43" s="1295"/>
      <c r="K43" s="1363"/>
      <c r="L43" s="1363"/>
      <c r="M43" s="1295"/>
    </row>
    <row r="44" spans="2:13" ht="3.95" customHeight="1" x14ac:dyDescent="0.2">
      <c r="B44" s="1364"/>
      <c r="C44" s="1361"/>
      <c r="D44" s="1362"/>
      <c r="E44" s="1295"/>
      <c r="F44" s="1295"/>
      <c r="G44" s="1295"/>
      <c r="H44" s="1295"/>
      <c r="I44" s="1295"/>
      <c r="J44" s="1295"/>
      <c r="K44" s="1363"/>
      <c r="L44" s="1363"/>
      <c r="M44" s="1295"/>
    </row>
    <row r="45" spans="2:13" ht="11.25" customHeight="1" x14ac:dyDescent="0.2">
      <c r="B45" s="1365" t="s">
        <v>1841</v>
      </c>
      <c r="C45" s="1361"/>
      <c r="D45" s="1362"/>
      <c r="E45" s="1295"/>
      <c r="F45" s="1295"/>
      <c r="G45" s="1295"/>
      <c r="H45" s="1295"/>
      <c r="I45" s="1295"/>
      <c r="J45" s="1295"/>
      <c r="K45" s="1363"/>
      <c r="L45" s="1363"/>
      <c r="M45" s="1295"/>
    </row>
    <row r="46" spans="2:13" ht="11.25" customHeight="1" x14ac:dyDescent="0.2">
      <c r="B46" s="1295" t="s">
        <v>1668</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65" right="0.5" top="0.79" bottom="0.61" header="0.5" footer="0.3"/>
  <pageSetup scale="77" firstPageNumber="37" orientation="landscape" useFirstPageNumber="1" r:id="rId1"/>
  <headerFooter alignWithMargins="0">
    <oddHeader>&amp;L&amp;8Page 39&amp;R&amp;8Page 39</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63"/>
  <sheetViews>
    <sheetView showGridLines="0" zoomScale="110" zoomScaleNormal="110" workbookViewId="0">
      <selection activeCell="P60" sqref="P60"/>
    </sheetView>
  </sheetViews>
  <sheetFormatPr defaultColWidth="9.140625" defaultRowHeight="12.75" x14ac:dyDescent="0.2"/>
  <cols>
    <col min="1" max="1" width="1.42578125" style="1295" customWidth="1"/>
    <col min="2" max="2" width="24.42578125" style="1350"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31" t="str">
        <f>'Single Audit Cover'!A7</f>
        <v>McHenry CHSD 156</v>
      </c>
      <c r="C1" s="2532"/>
      <c r="D1" s="2532"/>
      <c r="E1" s="2532"/>
      <c r="F1" s="2532"/>
      <c r="G1" s="2532"/>
      <c r="H1" s="2532"/>
      <c r="I1" s="2532"/>
      <c r="J1" s="1415"/>
    </row>
    <row r="2" spans="2:10" s="317" customFormat="1" ht="12.75" customHeight="1" x14ac:dyDescent="0.2">
      <c r="B2" s="2533">
        <f>'Single Audit Cover'!E7</f>
        <v>44063156016</v>
      </c>
      <c r="C2" s="2534"/>
      <c r="D2" s="2534"/>
      <c r="E2" s="2534"/>
      <c r="F2" s="2534"/>
      <c r="G2" s="2534"/>
      <c r="H2" s="2534"/>
      <c r="I2" s="2534"/>
      <c r="J2" s="1415"/>
    </row>
    <row r="3" spans="2:10" s="317" customFormat="1" ht="12.75" customHeight="1" x14ac:dyDescent="0.2">
      <c r="B3" s="2535" t="s">
        <v>1347</v>
      </c>
      <c r="C3" s="2536"/>
      <c r="D3" s="2536"/>
      <c r="E3" s="2536"/>
      <c r="F3" s="2536"/>
      <c r="G3" s="2536"/>
      <c r="H3" s="2536"/>
      <c r="I3" s="2536"/>
      <c r="J3" s="1416"/>
    </row>
    <row r="4" spans="2:10" s="317" customFormat="1" ht="12.75" customHeight="1" x14ac:dyDescent="0.2">
      <c r="B4" s="2535" t="str">
        <f>'Single Audit Cover'!A4</f>
        <v>Year Ending June 30, 2018</v>
      </c>
      <c r="C4" s="2536"/>
      <c r="D4" s="2536"/>
      <c r="E4" s="2536"/>
      <c r="F4" s="2536"/>
      <c r="G4" s="2536"/>
      <c r="H4" s="2536"/>
      <c r="I4" s="2536"/>
    </row>
    <row r="5" spans="2:10" s="317" customFormat="1" ht="6.2" customHeight="1" x14ac:dyDescent="0.2">
      <c r="B5" s="1417" t="s">
        <v>1231</v>
      </c>
      <c r="C5" s="1289"/>
      <c r="D5" s="1289"/>
      <c r="E5" s="1376"/>
      <c r="F5" s="322"/>
      <c r="G5" s="322"/>
      <c r="H5" s="322"/>
      <c r="I5" s="322"/>
    </row>
    <row r="6" spans="2:10" s="317" customFormat="1" ht="6.2" customHeight="1" x14ac:dyDescent="0.2">
      <c r="B6" s="1418"/>
      <c r="C6" s="1372"/>
      <c r="D6" s="1372"/>
      <c r="E6" s="1373"/>
      <c r="F6" s="1372"/>
      <c r="G6" s="1372"/>
      <c r="H6" s="1372"/>
      <c r="I6" s="1372"/>
    </row>
    <row r="7" spans="2:10" s="317" customFormat="1" ht="13.5" customHeight="1" x14ac:dyDescent="0.2">
      <c r="B7" s="2535" t="s">
        <v>1346</v>
      </c>
      <c r="C7" s="2536"/>
      <c r="D7" s="2536"/>
      <c r="E7" s="2536"/>
      <c r="F7" s="2536"/>
      <c r="G7" s="2536"/>
      <c r="H7" s="2536"/>
      <c r="I7" s="2536"/>
    </row>
    <row r="8" spans="2:10" s="317" customFormat="1" ht="6.2" customHeight="1" x14ac:dyDescent="0.2">
      <c r="B8" s="1419" t="s">
        <v>1231</v>
      </c>
      <c r="C8" s="1420"/>
      <c r="D8" s="1420"/>
      <c r="E8" s="1421"/>
      <c r="F8" s="1420"/>
      <c r="G8" s="1420"/>
      <c r="H8" s="1420"/>
      <c r="I8" s="1420"/>
    </row>
    <row r="9" spans="2:10" s="317" customFormat="1" ht="9" customHeight="1" x14ac:dyDescent="0.2">
      <c r="B9" s="1422"/>
      <c r="C9" s="322"/>
      <c r="D9" s="322"/>
      <c r="E9" s="1376"/>
      <c r="F9" s="322"/>
      <c r="G9" s="322"/>
      <c r="H9" s="322"/>
      <c r="I9" s="322"/>
    </row>
    <row r="10" spans="2:10" s="317" customFormat="1" ht="12.75" customHeight="1" x14ac:dyDescent="0.2">
      <c r="B10" s="1423" t="s">
        <v>1345</v>
      </c>
      <c r="C10" s="1424"/>
      <c r="D10" s="1424"/>
      <c r="E10" s="1253"/>
    </row>
    <row r="11" spans="2:10" s="317" customFormat="1" ht="13.5" customHeight="1" x14ac:dyDescent="0.2">
      <c r="B11" s="1342" t="s">
        <v>1344</v>
      </c>
      <c r="C11" s="2537" t="s">
        <v>2168</v>
      </c>
      <c r="D11" s="2537"/>
      <c r="E11" s="1425"/>
      <c r="F11" s="1425"/>
      <c r="G11" s="1425"/>
    </row>
    <row r="12" spans="2:10" s="317" customFormat="1" ht="11.45" customHeight="1" x14ac:dyDescent="0.2">
      <c r="B12" s="1350"/>
      <c r="C12" s="1426" t="s">
        <v>1517</v>
      </c>
      <c r="D12" s="1427"/>
      <c r="E12" s="1253"/>
    </row>
    <row r="13" spans="2:10" s="317" customFormat="1" ht="12.75" customHeight="1" x14ac:dyDescent="0.2">
      <c r="B13" s="1428"/>
      <c r="C13" s="1380"/>
      <c r="D13" s="1380"/>
      <c r="E13" s="1253"/>
    </row>
    <row r="14" spans="2:10" s="317" customFormat="1" ht="12.75" customHeight="1" x14ac:dyDescent="0.2">
      <c r="B14" s="1361" t="s">
        <v>1343</v>
      </c>
      <c r="C14" s="1277"/>
      <c r="E14" s="1253"/>
    </row>
    <row r="15" spans="2:10" s="317" customFormat="1" ht="13.5" customHeight="1" x14ac:dyDescent="0.2">
      <c r="B15" s="1429" t="s">
        <v>1340</v>
      </c>
      <c r="C15" s="1430"/>
      <c r="D15" s="1391"/>
      <c r="E15" s="1431"/>
      <c r="F15" s="1295" t="s">
        <v>940</v>
      </c>
      <c r="G15" s="1431" t="s">
        <v>2165</v>
      </c>
      <c r="H15" s="1295" t="s">
        <v>1338</v>
      </c>
      <c r="I15" s="1295"/>
    </row>
    <row r="16" spans="2:10" s="317" customFormat="1" ht="8.4499999999999993" customHeight="1" x14ac:dyDescent="0.2">
      <c r="B16" s="1361"/>
      <c r="C16" s="1277"/>
      <c r="E16" s="1376"/>
      <c r="F16" s="1295"/>
      <c r="G16" s="322"/>
      <c r="H16" s="1295"/>
      <c r="I16" s="1295"/>
    </row>
    <row r="17" spans="2:9" s="317" customFormat="1" ht="13.5" customHeight="1" x14ac:dyDescent="0.2">
      <c r="B17" s="1429" t="s">
        <v>1339</v>
      </c>
      <c r="C17" s="1430"/>
      <c r="D17" s="1391"/>
      <c r="E17" s="1432"/>
      <c r="F17" s="1252"/>
      <c r="G17" s="1432"/>
      <c r="H17" s="1295"/>
      <c r="I17" s="1295"/>
    </row>
    <row r="18" spans="2:9" s="317" customFormat="1" ht="12.75" customHeight="1" x14ac:dyDescent="0.2">
      <c r="B18" s="1429" t="s">
        <v>1518</v>
      </c>
      <c r="C18" s="1430"/>
      <c r="D18" s="1391"/>
      <c r="E18" s="1431"/>
      <c r="F18" s="1295" t="s">
        <v>940</v>
      </c>
      <c r="G18" s="1431" t="s">
        <v>2165</v>
      </c>
      <c r="H18" s="1295" t="s">
        <v>1338</v>
      </c>
      <c r="I18" s="1295"/>
    </row>
    <row r="19" spans="2:9" s="317" customFormat="1" ht="8.4499999999999993" customHeight="1" x14ac:dyDescent="0.2">
      <c r="B19" s="1361"/>
      <c r="C19" s="1277"/>
      <c r="E19" s="1376"/>
      <c r="F19" s="1295"/>
      <c r="G19" s="322"/>
      <c r="H19" s="1295"/>
      <c r="I19" s="1295"/>
    </row>
    <row r="20" spans="2:9" s="317" customFormat="1" ht="13.5" customHeight="1" x14ac:dyDescent="0.2">
      <c r="B20" s="1429" t="s">
        <v>1673</v>
      </c>
      <c r="C20" s="1430"/>
      <c r="D20" s="1391"/>
      <c r="E20" s="1431"/>
      <c r="F20" s="1295" t="s">
        <v>940</v>
      </c>
      <c r="G20" s="1431" t="s">
        <v>2165</v>
      </c>
      <c r="H20" s="1295" t="s">
        <v>101</v>
      </c>
      <c r="I20" s="1295"/>
    </row>
    <row r="21" spans="2:9" s="317" customFormat="1" ht="12.75" customHeight="1" x14ac:dyDescent="0.2">
      <c r="B21" s="1361"/>
      <c r="C21" s="1277"/>
      <c r="E21" s="1376"/>
      <c r="F21" s="1295"/>
      <c r="G21" s="322"/>
      <c r="H21" s="1295"/>
      <c r="I21" s="1295"/>
    </row>
    <row r="22" spans="2:9" s="317" customFormat="1" ht="12.75" customHeight="1" x14ac:dyDescent="0.2">
      <c r="B22" s="1423" t="s">
        <v>1342</v>
      </c>
      <c r="C22" s="1433"/>
      <c r="D22" s="1424"/>
      <c r="E22" s="1376"/>
      <c r="F22" s="1295"/>
      <c r="G22" s="322"/>
      <c r="H22" s="1295"/>
      <c r="I22" s="1295"/>
    </row>
    <row r="23" spans="2:9" s="317" customFormat="1" ht="12.75" customHeight="1" x14ac:dyDescent="0.2">
      <c r="B23" s="1361" t="s">
        <v>1341</v>
      </c>
      <c r="C23" s="1277"/>
      <c r="E23" s="1376"/>
      <c r="F23" s="1295"/>
      <c r="G23" s="322"/>
      <c r="H23" s="1295"/>
      <c r="I23" s="1295"/>
    </row>
    <row r="24" spans="2:9" s="317" customFormat="1" ht="13.5" customHeight="1" x14ac:dyDescent="0.2">
      <c r="B24" s="1429" t="s">
        <v>1340</v>
      </c>
      <c r="C24" s="1430"/>
      <c r="D24" s="1391"/>
      <c r="E24" s="1431"/>
      <c r="F24" s="1295" t="s">
        <v>940</v>
      </c>
      <c r="G24" s="1431" t="s">
        <v>2165</v>
      </c>
      <c r="H24" s="1295" t="s">
        <v>1338</v>
      </c>
      <c r="I24" s="1295"/>
    </row>
    <row r="25" spans="2:9" s="317" customFormat="1" ht="8.4499999999999993" customHeight="1" x14ac:dyDescent="0.2">
      <c r="B25" s="1361"/>
      <c r="C25" s="1277"/>
      <c r="E25" s="1376"/>
      <c r="F25" s="1295"/>
      <c r="G25" s="322"/>
      <c r="H25" s="1295"/>
      <c r="I25" s="1295"/>
    </row>
    <row r="26" spans="2:9" s="317" customFormat="1" ht="13.5" customHeight="1" x14ac:dyDescent="0.2">
      <c r="B26" s="1429" t="s">
        <v>1339</v>
      </c>
      <c r="C26" s="1430"/>
      <c r="D26" s="1391"/>
      <c r="E26" s="1432"/>
      <c r="F26" s="1252"/>
      <c r="G26" s="1432"/>
      <c r="H26" s="1295"/>
      <c r="I26" s="1295"/>
    </row>
    <row r="27" spans="2:9" s="317" customFormat="1" ht="12.75" customHeight="1" x14ac:dyDescent="0.2">
      <c r="B27" s="1429" t="s">
        <v>1518</v>
      </c>
      <c r="C27" s="1430"/>
      <c r="D27" s="1391"/>
      <c r="E27" s="1431" t="s">
        <v>2165</v>
      </c>
      <c r="F27" s="1295" t="s">
        <v>940</v>
      </c>
      <c r="G27" s="1431"/>
      <c r="H27" s="1295" t="s">
        <v>1338</v>
      </c>
      <c r="I27" s="1295"/>
    </row>
    <row r="28" spans="2:9" s="317" customFormat="1" ht="12.75" customHeight="1" x14ac:dyDescent="0.2">
      <c r="B28" s="1361"/>
      <c r="C28" s="1277"/>
      <c r="E28" s="1253"/>
    </row>
    <row r="29" spans="2:9" s="317" customFormat="1" ht="12.75" customHeight="1" x14ac:dyDescent="0.2">
      <c r="B29" s="1361" t="s">
        <v>1337</v>
      </c>
      <c r="C29" s="1277"/>
      <c r="D29" s="2538" t="s">
        <v>2169</v>
      </c>
      <c r="E29" s="2538"/>
      <c r="F29" s="2538"/>
      <c r="G29" s="2538"/>
      <c r="H29" s="2538"/>
      <c r="I29" s="2538"/>
    </row>
    <row r="30" spans="2:9" s="317" customFormat="1" x14ac:dyDescent="0.2">
      <c r="B30" s="1361"/>
      <c r="C30" s="322"/>
      <c r="D30" s="1426" t="s">
        <v>1848</v>
      </c>
      <c r="E30" s="1427"/>
      <c r="F30" s="1427"/>
      <c r="G30" s="1427"/>
      <c r="H30" s="1427"/>
      <c r="I30" s="1427"/>
    </row>
    <row r="31" spans="2:9" s="317" customFormat="1" ht="9.9499999999999993" customHeight="1" x14ac:dyDescent="0.2">
      <c r="B31" s="1361"/>
      <c r="E31" s="1253"/>
    </row>
    <row r="32" spans="2:9" s="317" customFormat="1" x14ac:dyDescent="0.2">
      <c r="B32" s="1361" t="s">
        <v>1336</v>
      </c>
      <c r="C32" s="1277"/>
      <c r="E32" s="1253"/>
    </row>
    <row r="33" spans="2:9" ht="13.5" customHeight="1" x14ac:dyDescent="0.2">
      <c r="B33" s="1361" t="s">
        <v>1633</v>
      </c>
      <c r="C33" s="1277"/>
      <c r="E33" s="1431" t="s">
        <v>2165</v>
      </c>
      <c r="F33" s="1295" t="s">
        <v>940</v>
      </c>
      <c r="G33" s="1431"/>
      <c r="H33" s="1295" t="s">
        <v>101</v>
      </c>
    </row>
    <row r="35" spans="2:9" x14ac:dyDescent="0.2">
      <c r="B35" s="1434" t="s">
        <v>1849</v>
      </c>
      <c r="C35" s="1435"/>
      <c r="D35" s="1262"/>
    </row>
    <row r="36" spans="2:9" ht="6" customHeight="1" x14ac:dyDescent="0.2">
      <c r="B36" s="1434"/>
      <c r="C36" s="1435"/>
      <c r="D36" s="1262"/>
    </row>
    <row r="37" spans="2:9" ht="17.25" customHeight="1" x14ac:dyDescent="0.2">
      <c r="B37" s="1436" t="s">
        <v>1850</v>
      </c>
      <c r="C37" s="2539" t="s">
        <v>1851</v>
      </c>
      <c r="D37" s="2540"/>
      <c r="E37" s="2540"/>
      <c r="F37" s="2541"/>
      <c r="G37" s="2539" t="s">
        <v>1674</v>
      </c>
      <c r="H37" s="2540"/>
      <c r="I37" s="2541"/>
    </row>
    <row r="38" spans="2:9" ht="16.5" customHeight="1" x14ac:dyDescent="0.2">
      <c r="B38" s="1437" t="s">
        <v>2170</v>
      </c>
      <c r="C38" s="2527" t="s">
        <v>2171</v>
      </c>
      <c r="D38" s="2528"/>
      <c r="E38" s="2528"/>
      <c r="F38" s="2529"/>
      <c r="G38" s="2542">
        <v>341956</v>
      </c>
      <c r="H38" s="2543"/>
      <c r="I38" s="2544"/>
    </row>
    <row r="39" spans="2:9" ht="16.5" customHeight="1" x14ac:dyDescent="0.2">
      <c r="B39" s="1437">
        <v>84.027000000000001</v>
      </c>
      <c r="C39" s="2527" t="s">
        <v>2172</v>
      </c>
      <c r="D39" s="2528"/>
      <c r="E39" s="2528"/>
      <c r="F39" s="2529"/>
      <c r="G39" s="2530">
        <v>478696</v>
      </c>
      <c r="H39" s="2530"/>
      <c r="I39" s="2530"/>
    </row>
    <row r="40" spans="2:9" ht="16.5" customHeight="1" x14ac:dyDescent="0.2">
      <c r="B40" s="1437"/>
      <c r="C40" s="2527"/>
      <c r="D40" s="2528"/>
      <c r="E40" s="2528"/>
      <c r="F40" s="2529"/>
      <c r="G40" s="2530"/>
      <c r="H40" s="2530"/>
      <c r="I40" s="2530"/>
    </row>
    <row r="41" spans="2:9" ht="16.5" customHeight="1" x14ac:dyDescent="0.2">
      <c r="B41" s="1437"/>
      <c r="C41" s="2527"/>
      <c r="D41" s="2528"/>
      <c r="E41" s="2528"/>
      <c r="F41" s="2529"/>
      <c r="G41" s="2530"/>
      <c r="H41" s="2530"/>
      <c r="I41" s="2530"/>
    </row>
    <row r="42" spans="2:9" ht="16.5" customHeight="1" x14ac:dyDescent="0.2">
      <c r="B42" s="1437"/>
      <c r="C42" s="2527"/>
      <c r="D42" s="2528"/>
      <c r="E42" s="2528"/>
      <c r="F42" s="2529"/>
      <c r="G42" s="2530"/>
      <c r="H42" s="2530"/>
      <c r="I42" s="2530"/>
    </row>
    <row r="43" spans="2:9" ht="16.5" customHeight="1" x14ac:dyDescent="0.2">
      <c r="B43" s="1437"/>
      <c r="C43" s="2545" t="s">
        <v>1675</v>
      </c>
      <c r="D43" s="2546"/>
      <c r="E43" s="2546"/>
      <c r="F43" s="2547"/>
      <c r="G43" s="2548">
        <f>SUM(G38:I42)</f>
        <v>820652</v>
      </c>
      <c r="H43" s="2548"/>
      <c r="I43" s="2548"/>
    </row>
    <row r="44" spans="2:9" ht="12.75" customHeight="1" x14ac:dyDescent="0.2"/>
    <row r="45" spans="2:9" ht="12.75" customHeight="1" x14ac:dyDescent="0.2">
      <c r="B45" s="1428" t="s">
        <v>1949</v>
      </c>
      <c r="D45" s="2549">
        <v>1238418</v>
      </c>
      <c r="E45" s="2550"/>
    </row>
    <row r="46" spans="2:9" ht="5.25" customHeight="1" x14ac:dyDescent="0.2">
      <c r="B46" s="1438"/>
      <c r="D46" s="1439"/>
      <c r="E46" s="1440"/>
    </row>
    <row r="47" spans="2:9" ht="12.75" customHeight="1" x14ac:dyDescent="0.2">
      <c r="B47" s="1295" t="s">
        <v>1676</v>
      </c>
      <c r="C47" s="1295"/>
      <c r="D47" s="1441">
        <f>+G43/D45</f>
        <v>0.66266155692181472</v>
      </c>
      <c r="E47" s="1442"/>
      <c r="F47" s="1443"/>
      <c r="I47" s="1444"/>
    </row>
    <row r="48" spans="2:9" ht="9.9499999999999993" customHeight="1" x14ac:dyDescent="0.2"/>
    <row r="49" spans="1:9" x14ac:dyDescent="0.2">
      <c r="B49" s="1361" t="s">
        <v>1335</v>
      </c>
      <c r="C49" s="1277"/>
      <c r="D49" s="1277"/>
      <c r="E49" s="2551">
        <v>750000</v>
      </c>
      <c r="F49" s="2551"/>
      <c r="G49" s="2551"/>
      <c r="H49" s="322"/>
    </row>
    <row r="51" spans="1:9" ht="13.5" customHeight="1" x14ac:dyDescent="0.2">
      <c r="B51" s="1361" t="s">
        <v>1334</v>
      </c>
      <c r="C51" s="1277"/>
      <c r="E51" s="1431"/>
      <c r="F51" s="1295" t="s">
        <v>940</v>
      </c>
      <c r="G51" s="1431" t="s">
        <v>2165</v>
      </c>
      <c r="H51" s="1295" t="s">
        <v>101</v>
      </c>
    </row>
    <row r="52" spans="1:9" x14ac:dyDescent="0.2">
      <c r="B52" s="1353"/>
      <c r="C52" s="1292"/>
      <c r="D52" s="1445"/>
      <c r="E52" s="1446"/>
      <c r="F52" s="1447"/>
      <c r="G52" s="1447"/>
      <c r="H52" s="1447"/>
      <c r="I52" s="1447"/>
    </row>
    <row r="53" spans="1:9" ht="6" customHeight="1" x14ac:dyDescent="0.2">
      <c r="B53" s="1422"/>
      <c r="C53" s="322"/>
      <c r="D53" s="1448"/>
      <c r="E53" s="1449"/>
      <c r="F53" s="1450"/>
      <c r="G53" s="1450"/>
      <c r="H53" s="1450"/>
      <c r="I53" s="1450"/>
    </row>
    <row r="54" spans="1:9" s="1454" customFormat="1" ht="14.25" x14ac:dyDescent="0.2">
      <c r="A54" s="1451"/>
      <c r="B54" s="1452" t="s">
        <v>1852</v>
      </c>
      <c r="C54" s="1453"/>
      <c r="D54" s="1453"/>
    </row>
    <row r="55" spans="1:9" s="1454" customFormat="1" ht="12.75" customHeight="1" x14ac:dyDescent="0.2">
      <c r="A55" s="1451"/>
      <c r="B55" s="1455" t="s">
        <v>1677</v>
      </c>
      <c r="C55" s="1451"/>
      <c r="D55" s="1451"/>
    </row>
    <row r="56" spans="1:9" s="1454" customFormat="1" ht="12.75" customHeight="1" x14ac:dyDescent="0.2">
      <c r="A56" s="1451"/>
      <c r="B56" s="1455" t="s">
        <v>1678</v>
      </c>
      <c r="C56" s="1451"/>
      <c r="D56" s="1451"/>
    </row>
    <row r="57" spans="1:9" s="1454" customFormat="1" ht="3.95" customHeight="1" x14ac:dyDescent="0.2">
      <c r="A57" s="1451"/>
      <c r="B57" s="1455"/>
      <c r="C57" s="1451"/>
      <c r="D57" s="1451"/>
    </row>
    <row r="58" spans="1:9" s="1454" customFormat="1" ht="13.5" customHeight="1" x14ac:dyDescent="0.2">
      <c r="A58" s="1451"/>
      <c r="B58" s="1456" t="s">
        <v>1853</v>
      </c>
      <c r="C58" s="1457"/>
      <c r="D58" s="1457"/>
    </row>
    <row r="59" spans="1:9" s="1454" customFormat="1" ht="3.95" customHeight="1" x14ac:dyDescent="0.2">
      <c r="A59" s="1451"/>
      <c r="B59" s="1456"/>
      <c r="C59" s="1457"/>
      <c r="D59" s="1457"/>
    </row>
    <row r="60" spans="1:9" s="1454" customFormat="1" ht="13.5" customHeight="1" x14ac:dyDescent="0.2">
      <c r="A60" s="1451"/>
      <c r="B60" s="1456" t="s">
        <v>1854</v>
      </c>
      <c r="C60" s="1457"/>
      <c r="D60" s="1457"/>
    </row>
    <row r="61" spans="1:9" s="1454" customFormat="1" ht="3.95" customHeight="1" x14ac:dyDescent="0.2">
      <c r="A61" s="1451"/>
      <c r="B61" s="1456"/>
      <c r="C61" s="1457"/>
      <c r="D61" s="1457"/>
    </row>
    <row r="62" spans="1:9" s="1454" customFormat="1" ht="12.75" customHeight="1" x14ac:dyDescent="0.2">
      <c r="A62" s="1451"/>
      <c r="B62" s="1456" t="s">
        <v>1855</v>
      </c>
      <c r="C62" s="1457"/>
      <c r="D62" s="1457"/>
    </row>
    <row r="63" spans="1:9" s="1454" customFormat="1" ht="13.5" customHeight="1" x14ac:dyDescent="0.2">
      <c r="A63" s="1451"/>
      <c r="B63" s="1455" t="s">
        <v>1679</v>
      </c>
      <c r="C63" s="1451"/>
      <c r="D63" s="1451"/>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41"/>
  <sheetViews>
    <sheetView showGridLines="0" zoomScale="110" zoomScaleNormal="110" workbookViewId="0">
      <selection sqref="A1:XFD104857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31" t="str">
        <f>'Single Audit Cover'!A7</f>
        <v>McHenry CHSD 156</v>
      </c>
      <c r="C1" s="2531"/>
      <c r="D1" s="2531"/>
      <c r="E1" s="2531"/>
      <c r="F1" s="2531"/>
      <c r="G1" s="2531"/>
      <c r="H1" s="2531"/>
      <c r="I1" s="2531"/>
      <c r="J1" s="2531"/>
      <c r="K1" s="2531"/>
      <c r="L1" s="1367"/>
      <c r="M1" s="1367"/>
    </row>
    <row r="2" spans="1:13" ht="12" customHeight="1" x14ac:dyDescent="0.2">
      <c r="B2" s="2533">
        <f>'Single Audit Cover'!E7</f>
        <v>44063156016</v>
      </c>
      <c r="C2" s="2533"/>
      <c r="D2" s="2533"/>
      <c r="E2" s="2533"/>
      <c r="F2" s="2533"/>
      <c r="G2" s="2533"/>
      <c r="H2" s="2533"/>
      <c r="I2" s="2533"/>
      <c r="J2" s="2533"/>
      <c r="K2" s="2533"/>
      <c r="L2" s="1368"/>
      <c r="M2" s="1369"/>
    </row>
    <row r="3" spans="1:13" ht="10.35" customHeight="1" x14ac:dyDescent="0.2">
      <c r="B3" s="2554" t="s">
        <v>1347</v>
      </c>
      <c r="C3" s="2554"/>
      <c r="D3" s="2554"/>
      <c r="E3" s="2554"/>
      <c r="F3" s="2554"/>
      <c r="G3" s="2554"/>
      <c r="H3" s="2554"/>
      <c r="I3" s="2554"/>
      <c r="J3" s="2554"/>
      <c r="K3" s="2554"/>
      <c r="L3" s="1370"/>
      <c r="M3" s="1370"/>
    </row>
    <row r="4" spans="1:13" ht="14.25" customHeight="1" x14ac:dyDescent="0.2">
      <c r="B4" s="2555" t="str">
        <f>'Single Audit Cover'!A4</f>
        <v>Year Ending June 30, 2018</v>
      </c>
      <c r="C4" s="2555"/>
      <c r="D4" s="2555"/>
      <c r="E4" s="2555"/>
      <c r="F4" s="2555"/>
      <c r="G4" s="2555"/>
      <c r="H4" s="2555"/>
      <c r="I4" s="2555"/>
      <c r="J4" s="2555"/>
      <c r="K4" s="2555"/>
      <c r="L4" s="313"/>
      <c r="M4" s="313"/>
    </row>
    <row r="5" spans="1:13" ht="7.5" customHeight="1" x14ac:dyDescent="0.2">
      <c r="B5" s="1255" t="s">
        <v>1231</v>
      </c>
      <c r="C5" s="1255"/>
    </row>
    <row r="6" spans="1:13" ht="7.5" customHeight="1" x14ac:dyDescent="0.2">
      <c r="B6" s="1371"/>
      <c r="C6" s="1371"/>
      <c r="D6" s="1372"/>
      <c r="E6" s="1372"/>
      <c r="F6" s="1372"/>
      <c r="G6" s="1373"/>
      <c r="H6" s="1372"/>
      <c r="I6" s="1373"/>
      <c r="J6" s="1372"/>
      <c r="K6" s="1372"/>
      <c r="L6" s="1374"/>
    </row>
    <row r="7" spans="1:13" ht="12.75" customHeight="1" x14ac:dyDescent="0.2">
      <c r="A7" s="1277"/>
      <c r="B7" s="2555" t="s">
        <v>1363</v>
      </c>
      <c r="C7" s="2555"/>
      <c r="D7" s="2556"/>
      <c r="E7" s="2556"/>
      <c r="F7" s="2556"/>
      <c r="G7" s="2556"/>
      <c r="H7" s="2556"/>
      <c r="I7" s="2556"/>
      <c r="J7" s="2556"/>
      <c r="K7" s="2556"/>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1842</v>
      </c>
      <c r="C10" s="1378" t="s">
        <v>1950</v>
      </c>
      <c r="D10" s="1379" t="s">
        <v>2090</v>
      </c>
      <c r="E10" s="322"/>
      <c r="F10" s="1380" t="s">
        <v>1362</v>
      </c>
      <c r="G10" s="1381"/>
      <c r="H10" s="1382" t="s">
        <v>1361</v>
      </c>
      <c r="I10" s="1381"/>
      <c r="J10" s="1383" t="s">
        <v>1360</v>
      </c>
      <c r="K10" s="322"/>
      <c r="L10" s="1374"/>
    </row>
    <row r="11" spans="1:13" ht="13.5" customHeight="1" x14ac:dyDescent="0.2">
      <c r="B11" s="322"/>
      <c r="C11" s="322"/>
      <c r="D11" s="322"/>
      <c r="E11" s="322"/>
      <c r="F11" s="322"/>
      <c r="G11" s="1376"/>
      <c r="H11" s="322"/>
      <c r="I11" s="1384" t="s">
        <v>1359</v>
      </c>
      <c r="J11" s="322"/>
      <c r="K11" s="1385"/>
      <c r="L11" s="1374"/>
    </row>
    <row r="12" spans="1:13" ht="13.5" customHeight="1" x14ac:dyDescent="0.2">
      <c r="B12" s="1289"/>
      <c r="C12" s="1289"/>
      <c r="D12" s="322"/>
      <c r="E12" s="322"/>
      <c r="F12" s="322"/>
      <c r="G12" s="1376"/>
      <c r="H12" s="322"/>
      <c r="I12" s="1376"/>
      <c r="J12" s="322"/>
      <c r="L12" s="1374"/>
    </row>
    <row r="13" spans="1:13" s="1277" customFormat="1" ht="13.5" customHeight="1" x14ac:dyDescent="0.2">
      <c r="B13" s="1386" t="s">
        <v>1358</v>
      </c>
      <c r="C13" s="1386"/>
      <c r="D13" s="1387"/>
      <c r="E13" s="1387"/>
      <c r="F13" s="1387"/>
      <c r="G13" s="1388"/>
      <c r="H13" s="1387"/>
      <c r="I13" s="1388"/>
      <c r="J13" s="1387"/>
      <c r="K13" s="1387"/>
      <c r="L13" s="1389"/>
    </row>
    <row r="14" spans="1:13" ht="45.75" customHeight="1" x14ac:dyDescent="0.2">
      <c r="B14" s="2553"/>
      <c r="C14" s="2553"/>
      <c r="D14" s="2553"/>
      <c r="E14" s="2553"/>
      <c r="F14" s="2553"/>
      <c r="G14" s="2553"/>
      <c r="H14" s="2553"/>
      <c r="I14" s="2553"/>
      <c r="J14" s="2553"/>
      <c r="K14" s="2553"/>
      <c r="L14" s="1390"/>
    </row>
    <row r="15" spans="1:13" ht="4.5" customHeight="1" x14ac:dyDescent="0.2">
      <c r="B15" s="1391"/>
      <c r="C15" s="1391"/>
      <c r="D15" s="1392"/>
      <c r="E15" s="1392"/>
      <c r="F15" s="1392"/>
      <c r="H15" s="1392"/>
      <c r="J15" s="1392"/>
      <c r="K15" s="1392"/>
      <c r="L15" s="1390"/>
    </row>
    <row r="16" spans="1:13" s="1277" customFormat="1" ht="13.5" customHeight="1" x14ac:dyDescent="0.2">
      <c r="B16" s="1386" t="s">
        <v>1357</v>
      </c>
      <c r="C16" s="1386"/>
      <c r="D16" s="1387"/>
      <c r="E16" s="1387"/>
      <c r="F16" s="1387"/>
      <c r="G16" s="1388"/>
      <c r="H16" s="1387"/>
      <c r="I16" s="1388"/>
      <c r="J16" s="1387"/>
      <c r="K16" s="1387"/>
      <c r="L16" s="1389"/>
    </row>
    <row r="17" spans="2:12" ht="45.75" customHeight="1" x14ac:dyDescent="0.2">
      <c r="B17" s="2553"/>
      <c r="C17" s="2553"/>
      <c r="D17" s="2553"/>
      <c r="E17" s="2553"/>
      <c r="F17" s="2553"/>
      <c r="G17" s="2553"/>
      <c r="H17" s="2553"/>
      <c r="I17" s="2553"/>
      <c r="J17" s="2553"/>
      <c r="K17" s="2553"/>
      <c r="L17" s="1374"/>
    </row>
    <row r="18" spans="2:12" ht="4.5" customHeight="1" x14ac:dyDescent="0.2">
      <c r="B18" s="1391"/>
      <c r="C18" s="1391"/>
      <c r="L18" s="1374"/>
    </row>
    <row r="19" spans="2:12" s="1277" customFormat="1" ht="13.5" customHeight="1" x14ac:dyDescent="0.2">
      <c r="B19" s="1386" t="s">
        <v>1843</v>
      </c>
      <c r="C19" s="1386"/>
      <c r="D19" s="1387"/>
      <c r="E19" s="1387"/>
      <c r="F19" s="1387"/>
      <c r="G19" s="1388"/>
      <c r="H19" s="1387"/>
      <c r="I19" s="1388"/>
      <c r="J19" s="1387"/>
      <c r="K19" s="1387"/>
      <c r="L19" s="1389"/>
    </row>
    <row r="20" spans="2:12" ht="45.75" customHeight="1" x14ac:dyDescent="0.2">
      <c r="B20" s="2557"/>
      <c r="C20" s="2557"/>
      <c r="D20" s="2553"/>
      <c r="E20" s="2553"/>
      <c r="F20" s="2553"/>
      <c r="G20" s="2553"/>
      <c r="H20" s="2553"/>
      <c r="I20" s="2553"/>
      <c r="J20" s="2553"/>
      <c r="K20" s="2553"/>
      <c r="L20" s="1374"/>
    </row>
    <row r="21" spans="2:12" ht="4.5" customHeight="1" x14ac:dyDescent="0.2">
      <c r="B21" s="1393"/>
      <c r="C21" s="1393"/>
      <c r="L21" s="1374"/>
    </row>
    <row r="22" spans="2:12" ht="13.5" customHeight="1" x14ac:dyDescent="0.2">
      <c r="B22" s="1386" t="s">
        <v>1356</v>
      </c>
      <c r="C22" s="1386"/>
      <c r="D22" s="1372"/>
      <c r="E22" s="1372"/>
      <c r="F22" s="1372"/>
      <c r="G22" s="1373"/>
      <c r="H22" s="1372"/>
      <c r="I22" s="1373"/>
      <c r="J22" s="1372"/>
      <c r="K22" s="1372"/>
      <c r="L22" s="1374"/>
    </row>
    <row r="23" spans="2:12" ht="45" customHeight="1" x14ac:dyDescent="0.2">
      <c r="B23" s="2553"/>
      <c r="C23" s="2553"/>
      <c r="D23" s="2553"/>
      <c r="E23" s="2553"/>
      <c r="F23" s="2553"/>
      <c r="G23" s="2553"/>
      <c r="H23" s="2553"/>
      <c r="I23" s="2553"/>
      <c r="J23" s="2553"/>
      <c r="K23" s="2553"/>
      <c r="L23" s="1374"/>
    </row>
    <row r="24" spans="2:12" ht="4.5" customHeight="1" x14ac:dyDescent="0.2">
      <c r="B24" s="1391"/>
      <c r="C24" s="1391"/>
      <c r="L24" s="1374"/>
    </row>
    <row r="25" spans="2:12" ht="13.5" customHeight="1" x14ac:dyDescent="0.2">
      <c r="B25" s="1386" t="s">
        <v>1355</v>
      </c>
      <c r="C25" s="1386"/>
      <c r="D25" s="1372"/>
      <c r="E25" s="1372"/>
      <c r="F25" s="1372"/>
      <c r="G25" s="1373"/>
      <c r="H25" s="1372"/>
      <c r="I25" s="1373"/>
      <c r="J25" s="1372"/>
      <c r="K25" s="1372"/>
      <c r="L25" s="1374"/>
    </row>
    <row r="26" spans="2:12" ht="45.75" customHeight="1" x14ac:dyDescent="0.2">
      <c r="B26" s="2553"/>
      <c r="C26" s="2553"/>
      <c r="D26" s="2553"/>
      <c r="E26" s="2553"/>
      <c r="F26" s="2553"/>
      <c r="G26" s="2553"/>
      <c r="H26" s="2553"/>
      <c r="I26" s="2553"/>
      <c r="J26" s="2553"/>
      <c r="K26" s="2553"/>
      <c r="L26" s="1374"/>
    </row>
    <row r="27" spans="2:12" ht="4.5" customHeight="1" x14ac:dyDescent="0.2">
      <c r="B27" s="1391"/>
      <c r="C27" s="1391"/>
      <c r="L27" s="1374"/>
    </row>
    <row r="28" spans="2:12" ht="13.5" customHeight="1" x14ac:dyDescent="0.2">
      <c r="B28" s="1394" t="s">
        <v>1354</v>
      </c>
      <c r="C28" s="1394"/>
      <c r="D28" s="1372"/>
      <c r="E28" s="1372"/>
      <c r="F28" s="1372"/>
      <c r="G28" s="1373"/>
      <c r="H28" s="1372"/>
      <c r="I28" s="1373"/>
      <c r="J28" s="1372"/>
      <c r="K28" s="1372"/>
      <c r="L28" s="1374"/>
    </row>
    <row r="29" spans="2:12" ht="45.75" customHeight="1" x14ac:dyDescent="0.2">
      <c r="B29" s="2552"/>
      <c r="C29" s="2552"/>
      <c r="D29" s="2553"/>
      <c r="E29" s="2553"/>
      <c r="F29" s="2553"/>
      <c r="G29" s="2553"/>
      <c r="H29" s="2553"/>
      <c r="I29" s="2553"/>
      <c r="J29" s="2553"/>
      <c r="K29" s="2553"/>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1844</v>
      </c>
      <c r="C31" s="1396"/>
      <c r="D31" s="1371"/>
      <c r="E31" s="1372"/>
      <c r="F31" s="1372"/>
      <c r="G31" s="1373"/>
      <c r="H31" s="1372"/>
      <c r="I31" s="1373"/>
      <c r="J31" s="1372"/>
      <c r="K31" s="1372"/>
      <c r="L31" s="1374"/>
    </row>
    <row r="32" spans="2:12" s="322" customFormat="1" ht="44.25" customHeight="1" x14ac:dyDescent="0.2">
      <c r="B32" s="2552"/>
      <c r="C32" s="2552"/>
      <c r="D32" s="2553"/>
      <c r="E32" s="2553"/>
      <c r="F32" s="2553"/>
      <c r="G32" s="2553"/>
      <c r="H32" s="2553"/>
      <c r="I32" s="2553"/>
      <c r="J32" s="2553"/>
      <c r="K32" s="2553"/>
      <c r="L32" s="1374"/>
    </row>
    <row r="33" spans="1:13" s="322" customFormat="1" ht="4.5" customHeight="1" x14ac:dyDescent="0.2">
      <c r="B33" s="1395"/>
      <c r="C33" s="1395"/>
      <c r="G33" s="1376"/>
      <c r="I33" s="1376"/>
      <c r="L33" s="1374"/>
    </row>
    <row r="34" spans="1:13" s="322" customFormat="1" x14ac:dyDescent="0.2">
      <c r="A34" s="1292"/>
      <c r="B34" s="1410"/>
      <c r="C34" s="1410"/>
      <c r="D34" s="1410"/>
      <c r="E34" s="1410"/>
      <c r="F34" s="1410"/>
      <c r="G34" s="1411"/>
      <c r="H34" s="1410"/>
      <c r="I34" s="1411"/>
      <c r="J34" s="1410"/>
      <c r="K34" s="1410"/>
      <c r="L34" s="1374"/>
    </row>
    <row r="35" spans="1:13" ht="11.85" customHeight="1" x14ac:dyDescent="0.2">
      <c r="B35" s="1412" t="s">
        <v>1845</v>
      </c>
      <c r="C35" s="1412"/>
      <c r="D35" s="322"/>
      <c r="E35" s="322"/>
      <c r="F35" s="322"/>
      <c r="L35" s="1374"/>
    </row>
    <row r="36" spans="1:13" ht="9.6" customHeight="1" x14ac:dyDescent="0.2">
      <c r="B36" s="1295" t="s">
        <v>1951</v>
      </c>
      <c r="C36" s="1295"/>
      <c r="L36" s="1374"/>
    </row>
    <row r="37" spans="1:13" ht="9.6" customHeight="1" x14ac:dyDescent="0.2">
      <c r="B37" s="1295" t="s">
        <v>1952</v>
      </c>
      <c r="C37" s="1295"/>
    </row>
    <row r="38" spans="1:13" ht="11.85" customHeight="1" x14ac:dyDescent="0.2">
      <c r="B38" s="1413" t="s">
        <v>1846</v>
      </c>
      <c r="C38" s="1413"/>
    </row>
    <row r="39" spans="1:13" ht="9.6" customHeight="1" x14ac:dyDescent="0.2">
      <c r="B39" s="1295" t="s">
        <v>1348</v>
      </c>
      <c r="C39" s="1295"/>
      <c r="M39" s="1414"/>
    </row>
    <row r="40" spans="1:13" ht="12.6" customHeight="1" x14ac:dyDescent="0.2">
      <c r="B40" s="1413" t="s">
        <v>1847</v>
      </c>
      <c r="C40" s="1413"/>
      <c r="M40" s="1414"/>
    </row>
    <row r="41" spans="1:13" ht="9.6" customHeight="1" x14ac:dyDescent="0.2">
      <c r="B41" s="1295"/>
      <c r="C41" s="1295"/>
      <c r="M41" s="141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52"/>
  <sheetViews>
    <sheetView showGridLines="0" zoomScale="110" zoomScaleNormal="110" workbookViewId="0">
      <selection sqref="A1:XFD104857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58" t="str">
        <f>'Single Audit Cover'!A7</f>
        <v>McHenry CHSD 156</v>
      </c>
      <c r="C1" s="2558"/>
      <c r="D1" s="2558"/>
      <c r="E1" s="2558"/>
      <c r="F1" s="2558"/>
      <c r="G1" s="2558"/>
      <c r="H1" s="2558"/>
      <c r="I1" s="2558"/>
      <c r="J1" s="2558"/>
      <c r="K1" s="2558"/>
      <c r="L1" s="1458"/>
    </row>
    <row r="2" spans="1:12" ht="12.75" customHeight="1" x14ac:dyDescent="0.2">
      <c r="B2" s="2559">
        <f>'Single Audit Cover'!E7</f>
        <v>44063156016</v>
      </c>
      <c r="C2" s="2559"/>
      <c r="D2" s="2559"/>
      <c r="E2" s="2559"/>
      <c r="F2" s="2559"/>
      <c r="G2" s="2559"/>
      <c r="H2" s="2559"/>
      <c r="I2" s="2559"/>
      <c r="J2" s="2559"/>
      <c r="K2" s="2559"/>
      <c r="L2" s="1459"/>
    </row>
    <row r="3" spans="1:12" ht="12.75" customHeight="1" x14ac:dyDescent="0.2">
      <c r="B3" s="2554" t="s">
        <v>1347</v>
      </c>
      <c r="C3" s="2554"/>
      <c r="D3" s="2554"/>
      <c r="E3" s="2554"/>
      <c r="F3" s="2554"/>
      <c r="G3" s="2554"/>
      <c r="H3" s="2554"/>
      <c r="I3" s="2554"/>
      <c r="J3" s="2554"/>
      <c r="K3" s="2554"/>
      <c r="L3" s="1370"/>
    </row>
    <row r="4" spans="1:12" ht="12.75" customHeight="1" x14ac:dyDescent="0.2">
      <c r="B4" s="2554" t="str">
        <f>'Single Audit Cover'!A4</f>
        <v>Year Ending June 30, 2018</v>
      </c>
      <c r="C4" s="2554"/>
      <c r="D4" s="2554"/>
      <c r="E4" s="2554"/>
      <c r="F4" s="2554"/>
      <c r="G4" s="2554"/>
      <c r="H4" s="2554"/>
      <c r="I4" s="2554"/>
      <c r="J4" s="2554"/>
      <c r="K4" s="2554"/>
      <c r="L4" s="1370"/>
    </row>
    <row r="5" spans="1:12" ht="5.25" customHeight="1" x14ac:dyDescent="0.2">
      <c r="B5" s="1255" t="s">
        <v>1231</v>
      </c>
      <c r="C5" s="1255"/>
      <c r="L5" s="322"/>
    </row>
    <row r="6" spans="1:12" ht="30.75" customHeight="1" x14ac:dyDescent="0.2">
      <c r="A6" s="322"/>
      <c r="B6" s="2560" t="s">
        <v>1375</v>
      </c>
      <c r="C6" s="2560"/>
      <c r="D6" s="2560"/>
      <c r="E6" s="2560"/>
      <c r="F6" s="2560"/>
      <c r="G6" s="2560"/>
      <c r="H6" s="2560"/>
      <c r="I6" s="2560"/>
      <c r="J6" s="2560"/>
      <c r="K6" s="2560"/>
      <c r="L6" s="322"/>
    </row>
    <row r="7" spans="1:12" ht="4.5" customHeight="1" x14ac:dyDescent="0.2">
      <c r="B7" s="1372"/>
      <c r="C7" s="1372"/>
      <c r="D7" s="1372"/>
      <c r="E7" s="1372"/>
      <c r="F7" s="1372"/>
      <c r="G7" s="1373"/>
      <c r="H7" s="1372"/>
      <c r="I7" s="1373"/>
      <c r="J7" s="1372"/>
      <c r="K7" s="1372"/>
      <c r="L7" s="322"/>
    </row>
    <row r="8" spans="1:12" ht="13.5" customHeight="1" x14ac:dyDescent="0.2">
      <c r="B8" s="1380" t="s">
        <v>1856</v>
      </c>
      <c r="C8" s="1460" t="s">
        <v>1950</v>
      </c>
      <c r="D8" s="1461">
        <v>1</v>
      </c>
      <c r="E8" s="322"/>
      <c r="F8" s="1377" t="s">
        <v>1362</v>
      </c>
      <c r="G8" s="1462" t="s">
        <v>2076</v>
      </c>
      <c r="H8" s="1463" t="s">
        <v>1374</v>
      </c>
      <c r="I8" s="1462"/>
      <c r="J8" s="1464" t="s">
        <v>1373</v>
      </c>
      <c r="L8" s="322"/>
    </row>
    <row r="9" spans="1:12" ht="13.5" customHeight="1" x14ac:dyDescent="0.2">
      <c r="D9" s="322"/>
      <c r="E9" s="322"/>
      <c r="F9" s="322"/>
      <c r="G9" s="1376"/>
      <c r="H9" s="322"/>
      <c r="I9" s="1465" t="s">
        <v>1359</v>
      </c>
      <c r="J9" s="322"/>
      <c r="K9" s="1466"/>
      <c r="L9" s="322"/>
    </row>
    <row r="10" spans="1:12" ht="4.5" customHeight="1" x14ac:dyDescent="0.2">
      <c r="B10" s="1467"/>
      <c r="C10" s="1467"/>
      <c r="D10" s="1420"/>
      <c r="E10" s="1420"/>
      <c r="F10" s="1420"/>
      <c r="G10" s="1421"/>
      <c r="H10" s="1420"/>
      <c r="I10" s="1421"/>
      <c r="J10" s="1420"/>
      <c r="K10" s="1420"/>
      <c r="L10" s="322"/>
    </row>
    <row r="11" spans="1:12" ht="5.25" customHeight="1" x14ac:dyDescent="0.2">
      <c r="B11" s="322"/>
      <c r="C11" s="322"/>
      <c r="D11" s="304"/>
      <c r="E11" s="322"/>
      <c r="F11" s="322"/>
      <c r="G11" s="1376"/>
      <c r="H11" s="322"/>
      <c r="I11" s="1376"/>
      <c r="J11" s="322"/>
      <c r="K11" s="1425"/>
      <c r="L11" s="322"/>
    </row>
    <row r="12" spans="1:12" ht="13.5" customHeight="1" x14ac:dyDescent="0.2">
      <c r="B12" s="1377" t="s">
        <v>1372</v>
      </c>
      <c r="C12" s="1377"/>
      <c r="D12" s="304"/>
      <c r="E12" s="322"/>
      <c r="F12" s="2538" t="s">
        <v>2173</v>
      </c>
      <c r="G12" s="2538"/>
      <c r="H12" s="2538"/>
      <c r="I12" s="2538"/>
      <c r="J12" s="2538"/>
      <c r="K12" s="2538"/>
      <c r="L12" s="322"/>
    </row>
    <row r="13" spans="1:12" ht="9.6" customHeight="1" x14ac:dyDescent="0.2">
      <c r="B13" s="1252"/>
      <c r="C13" s="1252"/>
      <c r="D13" s="304"/>
      <c r="E13" s="322"/>
      <c r="F13" s="322"/>
      <c r="G13" s="1376"/>
      <c r="H13" s="322"/>
      <c r="I13" s="1376"/>
      <c r="J13" s="322"/>
      <c r="K13" s="1425"/>
      <c r="L13" s="322"/>
    </row>
    <row r="14" spans="1:12" ht="13.5" customHeight="1" x14ac:dyDescent="0.2">
      <c r="B14" s="1380" t="s">
        <v>1371</v>
      </c>
      <c r="C14" s="1380"/>
      <c r="D14" s="2561" t="s">
        <v>2112</v>
      </c>
      <c r="E14" s="2561"/>
      <c r="F14" s="2561"/>
      <c r="H14" s="1468" t="s">
        <v>1370</v>
      </c>
      <c r="I14" s="2562">
        <v>84.027000000000001</v>
      </c>
      <c r="J14" s="2562"/>
      <c r="K14" s="2562"/>
      <c r="L14" s="322"/>
    </row>
    <row r="15" spans="1:12" ht="9.4" customHeight="1" x14ac:dyDescent="0.2">
      <c r="B15" s="1380"/>
      <c r="C15" s="1380"/>
      <c r="D15" s="1366"/>
      <c r="E15" s="1255"/>
      <c r="F15" s="1255"/>
      <c r="G15" s="1281"/>
      <c r="H15" s="1255"/>
      <c r="I15" s="1469"/>
      <c r="J15" s="1289"/>
      <c r="K15" s="1286"/>
      <c r="L15" s="322"/>
    </row>
    <row r="16" spans="1:12" ht="13.5" customHeight="1" x14ac:dyDescent="0.2">
      <c r="B16" s="1380" t="s">
        <v>1369</v>
      </c>
      <c r="C16" s="1380"/>
      <c r="D16" s="2562" t="s">
        <v>2174</v>
      </c>
      <c r="E16" s="2562"/>
      <c r="F16" s="2562"/>
      <c r="G16" s="2562"/>
      <c r="H16" s="2562"/>
      <c r="I16" s="2562"/>
      <c r="J16" s="2562"/>
      <c r="K16" s="2562"/>
      <c r="L16" s="322"/>
    </row>
    <row r="17" spans="2:12" ht="13.5" customHeight="1" x14ac:dyDescent="0.2">
      <c r="B17" s="1380" t="s">
        <v>1368</v>
      </c>
      <c r="C17" s="1380"/>
      <c r="D17" s="2563" t="s">
        <v>2175</v>
      </c>
      <c r="E17" s="2563"/>
      <c r="F17" s="2563"/>
      <c r="G17" s="2563"/>
      <c r="H17" s="2563"/>
      <c r="I17" s="2563"/>
      <c r="J17" s="2563"/>
      <c r="K17" s="2563"/>
      <c r="L17" s="322"/>
    </row>
    <row r="18" spans="2:12" ht="9.4" customHeight="1" x14ac:dyDescent="0.2">
      <c r="B18" s="1420"/>
      <c r="C18" s="1420"/>
      <c r="D18" s="1420"/>
      <c r="E18" s="1420"/>
      <c r="F18" s="1420"/>
      <c r="G18" s="1421"/>
      <c r="H18" s="1420"/>
      <c r="I18" s="1421"/>
      <c r="J18" s="1420"/>
      <c r="K18" s="1420"/>
      <c r="L18" s="322"/>
    </row>
    <row r="19" spans="2:12" ht="13.5" customHeight="1" x14ac:dyDescent="0.2">
      <c r="B19" s="1470" t="s">
        <v>1367</v>
      </c>
      <c r="C19" s="1470"/>
      <c r="D19" s="328"/>
      <c r="E19" s="328"/>
      <c r="F19" s="328"/>
      <c r="G19" s="1471"/>
      <c r="H19" s="328"/>
      <c r="I19" s="1471"/>
      <c r="J19" s="322"/>
      <c r="K19" s="322"/>
      <c r="L19" s="322"/>
    </row>
    <row r="20" spans="2:12" ht="35.25" customHeight="1" x14ac:dyDescent="0.2">
      <c r="B20" s="2553" t="s">
        <v>2176</v>
      </c>
      <c r="C20" s="2553"/>
      <c r="D20" s="2553"/>
      <c r="E20" s="2553"/>
      <c r="F20" s="2553"/>
      <c r="G20" s="2553"/>
      <c r="H20" s="2553"/>
      <c r="I20" s="2553"/>
      <c r="J20" s="2553"/>
      <c r="K20" s="2553"/>
      <c r="L20" s="1425"/>
    </row>
    <row r="21" spans="2:12" ht="4.5" customHeight="1" x14ac:dyDescent="0.2">
      <c r="B21" s="1472"/>
      <c r="C21" s="1472"/>
      <c r="D21" s="1473"/>
      <c r="E21" s="1473"/>
      <c r="F21" s="1473"/>
      <c r="G21" s="1421"/>
      <c r="H21" s="1473"/>
      <c r="I21" s="1421"/>
      <c r="J21" s="1473"/>
      <c r="K21" s="1473"/>
      <c r="L21" s="1425"/>
    </row>
    <row r="22" spans="2:12" ht="13.35" customHeight="1" x14ac:dyDescent="0.2">
      <c r="B22" s="1470" t="s">
        <v>1857</v>
      </c>
      <c r="C22" s="1470"/>
      <c r="D22" s="322"/>
      <c r="E22" s="322"/>
      <c r="F22" s="322"/>
      <c r="G22" s="1376"/>
      <c r="H22" s="322"/>
      <c r="I22" s="1376"/>
      <c r="J22" s="322"/>
      <c r="K22" s="322"/>
      <c r="L22" s="322"/>
    </row>
    <row r="23" spans="2:12" ht="37.5" customHeight="1" x14ac:dyDescent="0.2">
      <c r="B23" s="2553" t="s">
        <v>2178</v>
      </c>
      <c r="C23" s="2553"/>
      <c r="D23" s="2553"/>
      <c r="E23" s="2553"/>
      <c r="F23" s="2553"/>
      <c r="G23" s="2553"/>
      <c r="H23" s="2553"/>
      <c r="I23" s="2553"/>
      <c r="J23" s="2553"/>
      <c r="K23" s="2553"/>
      <c r="L23" s="322"/>
    </row>
    <row r="24" spans="2:12" ht="4.5" customHeight="1" x14ac:dyDescent="0.2">
      <c r="B24" s="1472"/>
      <c r="C24" s="1472"/>
      <c r="D24" s="1420"/>
      <c r="E24" s="1420"/>
      <c r="F24" s="1420"/>
      <c r="G24" s="1421"/>
      <c r="H24" s="1420"/>
      <c r="I24" s="1421"/>
      <c r="J24" s="1420"/>
      <c r="K24" s="1420"/>
      <c r="L24" s="322"/>
    </row>
    <row r="25" spans="2:12" ht="13.5" customHeight="1" x14ac:dyDescent="0.2">
      <c r="B25" s="1470" t="s">
        <v>1858</v>
      </c>
      <c r="C25" s="1470"/>
      <c r="D25" s="322"/>
      <c r="E25" s="322"/>
      <c r="F25" s="322"/>
      <c r="G25" s="1376"/>
      <c r="H25" s="322"/>
      <c r="I25" s="1376"/>
      <c r="J25" s="322"/>
      <c r="K25" s="322"/>
      <c r="L25" s="322"/>
    </row>
    <row r="26" spans="2:12" ht="37.5" customHeight="1" x14ac:dyDescent="0.2">
      <c r="B26" s="2553" t="s">
        <v>2177</v>
      </c>
      <c r="C26" s="2553"/>
      <c r="D26" s="2553"/>
      <c r="E26" s="2553"/>
      <c r="F26" s="2553"/>
      <c r="G26" s="2553"/>
      <c r="H26" s="2553"/>
      <c r="I26" s="2553"/>
      <c r="J26" s="2553"/>
      <c r="K26" s="2553"/>
      <c r="L26" s="322"/>
    </row>
    <row r="27" spans="2:12" ht="4.5" customHeight="1" x14ac:dyDescent="0.2">
      <c r="B27" s="1474"/>
      <c r="C27" s="1474"/>
      <c r="D27" s="1474"/>
      <c r="E27" s="1420"/>
      <c r="F27" s="1420"/>
      <c r="G27" s="1421"/>
      <c r="H27" s="1420"/>
      <c r="I27" s="1421"/>
      <c r="J27" s="1420"/>
      <c r="K27" s="1420"/>
      <c r="L27" s="322"/>
    </row>
    <row r="28" spans="2:12" ht="13.5" customHeight="1" x14ac:dyDescent="0.2">
      <c r="B28" s="1470" t="s">
        <v>1859</v>
      </c>
      <c r="C28" s="1470"/>
      <c r="D28" s="322"/>
      <c r="E28" s="322"/>
      <c r="F28" s="322"/>
      <c r="G28" s="1376"/>
      <c r="H28" s="322"/>
      <c r="I28" s="1376"/>
      <c r="J28" s="322"/>
      <c r="K28" s="322"/>
      <c r="L28" s="322"/>
    </row>
    <row r="29" spans="2:12" ht="37.5" customHeight="1" x14ac:dyDescent="0.2">
      <c r="B29" s="2553" t="s">
        <v>2179</v>
      </c>
      <c r="C29" s="2553"/>
      <c r="D29" s="2553"/>
      <c r="E29" s="2553"/>
      <c r="F29" s="2553"/>
      <c r="G29" s="2553"/>
      <c r="H29" s="2553"/>
      <c r="I29" s="2553"/>
      <c r="J29" s="2553"/>
      <c r="K29" s="2553"/>
      <c r="L29" s="322"/>
    </row>
    <row r="30" spans="2:12" ht="4.5" customHeight="1" x14ac:dyDescent="0.2">
      <c r="B30" s="1472"/>
      <c r="C30" s="1472"/>
      <c r="D30" s="1420"/>
      <c r="E30" s="1420"/>
      <c r="F30" s="1420"/>
      <c r="G30" s="1421"/>
      <c r="H30" s="1420"/>
      <c r="I30" s="1421"/>
      <c r="J30" s="1420"/>
      <c r="K30" s="1420"/>
      <c r="L30" s="322"/>
    </row>
    <row r="31" spans="2:12" ht="13.5" customHeight="1" x14ac:dyDescent="0.2">
      <c r="B31" s="1470" t="s">
        <v>1366</v>
      </c>
      <c r="C31" s="1470"/>
      <c r="D31" s="322"/>
      <c r="E31" s="322"/>
      <c r="F31" s="322"/>
      <c r="G31" s="1376"/>
      <c r="H31" s="322"/>
      <c r="I31" s="1376"/>
      <c r="J31" s="322"/>
      <c r="K31" s="322"/>
      <c r="L31" s="322"/>
    </row>
    <row r="32" spans="2:12" ht="37.5" customHeight="1" x14ac:dyDescent="0.2">
      <c r="B32" s="2553" t="s">
        <v>2182</v>
      </c>
      <c r="C32" s="2553"/>
      <c r="D32" s="2553"/>
      <c r="E32" s="2553"/>
      <c r="F32" s="2553"/>
      <c r="G32" s="2553"/>
      <c r="H32" s="2553"/>
      <c r="I32" s="2553"/>
      <c r="J32" s="2553"/>
      <c r="K32" s="2553"/>
      <c r="L32" s="322"/>
    </row>
    <row r="33" spans="2:12" ht="4.5" customHeight="1" x14ac:dyDescent="0.2">
      <c r="B33" s="1472"/>
      <c r="C33" s="1472"/>
      <c r="D33" s="1420"/>
      <c r="E33" s="1420"/>
      <c r="F33" s="1420"/>
      <c r="G33" s="1421"/>
      <c r="H33" s="1420"/>
      <c r="I33" s="1421"/>
      <c r="J33" s="1420"/>
      <c r="K33" s="1420"/>
      <c r="L33" s="322"/>
    </row>
    <row r="34" spans="2:12" ht="13.5" customHeight="1" x14ac:dyDescent="0.2">
      <c r="B34" s="1377" t="s">
        <v>1365</v>
      </c>
      <c r="C34" s="1377"/>
      <c r="D34" s="322"/>
      <c r="E34" s="322"/>
      <c r="F34" s="322"/>
      <c r="G34" s="1376"/>
      <c r="H34" s="322"/>
      <c r="I34" s="1376"/>
      <c r="J34" s="322"/>
      <c r="K34" s="322"/>
      <c r="L34" s="322"/>
    </row>
    <row r="35" spans="2:12" ht="37.5" customHeight="1" x14ac:dyDescent="0.2">
      <c r="B35" s="2553" t="s">
        <v>2183</v>
      </c>
      <c r="C35" s="2553"/>
      <c r="D35" s="2553"/>
      <c r="E35" s="2553"/>
      <c r="F35" s="2553"/>
      <c r="G35" s="2553"/>
      <c r="H35" s="2553"/>
      <c r="I35" s="2553"/>
      <c r="J35" s="2553"/>
      <c r="K35" s="2553"/>
      <c r="L35" s="322"/>
    </row>
    <row r="36" spans="2:12" ht="4.5" customHeight="1" x14ac:dyDescent="0.2">
      <c r="B36" s="1472"/>
      <c r="C36" s="1472"/>
      <c r="D36" s="1420"/>
      <c r="E36" s="1420"/>
      <c r="F36" s="1420"/>
      <c r="G36" s="1421"/>
      <c r="H36" s="1420"/>
      <c r="I36" s="1421"/>
      <c r="J36" s="1420"/>
      <c r="K36" s="1420"/>
      <c r="L36" s="322"/>
    </row>
    <row r="37" spans="2:12" ht="13.5" customHeight="1" x14ac:dyDescent="0.2">
      <c r="B37" s="1377" t="s">
        <v>1364</v>
      </c>
      <c r="C37" s="1377"/>
      <c r="D37" s="322"/>
      <c r="E37" s="322"/>
      <c r="F37" s="322"/>
      <c r="G37" s="1376"/>
      <c r="H37" s="322"/>
      <c r="I37" s="1376"/>
      <c r="J37" s="322"/>
      <c r="K37" s="322"/>
      <c r="L37" s="322"/>
    </row>
    <row r="38" spans="2:12" ht="35.25" customHeight="1" x14ac:dyDescent="0.2">
      <c r="B38" s="2553" t="s">
        <v>2180</v>
      </c>
      <c r="C38" s="2553"/>
      <c r="D38" s="2553"/>
      <c r="E38" s="2553"/>
      <c r="F38" s="2553"/>
      <c r="G38" s="2553"/>
      <c r="H38" s="2553"/>
      <c r="I38" s="2553"/>
      <c r="J38" s="2553"/>
      <c r="K38" s="2553"/>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1860</v>
      </c>
      <c r="C40" s="1396"/>
      <c r="D40" s="1371"/>
      <c r="E40" s="1372"/>
      <c r="F40" s="1372"/>
      <c r="G40" s="1373"/>
      <c r="H40" s="1372"/>
      <c r="I40" s="1373"/>
      <c r="J40" s="1372"/>
      <c r="K40" s="1372"/>
    </row>
    <row r="41" spans="2:12" s="322" customFormat="1" ht="33.75" customHeight="1" x14ac:dyDescent="0.2">
      <c r="B41" s="2553" t="s">
        <v>2181</v>
      </c>
      <c r="C41" s="2553"/>
      <c r="D41" s="2553"/>
      <c r="E41" s="2553"/>
      <c r="F41" s="2553"/>
      <c r="G41" s="2553"/>
      <c r="H41" s="2553"/>
      <c r="I41" s="2553"/>
      <c r="J41" s="2553"/>
      <c r="K41" s="2553"/>
    </row>
    <row r="42" spans="2:12" s="322" customFormat="1" ht="4.5" customHeight="1" x14ac:dyDescent="0.2">
      <c r="B42" s="1395"/>
      <c r="C42" s="1395"/>
      <c r="G42" s="1376"/>
      <c r="I42" s="1376"/>
    </row>
    <row r="43" spans="2:12" s="322" customFormat="1" ht="13.5" customHeight="1" x14ac:dyDescent="0.2">
      <c r="B43" s="1475" t="s">
        <v>1353</v>
      </c>
      <c r="C43" s="1476"/>
      <c r="D43" s="1397"/>
      <c r="E43" s="1397"/>
      <c r="F43" s="1397"/>
      <c r="G43" s="1398"/>
      <c r="H43" s="1397"/>
      <c r="I43" s="1398"/>
      <c r="J43" s="1397"/>
      <c r="K43" s="1399"/>
      <c r="L43" s="1477"/>
    </row>
    <row r="44" spans="2:12" s="322" customFormat="1" ht="13.5" customHeight="1" x14ac:dyDescent="0.2">
      <c r="B44" s="1400" t="s">
        <v>1352</v>
      </c>
      <c r="C44" s="1401"/>
      <c r="D44" s="1478"/>
      <c r="E44" s="1402"/>
      <c r="F44" s="1406" t="s">
        <v>1351</v>
      </c>
      <c r="G44" s="1404"/>
      <c r="H44" s="1403"/>
      <c r="I44" s="1404"/>
      <c r="J44" s="1479"/>
      <c r="K44" s="1480"/>
      <c r="L44" s="1477"/>
    </row>
    <row r="45" spans="2:12" s="322" customFormat="1" ht="13.5" customHeight="1" x14ac:dyDescent="0.2">
      <c r="B45" s="1400" t="s">
        <v>1350</v>
      </c>
      <c r="C45" s="1401"/>
      <c r="D45" s="1479"/>
      <c r="E45" s="1403"/>
      <c r="F45" s="1406" t="s">
        <v>1349</v>
      </c>
      <c r="G45" s="1404"/>
      <c r="H45" s="1403"/>
      <c r="I45" s="1404"/>
      <c r="J45" s="1479"/>
      <c r="K45" s="1480"/>
      <c r="L45" s="1477"/>
    </row>
    <row r="46" spans="2:12" s="322" customFormat="1" ht="13.5" customHeight="1" x14ac:dyDescent="0.2">
      <c r="B46" s="1407"/>
      <c r="C46" s="1405"/>
      <c r="D46" s="1405"/>
      <c r="E46" s="1405"/>
      <c r="F46" s="1405"/>
      <c r="G46" s="1408"/>
      <c r="H46" s="1405"/>
      <c r="I46" s="1408"/>
      <c r="J46" s="1405"/>
      <c r="K46" s="1409"/>
      <c r="L46" s="1477"/>
    </row>
    <row r="47" spans="2:12" ht="7.5" customHeight="1" x14ac:dyDescent="0.25">
      <c r="B47" s="1481"/>
      <c r="C47" s="1481"/>
      <c r="D47" s="1482"/>
      <c r="E47" s="1482"/>
      <c r="F47" s="1482"/>
      <c r="G47" s="1483"/>
      <c r="H47" s="1482"/>
      <c r="I47" s="1483"/>
      <c r="J47" s="1482"/>
      <c r="K47" s="1482"/>
    </row>
    <row r="48" spans="2:12" ht="13.5" customHeight="1" x14ac:dyDescent="0.2">
      <c r="B48" s="1412" t="s">
        <v>1861</v>
      </c>
      <c r="C48" s="1412"/>
      <c r="D48" s="322"/>
      <c r="E48" s="322"/>
      <c r="F48" s="322"/>
    </row>
    <row r="49" spans="2:3" s="317" customFormat="1" ht="10.5" customHeight="1" x14ac:dyDescent="0.2">
      <c r="B49" s="1413" t="s">
        <v>1862</v>
      </c>
      <c r="C49" s="1413"/>
    </row>
    <row r="50" spans="2:3" s="317" customFormat="1" ht="11.1" customHeight="1" x14ac:dyDescent="0.2">
      <c r="B50" s="1413" t="s">
        <v>1863</v>
      </c>
      <c r="C50" s="1413"/>
    </row>
    <row r="51" spans="2:3" s="317" customFormat="1" ht="11.1" customHeight="1" x14ac:dyDescent="0.2">
      <c r="B51" s="1413" t="s">
        <v>1864</v>
      </c>
      <c r="C51" s="1413"/>
    </row>
    <row r="52" spans="2:3" s="317" customFormat="1" ht="11.1" customHeight="1" x14ac:dyDescent="0.2">
      <c r="B52" s="1413" t="s">
        <v>1865</v>
      </c>
      <c r="C52" s="1413"/>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1"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E73"/>
  <sheetViews>
    <sheetView showGridLines="0" zoomScale="110" zoomScaleNormal="110" workbookViewId="0">
      <selection activeCell="D19" sqref="D1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531" t="str">
        <f>'Single Audit Cover'!A7</f>
        <v>McHenry CHSD 156</v>
      </c>
      <c r="C1" s="2531"/>
      <c r="D1" s="2531"/>
      <c r="E1" s="1484"/>
    </row>
    <row r="2" spans="2:5" s="1277" customFormat="1" ht="12.75" customHeight="1" x14ac:dyDescent="0.2">
      <c r="B2" s="2533">
        <f>'Single Audit Cover'!E7</f>
        <v>44063156016</v>
      </c>
      <c r="C2" s="2533"/>
      <c r="D2" s="2533"/>
      <c r="E2" s="1485"/>
    </row>
    <row r="3" spans="2:5" ht="12.75" customHeight="1" x14ac:dyDescent="0.2">
      <c r="B3" s="2554" t="s">
        <v>1866</v>
      </c>
      <c r="C3" s="2554"/>
      <c r="D3" s="2554"/>
      <c r="E3" s="1269"/>
    </row>
    <row r="4" spans="2:5" s="1277" customFormat="1" ht="12.75" customHeight="1" x14ac:dyDescent="0.2">
      <c r="B4" s="2564" t="str">
        <f>'Single Audit Cover'!A4</f>
        <v>Year Ending June 30, 2018</v>
      </c>
      <c r="C4" s="2564"/>
      <c r="D4" s="2564"/>
      <c r="E4" s="1486"/>
    </row>
    <row r="5" spans="2:5" s="1277" customFormat="1" ht="40.15" customHeight="1" x14ac:dyDescent="0.2">
      <c r="B5" s="1487" t="s">
        <v>1867</v>
      </c>
      <c r="C5" s="328"/>
      <c r="D5" s="328"/>
      <c r="E5" s="328"/>
    </row>
    <row r="6" spans="2:5" s="1277" customFormat="1" ht="13.5" customHeight="1" x14ac:dyDescent="0.2">
      <c r="B6" s="1488" t="s">
        <v>1382</v>
      </c>
      <c r="C6" s="1488" t="s">
        <v>1381</v>
      </c>
      <c r="D6" s="1488" t="s">
        <v>1868</v>
      </c>
    </row>
    <row r="7" spans="2:5" ht="13.5" customHeight="1" x14ac:dyDescent="0.2">
      <c r="B7" s="1489"/>
      <c r="C7" s="324"/>
      <c r="D7" s="324"/>
      <c r="E7" s="324"/>
    </row>
    <row r="8" spans="2:5" ht="13.5" customHeight="1" x14ac:dyDescent="0.2">
      <c r="B8" s="1489" t="s">
        <v>2184</v>
      </c>
      <c r="C8" s="324"/>
      <c r="D8" s="324"/>
      <c r="E8" s="324"/>
    </row>
    <row r="9" spans="2:5" ht="13.5" customHeight="1" x14ac:dyDescent="0.2">
      <c r="B9" s="1490"/>
      <c r="C9" s="323"/>
      <c r="D9" s="323"/>
      <c r="E9" s="323"/>
    </row>
    <row r="10" spans="2:5" ht="13.5" customHeight="1" x14ac:dyDescent="0.2">
      <c r="B10" s="1489"/>
      <c r="C10" s="323"/>
      <c r="D10" s="323"/>
      <c r="E10" s="323"/>
    </row>
    <row r="11" spans="2:5" ht="13.5" customHeight="1" x14ac:dyDescent="0.2">
      <c r="B11" s="1489"/>
      <c r="C11" s="323"/>
      <c r="D11" s="323"/>
      <c r="E11" s="323"/>
    </row>
    <row r="12" spans="2:5" ht="13.5" customHeight="1" x14ac:dyDescent="0.2">
      <c r="B12" s="1489"/>
      <c r="C12" s="323"/>
      <c r="D12" s="323"/>
      <c r="E12" s="323"/>
    </row>
    <row r="13" spans="2:5" ht="13.5" customHeight="1" x14ac:dyDescent="0.2">
      <c r="B13" s="1489"/>
      <c r="C13" s="323"/>
      <c r="D13" s="323"/>
      <c r="E13" s="323"/>
    </row>
    <row r="14" spans="2:5" ht="13.5" customHeight="1" x14ac:dyDescent="0.2">
      <c r="B14" s="1489"/>
      <c r="C14" s="323"/>
      <c r="D14" s="323"/>
      <c r="E14" s="323"/>
    </row>
    <row r="15" spans="2:5" ht="13.5" customHeight="1" x14ac:dyDescent="0.2">
      <c r="B15" s="1489"/>
      <c r="C15" s="323"/>
      <c r="D15" s="323"/>
      <c r="E15" s="323"/>
    </row>
    <row r="16" spans="2:5" ht="13.5" customHeight="1" x14ac:dyDescent="0.2">
      <c r="B16" s="1489"/>
      <c r="C16" s="323"/>
      <c r="D16" s="323"/>
      <c r="E16" s="323"/>
    </row>
    <row r="17" spans="2:5" ht="13.5" customHeight="1" x14ac:dyDescent="0.2">
      <c r="B17" s="1489"/>
      <c r="C17" s="323"/>
      <c r="D17" s="323"/>
      <c r="E17" s="323"/>
    </row>
    <row r="18" spans="2:5" ht="13.5" customHeight="1" x14ac:dyDescent="0.2">
      <c r="B18" s="1489"/>
      <c r="C18" s="323"/>
      <c r="D18" s="323"/>
      <c r="E18" s="323"/>
    </row>
    <row r="19" spans="2:5" ht="13.5" customHeight="1" x14ac:dyDescent="0.2">
      <c r="B19" s="1489"/>
      <c r="C19" s="323"/>
      <c r="D19" s="323"/>
      <c r="E19" s="323"/>
    </row>
    <row r="20" spans="2:5" ht="13.5" customHeight="1" x14ac:dyDescent="0.2">
      <c r="B20" s="1489"/>
      <c r="C20" s="323"/>
      <c r="D20" s="323"/>
      <c r="E20" s="323"/>
    </row>
    <row r="21" spans="2:5" ht="13.5" customHeight="1" x14ac:dyDescent="0.2">
      <c r="B21" s="1489"/>
      <c r="C21" s="323"/>
      <c r="D21" s="323"/>
      <c r="E21" s="323"/>
    </row>
    <row r="22" spans="2:5" ht="13.5" customHeight="1" x14ac:dyDescent="0.2">
      <c r="B22" s="1489"/>
      <c r="C22" s="323"/>
      <c r="D22" s="323"/>
      <c r="E22" s="323"/>
    </row>
    <row r="23" spans="2:5" ht="13.5" customHeight="1" x14ac:dyDescent="0.2">
      <c r="B23" s="1489"/>
      <c r="C23" s="323"/>
      <c r="D23" s="323"/>
      <c r="E23" s="323"/>
    </row>
    <row r="24" spans="2:5" ht="13.5" customHeight="1" x14ac:dyDescent="0.2">
      <c r="B24" s="1489"/>
      <c r="C24" s="323"/>
      <c r="D24" s="323"/>
      <c r="E24" s="323"/>
    </row>
    <row r="25" spans="2:5" ht="13.5" customHeight="1" x14ac:dyDescent="0.2">
      <c r="B25" s="1489"/>
      <c r="C25" s="323"/>
      <c r="D25" s="323"/>
      <c r="E25" s="323"/>
    </row>
    <row r="26" spans="2:5" ht="13.5" customHeight="1" x14ac:dyDescent="0.2">
      <c r="B26" s="1489"/>
      <c r="C26" s="323"/>
      <c r="D26" s="323"/>
      <c r="E26" s="323"/>
    </row>
    <row r="27" spans="2:5" ht="13.5" customHeight="1" x14ac:dyDescent="0.2">
      <c r="B27" s="1489"/>
      <c r="C27" s="323"/>
      <c r="D27" s="323"/>
      <c r="E27" s="323"/>
    </row>
    <row r="28" spans="2:5" ht="13.5" customHeight="1" x14ac:dyDescent="0.2">
      <c r="B28" s="1489"/>
      <c r="C28" s="323"/>
      <c r="D28" s="323"/>
      <c r="E28" s="323"/>
    </row>
    <row r="29" spans="2:5" ht="13.5" customHeight="1" x14ac:dyDescent="0.2">
      <c r="B29" s="1489"/>
      <c r="C29" s="323"/>
      <c r="D29" s="323"/>
      <c r="E29" s="323"/>
    </row>
    <row r="30" spans="2:5" ht="13.5" customHeight="1" x14ac:dyDescent="0.2">
      <c r="B30" s="1489"/>
      <c r="C30" s="323"/>
      <c r="D30" s="323"/>
      <c r="E30" s="323"/>
    </row>
    <row r="31" spans="2:5" ht="13.5" customHeight="1" x14ac:dyDescent="0.2">
      <c r="B31" s="1489"/>
      <c r="C31" s="323"/>
      <c r="D31" s="323"/>
      <c r="E31" s="323"/>
    </row>
    <row r="32" spans="2:5" ht="13.5" customHeight="1" x14ac:dyDescent="0.2">
      <c r="B32" s="1491"/>
      <c r="C32" s="323"/>
      <c r="D32" s="323"/>
      <c r="E32" s="323"/>
    </row>
    <row r="33" spans="2:5" ht="13.5" customHeight="1" x14ac:dyDescent="0.2">
      <c r="B33" s="1492"/>
      <c r="C33" s="323"/>
      <c r="D33" s="323"/>
      <c r="E33" s="323"/>
    </row>
    <row r="34" spans="2:5" ht="13.5" customHeight="1" x14ac:dyDescent="0.2">
      <c r="B34" s="1493"/>
      <c r="C34" s="323"/>
      <c r="D34" s="323"/>
      <c r="E34" s="323"/>
    </row>
    <row r="35" spans="2:5" ht="13.5" customHeight="1" x14ac:dyDescent="0.2">
      <c r="B35" s="1492"/>
      <c r="C35" s="323"/>
      <c r="D35" s="323"/>
      <c r="E35" s="323"/>
    </row>
    <row r="36" spans="2:5" ht="13.5" customHeight="1" x14ac:dyDescent="0.2">
      <c r="B36" s="1493"/>
      <c r="C36" s="323"/>
      <c r="D36" s="323"/>
      <c r="E36" s="323"/>
    </row>
    <row r="37" spans="2:5" ht="13.5" customHeight="1" x14ac:dyDescent="0.2">
      <c r="B37" s="1493"/>
      <c r="C37" s="323"/>
      <c r="D37" s="323"/>
      <c r="E37" s="323"/>
    </row>
    <row r="38" spans="2:5" ht="13.5" customHeight="1" x14ac:dyDescent="0.2">
      <c r="B38" s="1492"/>
      <c r="C38" s="323"/>
      <c r="D38" s="323"/>
      <c r="E38" s="323"/>
    </row>
    <row r="39" spans="2:5" ht="13.5" customHeight="1" x14ac:dyDescent="0.2">
      <c r="B39" s="1493"/>
      <c r="C39" s="323"/>
      <c r="D39" s="323"/>
      <c r="E39" s="323"/>
    </row>
    <row r="40" spans="2:5" ht="13.5" customHeight="1" x14ac:dyDescent="0.2">
      <c r="B40" s="1492"/>
      <c r="C40" s="323"/>
      <c r="D40" s="323"/>
      <c r="E40" s="323"/>
    </row>
    <row r="41" spans="2:5" ht="13.5" customHeight="1" x14ac:dyDescent="0.2">
      <c r="B41" s="1494"/>
      <c r="C41" s="323"/>
      <c r="D41" s="323"/>
      <c r="E41" s="323"/>
    </row>
    <row r="42" spans="2:5" ht="13.5" customHeight="1" x14ac:dyDescent="0.2">
      <c r="B42" s="1495"/>
      <c r="C42" s="323"/>
      <c r="D42" s="323"/>
      <c r="E42" s="323"/>
    </row>
    <row r="43" spans="2:5" ht="12.75" customHeight="1" x14ac:dyDescent="0.2">
      <c r="B43" s="1496"/>
      <c r="C43" s="1497"/>
      <c r="D43" s="1497"/>
      <c r="E43" s="323"/>
    </row>
    <row r="44" spans="2:5" ht="12.2" customHeight="1" x14ac:dyDescent="0.2">
      <c r="B44" s="1252" t="s">
        <v>1380</v>
      </c>
      <c r="C44" s="322"/>
    </row>
    <row r="45" spans="2:5" ht="12.2" customHeight="1" x14ac:dyDescent="0.2">
      <c r="B45" s="1498" t="s">
        <v>1869</v>
      </c>
    </row>
    <row r="46" spans="2:5" ht="12.2" customHeight="1" x14ac:dyDescent="0.2">
      <c r="B46" s="1498" t="s">
        <v>1870</v>
      </c>
    </row>
    <row r="47" spans="2:5" ht="12.2" customHeight="1" x14ac:dyDescent="0.2">
      <c r="B47" s="1499" t="s">
        <v>1379</v>
      </c>
    </row>
    <row r="48" spans="2:5" ht="12.2" customHeight="1" x14ac:dyDescent="0.2">
      <c r="B48" s="1499" t="s">
        <v>1378</v>
      </c>
    </row>
    <row r="49" spans="2:5" ht="12.2" customHeight="1" x14ac:dyDescent="0.2">
      <c r="B49" s="1499" t="s">
        <v>1377</v>
      </c>
    </row>
    <row r="50" spans="2:5" ht="12.2" customHeight="1" x14ac:dyDescent="0.2">
      <c r="B50" s="1499" t="s">
        <v>1376</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2"/>
    </row>
    <row r="68" spans="2:2" x14ac:dyDescent="0.2">
      <c r="B68" s="1295"/>
    </row>
    <row r="69" spans="2:2" x14ac:dyDescent="0.2">
      <c r="B69" s="1295"/>
    </row>
    <row r="70" spans="2:2" x14ac:dyDescent="0.2">
      <c r="B70" s="1413"/>
    </row>
    <row r="71" spans="2:2" x14ac:dyDescent="0.2">
      <c r="B71" s="1413"/>
    </row>
    <row r="72" spans="2:2" x14ac:dyDescent="0.2">
      <c r="B72" s="1413"/>
    </row>
    <row r="73" spans="2:2" x14ac:dyDescent="0.2">
      <c r="B73" s="1295"/>
    </row>
  </sheetData>
  <mergeCells count="4">
    <mergeCell ref="B1:D1"/>
    <mergeCell ref="B2:D2"/>
    <mergeCell ref="B3:D3"/>
    <mergeCell ref="B4:D4"/>
  </mergeCells>
  <pageMargins left="0.53"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N72"/>
  <sheetViews>
    <sheetView showGridLines="0" defaultGridColor="0" colorId="8" zoomScale="110" zoomScaleNormal="110" workbookViewId="0">
      <selection sqref="A1:M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60" t="s">
        <v>404</v>
      </c>
      <c r="B1" s="2160"/>
      <c r="C1" s="2160"/>
      <c r="D1" s="2160"/>
      <c r="E1" s="2160"/>
      <c r="F1" s="2160"/>
      <c r="G1" s="2160"/>
      <c r="H1" s="2160"/>
      <c r="I1" s="2160"/>
      <c r="J1" s="2160"/>
      <c r="K1" s="2160"/>
      <c r="L1" s="2160"/>
      <c r="M1" s="216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1036772447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1.8971999999999999E-2</v>
      </c>
      <c r="E10" s="356" t="s">
        <v>1062</v>
      </c>
      <c r="F10" s="355">
        <v>2E-3</v>
      </c>
      <c r="G10" s="356" t="s">
        <v>1062</v>
      </c>
      <c r="H10" s="355">
        <v>4.9399999999999997E-4</v>
      </c>
      <c r="I10" s="356" t="s">
        <v>1063</v>
      </c>
      <c r="J10" s="1746">
        <f>ROUND(D10+F10+H10,5)</f>
        <v>2.147E-2</v>
      </c>
      <c r="K10" s="222"/>
      <c r="L10" s="355">
        <v>1.08E-4</v>
      </c>
      <c r="M10" s="222"/>
    </row>
    <row r="11" spans="1:14" ht="7.5" customHeight="1" x14ac:dyDescent="0.2">
      <c r="B11" s="222"/>
      <c r="C11" s="222"/>
      <c r="D11" s="2170" t="str">
        <f>IF(SUM(J10)&lt;=0.0999999,"","Enter the Tax Rates by moving the decimal two places to the left.")</f>
        <v/>
      </c>
      <c r="E11" s="2171"/>
      <c r="F11" s="2171"/>
      <c r="G11" s="2171"/>
      <c r="H11" s="2171"/>
      <c r="I11" s="2171"/>
      <c r="J11" s="217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7">
        <f>SUM('Acct Summary 7-8'!C8,'Acct Summary 7-8'!D8,'Acct Summary 7-8'!F8,'Acct Summary 7-8'!I8)</f>
        <v>33460824</v>
      </c>
      <c r="E16" s="356"/>
      <c r="F16" s="1747">
        <f>SUM('Acct Summary 7-8'!C17,'Acct Summary 7-8'!D17,'Acct Summary 7-8'!F17)</f>
        <v>31012657</v>
      </c>
      <c r="G16" s="356"/>
      <c r="H16" s="1747">
        <f>SUM(D16-F16)</f>
        <v>2448167</v>
      </c>
      <c r="I16" s="222"/>
      <c r="J16" s="1747">
        <f>SUM('Acct Summary 7-8'!C81,'Acct Summary 7-8'!D81,'Acct Summary 7-8'!F81,'Acct Summary 7-8'!I81)</f>
        <v>21181125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7">
        <f>'Short-Term Long-Term Debt 24'!F4</f>
        <v>0</v>
      </c>
      <c r="E22" s="356" t="s">
        <v>1062</v>
      </c>
      <c r="F22" s="1747">
        <f>'Short-Term Long-Term Debt 24'!F15</f>
        <v>0</v>
      </c>
      <c r="G22" s="356" t="s">
        <v>1062</v>
      </c>
      <c r="H22" s="1747">
        <f>'Short-Term Long-Term Debt 24'!F21</f>
        <v>0</v>
      </c>
      <c r="I22" s="356" t="s">
        <v>1062</v>
      </c>
      <c r="J22" s="1747">
        <f>'Short-Term Long-Term Debt 24'!F23</f>
        <v>0</v>
      </c>
      <c r="K22" s="356" t="s">
        <v>1062</v>
      </c>
      <c r="L22" s="174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7">
        <f>'Short-Term Long-Term Debt 24'!F27</f>
        <v>0</v>
      </c>
      <c r="E24" s="356" t="s">
        <v>1063</v>
      </c>
      <c r="F24" s="1748">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607</v>
      </c>
      <c r="D31" s="237" t="s">
        <v>1132</v>
      </c>
      <c r="E31" s="222"/>
      <c r="F31" s="222"/>
      <c r="G31" s="363"/>
      <c r="H31" s="1749">
        <f>IF(B31="X",(J7*0.069),IF(B32="X",(J7*0.138),"Enter x in a.or b."))</f>
        <v>71537298.84300001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8">
        <f>'Assets-Liab 5-6'!N36</f>
        <v>9050000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61"/>
      <c r="C54" s="2162"/>
      <c r="D54" s="2162"/>
      <c r="E54" s="2162"/>
      <c r="F54" s="2162"/>
      <c r="G54" s="2162"/>
      <c r="H54" s="2162"/>
      <c r="I54" s="2162"/>
      <c r="J54" s="2162"/>
      <c r="K54" s="2162"/>
      <c r="L54" s="2163"/>
      <c r="M54" s="380"/>
    </row>
    <row r="55" spans="1:13" ht="12.75" customHeight="1" x14ac:dyDescent="0.2">
      <c r="B55" s="2164"/>
      <c r="C55" s="2165"/>
      <c r="D55" s="2165"/>
      <c r="E55" s="2165"/>
      <c r="F55" s="2165"/>
      <c r="G55" s="2165"/>
      <c r="H55" s="2165"/>
      <c r="I55" s="2165"/>
      <c r="J55" s="2165"/>
      <c r="K55" s="2165"/>
      <c r="L55" s="2166"/>
      <c r="M55" s="380"/>
    </row>
    <row r="56" spans="1:13" ht="12.75" customHeight="1" x14ac:dyDescent="0.2">
      <c r="B56" s="2164"/>
      <c r="C56" s="2165"/>
      <c r="D56" s="2165"/>
      <c r="E56" s="2165"/>
      <c r="F56" s="2165"/>
      <c r="G56" s="2165"/>
      <c r="H56" s="2165"/>
      <c r="I56" s="2165"/>
      <c r="J56" s="2165"/>
      <c r="K56" s="2165"/>
      <c r="L56" s="2166"/>
      <c r="M56" s="222"/>
    </row>
    <row r="57" spans="1:13" ht="12.75" customHeight="1" x14ac:dyDescent="0.2">
      <c r="B57" s="2164"/>
      <c r="C57" s="2165"/>
      <c r="D57" s="2165"/>
      <c r="E57" s="2165"/>
      <c r="F57" s="2165"/>
      <c r="G57" s="2165"/>
      <c r="H57" s="2165"/>
      <c r="I57" s="2165"/>
      <c r="J57" s="2165"/>
      <c r="K57" s="2165"/>
      <c r="L57" s="2166"/>
      <c r="M57" s="222"/>
    </row>
    <row r="58" spans="1:13" x14ac:dyDescent="0.2">
      <c r="B58" s="2167"/>
      <c r="C58" s="2168"/>
      <c r="D58" s="2168"/>
      <c r="E58" s="2168"/>
      <c r="F58" s="2168"/>
      <c r="G58" s="2168"/>
      <c r="H58" s="2168"/>
      <c r="I58" s="2168"/>
      <c r="J58" s="2168"/>
      <c r="K58" s="2168"/>
      <c r="L58" s="216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72"/>
      <c r="D61" s="217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R44"/>
  <sheetViews>
    <sheetView showGridLines="0" zoomScale="110" zoomScaleNormal="110" workbookViewId="0">
      <selection sqref="A1:R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75"/>
      <c r="B1" s="2176"/>
      <c r="C1" s="2176"/>
      <c r="D1" s="384"/>
      <c r="E1" s="384"/>
      <c r="F1" s="384"/>
      <c r="G1" s="384"/>
      <c r="H1" s="384"/>
      <c r="I1" s="384"/>
      <c r="J1" s="384"/>
      <c r="K1" s="384"/>
      <c r="L1" s="384"/>
      <c r="M1" s="384"/>
      <c r="N1" s="384"/>
      <c r="O1" s="2175"/>
      <c r="P1" s="2176"/>
      <c r="Q1" s="2176"/>
    </row>
    <row r="2" spans="1:18" ht="15" x14ac:dyDescent="0.2">
      <c r="A2" s="2179" t="s">
        <v>577</v>
      </c>
      <c r="B2" s="2179"/>
      <c r="C2" s="2179"/>
      <c r="D2" s="2179"/>
      <c r="E2" s="2179"/>
      <c r="F2" s="2179"/>
      <c r="G2" s="2179"/>
      <c r="H2" s="2179"/>
      <c r="I2" s="2179"/>
      <c r="J2" s="2179"/>
      <c r="K2" s="2179"/>
      <c r="L2" s="2179"/>
      <c r="M2" s="2179"/>
      <c r="N2" s="2179"/>
      <c r="O2" s="2179"/>
      <c r="P2" s="2179"/>
      <c r="Q2" s="2179"/>
      <c r="R2" s="2179"/>
    </row>
    <row r="3" spans="1:18" ht="12.75" x14ac:dyDescent="0.2">
      <c r="A3" s="2180" t="s">
        <v>1480</v>
      </c>
      <c r="B3" s="2180"/>
      <c r="C3" s="2180"/>
      <c r="D3" s="2180"/>
      <c r="E3" s="2180"/>
      <c r="F3" s="2180"/>
      <c r="G3" s="2180"/>
      <c r="H3" s="2180"/>
      <c r="I3" s="2180"/>
      <c r="J3" s="2180"/>
      <c r="K3" s="2180"/>
      <c r="L3" s="2180"/>
      <c r="M3" s="2180"/>
      <c r="N3" s="2180"/>
      <c r="O3" s="2180"/>
      <c r="P3" s="2180"/>
      <c r="Q3" s="2180"/>
      <c r="R3" s="2180"/>
    </row>
    <row r="4" spans="1:18" x14ac:dyDescent="0.2">
      <c r="A4" s="2181" t="s">
        <v>1635</v>
      </c>
      <c r="B4" s="2181"/>
      <c r="C4" s="2181"/>
      <c r="D4" s="2181"/>
      <c r="E4" s="2181"/>
      <c r="F4" s="2181"/>
      <c r="G4" s="2181"/>
      <c r="H4" s="2181"/>
      <c r="I4" s="2181"/>
      <c r="J4" s="2181"/>
      <c r="K4" s="2181"/>
      <c r="L4" s="2181"/>
      <c r="M4" s="2181"/>
      <c r="N4" s="2181"/>
      <c r="O4" s="2181"/>
      <c r="P4" s="2181"/>
      <c r="Q4" s="2181"/>
      <c r="R4" s="218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McHenry CHSD 156</v>
      </c>
      <c r="E7" s="391"/>
      <c r="G7" s="252"/>
      <c r="H7" s="387"/>
      <c r="I7" s="387"/>
      <c r="J7" s="387"/>
      <c r="K7" s="387"/>
      <c r="L7" s="329"/>
      <c r="M7" s="329"/>
      <c r="N7" s="329"/>
      <c r="O7" s="329"/>
      <c r="P7" s="329"/>
    </row>
    <row r="8" spans="1:18" ht="12.75" x14ac:dyDescent="0.2">
      <c r="A8" s="329"/>
      <c r="B8" s="329"/>
      <c r="C8" s="389" t="s">
        <v>1187</v>
      </c>
      <c r="D8" s="392">
        <f>COVER!A13</f>
        <v>44063156016</v>
      </c>
      <c r="E8" s="393"/>
      <c r="G8" s="329"/>
      <c r="H8" s="329"/>
      <c r="I8" s="329"/>
      <c r="J8" s="329"/>
      <c r="K8" s="329"/>
      <c r="L8" s="329"/>
      <c r="M8" s="329"/>
      <c r="N8" s="329"/>
      <c r="O8" s="329"/>
      <c r="P8" s="329"/>
    </row>
    <row r="9" spans="1:18" ht="12.75" x14ac:dyDescent="0.2">
      <c r="A9" s="329"/>
      <c r="B9" s="329"/>
      <c r="C9" s="389" t="s">
        <v>737</v>
      </c>
      <c r="D9" s="394" t="str">
        <f>COVER!A15</f>
        <v>MCHENRY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21181125</v>
      </c>
      <c r="I12" s="404"/>
      <c r="J12" s="404"/>
      <c r="K12" s="405">
        <f>TRUNC((H12/H13*100000),5)/100000</f>
        <v>0.63301265379999994</v>
      </c>
      <c r="L12" s="406"/>
      <c r="M12" s="360" t="s">
        <v>1206</v>
      </c>
      <c r="N12" s="360"/>
      <c r="O12" s="407">
        <v>0.35</v>
      </c>
      <c r="P12" s="218"/>
      <c r="Q12" s="218"/>
    </row>
    <row r="13" spans="1:18" s="408" customFormat="1" ht="12.75" x14ac:dyDescent="0.2">
      <c r="A13" s="218"/>
      <c r="B13" s="401"/>
      <c r="C13" s="2177" t="s">
        <v>1391</v>
      </c>
      <c r="D13" s="2178"/>
      <c r="E13" s="218"/>
      <c r="F13" s="409" t="s">
        <v>826</v>
      </c>
      <c r="G13" s="402"/>
      <c r="H13" s="403">
        <f>SUM('Acct Summary 7-8'!C8+'Acct Summary 7-8'!D8+'Acct Summary 7-8'!F8+'Acct Summary 7-8'!I8)+H14</f>
        <v>33460824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31012657</v>
      </c>
      <c r="I17" s="404"/>
      <c r="J17" s="416"/>
      <c r="K17" s="405">
        <f>TRUNC((H17/H18*100000),5)/100000</f>
        <v>0.92683482630000003</v>
      </c>
      <c r="L17" s="406"/>
      <c r="M17" s="417" t="s">
        <v>1233</v>
      </c>
      <c r="O17" s="418" t="str">
        <f>IF(AND(O16="2", J20 &gt; 2),"1",IF(AND(O16 = "1", J20 &gt; 2),"2",IF(AND(O16="1", J20 &gt;1),"1","0")))</f>
        <v>0</v>
      </c>
      <c r="P17" s="218"/>
    </row>
    <row r="18" spans="1:18" s="408" customFormat="1" ht="11.25" x14ac:dyDescent="0.2">
      <c r="A18" s="218"/>
      <c r="B18" s="401"/>
      <c r="C18" s="2177" t="s">
        <v>1384</v>
      </c>
      <c r="D18" s="2178"/>
      <c r="E18" s="218"/>
      <c r="F18" s="419" t="s">
        <v>827</v>
      </c>
      <c r="G18" s="402"/>
      <c r="H18" s="403">
        <f>SUM('Acct Summary 7-8'!C8+'Acct Summary 7-8'!D8+'Acct Summary 7-8'!F8+'Acct Summary 7-8'!I8)+H19</f>
        <v>33460824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74" t="s">
        <v>1479</v>
      </c>
      <c r="D24" s="2174"/>
      <c r="E24" s="218"/>
      <c r="F24" s="218" t="s">
        <v>465</v>
      </c>
      <c r="G24" s="402"/>
      <c r="H24" s="403">
        <f>SUM('Assets-Liab 5-6'!C4+'Assets-Liab 5-6'!D4+'Assets-Liab 5-6'!F4+'Assets-Liab 5-6'!I4+'Assets-Liab 5-6'!C5+'Assets-Liab 5-6'!D5+'Assets-Liab 5-6'!F5+'Assets-Liab 5-6'!I5)</f>
        <v>21200490</v>
      </c>
      <c r="I24" s="422"/>
      <c r="J24" s="422"/>
      <c r="K24" s="423">
        <f>TRUNC(((H24/H25*100000)/100000),2)</f>
        <v>246.09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86146.269440000004</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18920578.771529999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9050000</v>
      </c>
      <c r="I32" s="420"/>
      <c r="J32" s="420"/>
      <c r="K32" s="423">
        <f>TRUNC(100-((((H32/H33*100))*100)/100),2)</f>
        <v>87.34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71537298.84300001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colorId="8" zoomScale="110" zoomScaleNormal="110" workbookViewId="0">
      <pane ySplit="2" topLeftCell="A30" activePane="bottomLeft" state="frozen"/>
      <selection pane="bottomLeft" activeCell="A3" sqref="A3:B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8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8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84" t="s">
        <v>1030</v>
      </c>
      <c r="B3" s="2185"/>
      <c r="C3" s="1573"/>
      <c r="D3" s="1574"/>
      <c r="E3" s="1574"/>
      <c r="F3" s="1574"/>
      <c r="G3" s="1574"/>
      <c r="H3" s="1574"/>
      <c r="I3" s="1574"/>
      <c r="J3" s="1574"/>
      <c r="K3" s="1574"/>
      <c r="L3" s="1574"/>
      <c r="M3" s="1575"/>
      <c r="N3" s="1576"/>
    </row>
    <row r="4" spans="1:14" ht="13.5" customHeight="1" x14ac:dyDescent="0.2">
      <c r="A4" s="463" t="s">
        <v>1750</v>
      </c>
      <c r="B4" s="464"/>
      <c r="C4" s="465">
        <v>6180523</v>
      </c>
      <c r="D4" s="466">
        <v>2700815</v>
      </c>
      <c r="E4" s="466">
        <v>242912</v>
      </c>
      <c r="F4" s="466">
        <v>135864</v>
      </c>
      <c r="G4" s="466">
        <v>129957</v>
      </c>
      <c r="H4" s="466">
        <v>758480</v>
      </c>
      <c r="I4" s="466">
        <v>616922</v>
      </c>
      <c r="J4" s="467">
        <v>30813</v>
      </c>
      <c r="K4" s="466">
        <v>0</v>
      </c>
      <c r="L4" s="466">
        <v>160231</v>
      </c>
      <c r="M4" s="468"/>
      <c r="N4" s="469"/>
    </row>
    <row r="5" spans="1:14" x14ac:dyDescent="0.2">
      <c r="A5" s="463" t="s">
        <v>1049</v>
      </c>
      <c r="B5" s="470">
        <v>120</v>
      </c>
      <c r="C5" s="465">
        <v>10051491</v>
      </c>
      <c r="D5" s="466">
        <v>939624</v>
      </c>
      <c r="E5" s="466">
        <v>2338353</v>
      </c>
      <c r="F5" s="466">
        <v>501214</v>
      </c>
      <c r="G5" s="466">
        <v>230526</v>
      </c>
      <c r="H5" s="466">
        <v>0</v>
      </c>
      <c r="I5" s="466">
        <v>74037</v>
      </c>
      <c r="J5" s="467">
        <v>84355</v>
      </c>
      <c r="K5" s="471">
        <v>0</v>
      </c>
      <c r="L5" s="472">
        <v>70000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50" t="s">
        <v>665</v>
      </c>
      <c r="B13" s="1723"/>
      <c r="C13" s="1751">
        <f>SUM(C4:C12)</f>
        <v>16232014</v>
      </c>
      <c r="D13" s="1751">
        <f t="shared" ref="D13:L13" si="0">SUM(D4:D12)</f>
        <v>3640439</v>
      </c>
      <c r="E13" s="1751">
        <f t="shared" si="0"/>
        <v>2581265</v>
      </c>
      <c r="F13" s="1751">
        <f t="shared" si="0"/>
        <v>637078</v>
      </c>
      <c r="G13" s="1751">
        <f t="shared" si="0"/>
        <v>360483</v>
      </c>
      <c r="H13" s="1751">
        <f t="shared" si="0"/>
        <v>758480</v>
      </c>
      <c r="I13" s="1751">
        <f t="shared" si="0"/>
        <v>690959</v>
      </c>
      <c r="J13" s="1751">
        <f t="shared" si="0"/>
        <v>115168</v>
      </c>
      <c r="K13" s="1751">
        <f t="shared" si="0"/>
        <v>0</v>
      </c>
      <c r="L13" s="1751">
        <f t="shared" si="0"/>
        <v>230231</v>
      </c>
      <c r="M13" s="468"/>
      <c r="N13" s="469"/>
    </row>
    <row r="14" spans="1:14" ht="18" customHeight="1" thickTop="1" x14ac:dyDescent="0.2">
      <c r="A14" s="2186" t="s">
        <v>149</v>
      </c>
      <c r="B14" s="2187"/>
      <c r="C14" s="1577"/>
      <c r="D14" s="1578"/>
      <c r="E14" s="1578"/>
      <c r="F14" s="1578"/>
      <c r="G14" s="1578"/>
      <c r="H14" s="1578"/>
      <c r="I14" s="1578"/>
      <c r="J14" s="1578"/>
      <c r="K14" s="1578"/>
      <c r="L14" s="1578"/>
      <c r="M14" s="1579"/>
      <c r="N14" s="1580"/>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3150000</v>
      </c>
      <c r="N16" s="484"/>
    </row>
    <row r="17" spans="1:14" s="485" customFormat="1" ht="12.75" customHeight="1" x14ac:dyDescent="0.2">
      <c r="A17" s="482" t="s">
        <v>1470</v>
      </c>
      <c r="B17" s="483">
        <v>230</v>
      </c>
      <c r="C17" s="477"/>
      <c r="D17" s="477"/>
      <c r="E17" s="477"/>
      <c r="F17" s="477"/>
      <c r="G17" s="477"/>
      <c r="H17" s="477"/>
      <c r="I17" s="477"/>
      <c r="J17" s="477"/>
      <c r="K17" s="477"/>
      <c r="L17" s="477"/>
      <c r="M17" s="467">
        <v>28759133</v>
      </c>
      <c r="N17" s="484"/>
    </row>
    <row r="18" spans="1:14" s="485" customFormat="1" ht="12.75" customHeight="1" x14ac:dyDescent="0.2">
      <c r="A18" s="482" t="s">
        <v>1471</v>
      </c>
      <c r="B18" s="483">
        <v>240</v>
      </c>
      <c r="C18" s="477"/>
      <c r="D18" s="477"/>
      <c r="E18" s="477"/>
      <c r="F18" s="477"/>
      <c r="G18" s="477"/>
      <c r="H18" s="477"/>
      <c r="I18" s="477"/>
      <c r="J18" s="477"/>
      <c r="K18" s="477"/>
      <c r="L18" s="477"/>
      <c r="M18" s="467">
        <v>4099845</v>
      </c>
      <c r="N18" s="484"/>
    </row>
    <row r="19" spans="1:14" s="485" customFormat="1" ht="12.75" customHeight="1" x14ac:dyDescent="0.2">
      <c r="A19" s="482" t="s">
        <v>1472</v>
      </c>
      <c r="B19" s="483">
        <v>250</v>
      </c>
      <c r="C19" s="477"/>
      <c r="D19" s="477"/>
      <c r="E19" s="477"/>
      <c r="F19" s="477"/>
      <c r="G19" s="477"/>
      <c r="H19" s="477"/>
      <c r="I19" s="477"/>
      <c r="J19" s="477"/>
      <c r="K19" s="477"/>
      <c r="L19" s="477"/>
      <c r="M19" s="467">
        <v>1623957</v>
      </c>
      <c r="N19" s="484"/>
    </row>
    <row r="20" spans="1:14" s="485" customFormat="1" ht="12.75" customHeight="1" x14ac:dyDescent="0.2">
      <c r="A20" s="482" t="s">
        <v>1473</v>
      </c>
      <c r="B20" s="483">
        <v>260</v>
      </c>
      <c r="C20" s="477"/>
      <c r="D20" s="477"/>
      <c r="E20" s="477"/>
      <c r="F20" s="477"/>
      <c r="G20" s="477"/>
      <c r="H20" s="477"/>
      <c r="I20" s="477"/>
      <c r="J20" s="477"/>
      <c r="K20" s="477"/>
      <c r="L20" s="477"/>
      <c r="M20" s="467">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f>
        <v>2581265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6468735</v>
      </c>
    </row>
    <row r="23" spans="1:14" ht="13.5" customHeight="1" thickBot="1" x14ac:dyDescent="0.25">
      <c r="A23" s="1750" t="s">
        <v>664</v>
      </c>
      <c r="B23" s="1755"/>
      <c r="C23" s="468"/>
      <c r="D23" s="468"/>
      <c r="E23" s="468"/>
      <c r="F23" s="468"/>
      <c r="G23" s="468"/>
      <c r="H23" s="468"/>
      <c r="I23" s="468"/>
      <c r="J23" s="468"/>
      <c r="K23" s="468"/>
      <c r="L23" s="468"/>
      <c r="M23" s="1702">
        <f>SUM(M15:M22)</f>
        <v>37632935</v>
      </c>
      <c r="N23" s="1702">
        <f>SUM(N21:N22)</f>
        <v>9050000</v>
      </c>
    </row>
    <row r="24" spans="1:14" ht="18" customHeight="1" thickTop="1" x14ac:dyDescent="0.2">
      <c r="A24" s="2188" t="s">
        <v>619</v>
      </c>
      <c r="B24" s="2189"/>
      <c r="C24" s="1582"/>
      <c r="D24" s="1579"/>
      <c r="E24" s="1579"/>
      <c r="F24" s="1579"/>
      <c r="G24" s="1579"/>
      <c r="H24" s="1579"/>
      <c r="I24" s="1579"/>
      <c r="J24" s="1579"/>
      <c r="K24" s="1579"/>
      <c r="L24" s="1579"/>
      <c r="M24" s="1578"/>
      <c r="N24" s="1583"/>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19365</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230231</v>
      </c>
      <c r="M33" s="468"/>
      <c r="N33" s="469"/>
    </row>
    <row r="34" spans="1:14" ht="13.5" customHeight="1" thickBot="1" x14ac:dyDescent="0.25">
      <c r="A34" s="1752" t="s">
        <v>675</v>
      </c>
      <c r="B34" s="1753"/>
      <c r="C34" s="1754">
        <f>SUM(C25:C33)</f>
        <v>19365</v>
      </c>
      <c r="D34" s="1754">
        <f t="shared" ref="D34:K34" si="1">SUM(D25:D33)</f>
        <v>0</v>
      </c>
      <c r="E34" s="1754">
        <f t="shared" si="1"/>
        <v>0</v>
      </c>
      <c r="F34" s="1754">
        <f t="shared" si="1"/>
        <v>0</v>
      </c>
      <c r="G34" s="1754">
        <f t="shared" si="1"/>
        <v>0</v>
      </c>
      <c r="H34" s="1754">
        <f t="shared" si="1"/>
        <v>0</v>
      </c>
      <c r="I34" s="1754">
        <f t="shared" si="1"/>
        <v>0</v>
      </c>
      <c r="J34" s="1754">
        <f t="shared" si="1"/>
        <v>0</v>
      </c>
      <c r="K34" s="1754">
        <f t="shared" si="1"/>
        <v>0</v>
      </c>
      <c r="L34" s="1735">
        <f>SUM(L33)</f>
        <v>230231</v>
      </c>
      <c r="M34" s="468"/>
      <c r="N34" s="480"/>
    </row>
    <row r="35" spans="1:14" ht="18" customHeight="1" thickTop="1" x14ac:dyDescent="0.2">
      <c r="A35" s="2190" t="s">
        <v>550</v>
      </c>
      <c r="B35" s="2191"/>
      <c r="C35" s="1584"/>
      <c r="D35" s="1585"/>
      <c r="E35" s="1585"/>
      <c r="F35" s="1585"/>
      <c r="G35" s="1585"/>
      <c r="H35" s="1585"/>
      <c r="I35" s="1585"/>
      <c r="J35" s="1585"/>
      <c r="K35" s="1585"/>
      <c r="L35" s="1585"/>
      <c r="M35" s="1579"/>
      <c r="N35" s="1583"/>
    </row>
    <row r="36" spans="1:14" x14ac:dyDescent="0.2">
      <c r="A36" s="494" t="s">
        <v>1</v>
      </c>
      <c r="B36" s="470">
        <v>511</v>
      </c>
      <c r="C36" s="477"/>
      <c r="D36" s="477"/>
      <c r="E36" s="477"/>
      <c r="F36" s="477"/>
      <c r="G36" s="477"/>
      <c r="H36" s="477"/>
      <c r="I36" s="477"/>
      <c r="J36" s="477"/>
      <c r="K36" s="477"/>
      <c r="L36" s="468"/>
      <c r="M36" s="468"/>
      <c r="N36" s="495">
        <f>'Short-Term Long-Term Debt 24'!I49</f>
        <v>9050000</v>
      </c>
    </row>
    <row r="37" spans="1:14" ht="13.5" thickBot="1" x14ac:dyDescent="0.25">
      <c r="A37" s="1750" t="s">
        <v>674</v>
      </c>
      <c r="B37" s="1755"/>
      <c r="C37" s="477"/>
      <c r="D37" s="477"/>
      <c r="E37" s="477"/>
      <c r="F37" s="477"/>
      <c r="G37" s="477"/>
      <c r="H37" s="477"/>
      <c r="I37" s="477"/>
      <c r="J37" s="477"/>
      <c r="K37" s="477"/>
      <c r="L37" s="480"/>
      <c r="M37" s="468"/>
      <c r="N37" s="1702">
        <f>SUM(N36:N36)</f>
        <v>9050000</v>
      </c>
    </row>
    <row r="38" spans="1:14" s="329" customFormat="1" ht="13.5" customHeight="1" thickTop="1" x14ac:dyDescent="0.2">
      <c r="A38" s="496" t="s">
        <v>440</v>
      </c>
      <c r="B38" s="483">
        <v>714</v>
      </c>
      <c r="C38" s="466">
        <v>251424</v>
      </c>
      <c r="D38" s="466"/>
      <c r="E38" s="466"/>
      <c r="F38" s="466"/>
      <c r="G38" s="466">
        <v>209221</v>
      </c>
      <c r="H38" s="466">
        <v>633725</v>
      </c>
      <c r="I38" s="466"/>
      <c r="J38" s="467"/>
      <c r="K38" s="466"/>
      <c r="L38" s="481"/>
      <c r="M38" s="497"/>
      <c r="N38" s="497"/>
    </row>
    <row r="39" spans="1:14" s="329" customFormat="1" ht="13.5" customHeight="1" x14ac:dyDescent="0.2">
      <c r="A39" s="496" t="s">
        <v>360</v>
      </c>
      <c r="B39" s="483">
        <v>730</v>
      </c>
      <c r="C39" s="466">
        <v>15961225</v>
      </c>
      <c r="D39" s="466">
        <v>3640439</v>
      </c>
      <c r="E39" s="466">
        <v>2581265</v>
      </c>
      <c r="F39" s="466">
        <v>637078</v>
      </c>
      <c r="G39" s="466">
        <v>151262</v>
      </c>
      <c r="H39" s="466">
        <v>124755</v>
      </c>
      <c r="I39" s="466">
        <v>690959</v>
      </c>
      <c r="J39" s="467">
        <v>115168</v>
      </c>
      <c r="K39" s="466">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37632935</v>
      </c>
      <c r="N40" s="497"/>
    </row>
    <row r="41" spans="1:14" ht="13.5" customHeight="1" thickBot="1" x14ac:dyDescent="0.25">
      <c r="A41" s="1750" t="s">
        <v>676</v>
      </c>
      <c r="B41" s="1720"/>
      <c r="C41" s="1702">
        <f>(SUM(C34,C37,C38,C39))</f>
        <v>16232014</v>
      </c>
      <c r="D41" s="1702">
        <f t="shared" ref="D41:L41" si="2">SUM(D34,D37,D38:D39)</f>
        <v>3640439</v>
      </c>
      <c r="E41" s="1702">
        <f t="shared" si="2"/>
        <v>2581265</v>
      </c>
      <c r="F41" s="1702">
        <f t="shared" si="2"/>
        <v>637078</v>
      </c>
      <c r="G41" s="1702">
        <f t="shared" si="2"/>
        <v>360483</v>
      </c>
      <c r="H41" s="1702">
        <f t="shared" si="2"/>
        <v>758480</v>
      </c>
      <c r="I41" s="1702">
        <f t="shared" si="2"/>
        <v>690959</v>
      </c>
      <c r="J41" s="1702">
        <f t="shared" si="2"/>
        <v>115168</v>
      </c>
      <c r="K41" s="1702">
        <f t="shared" si="2"/>
        <v>0</v>
      </c>
      <c r="L41" s="1702">
        <f t="shared" si="2"/>
        <v>230231</v>
      </c>
      <c r="M41" s="1702">
        <f>SUM(M40)</f>
        <v>37632935</v>
      </c>
      <c r="N41" s="1702">
        <f>SUM(N37)</f>
        <v>9050000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7"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110" zoomScaleNormal="110" zoomScaleSheetLayoutView="100" workbookViewId="0">
      <pane ySplit="2" topLeftCell="A63" activePane="bottomLeft" state="frozenSplit"/>
      <selection pane="bottomLeft" activeCell="A3" sqref="A3:B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20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20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212" t="s">
        <v>1237</v>
      </c>
      <c r="B3" s="2213"/>
      <c r="C3" s="1587"/>
      <c r="D3" s="1588"/>
      <c r="E3" s="1588"/>
      <c r="F3" s="1588"/>
      <c r="G3" s="1588"/>
      <c r="H3" s="1588"/>
      <c r="I3" s="1588"/>
      <c r="J3" s="1588"/>
      <c r="K3" s="1589"/>
      <c r="L3" s="506"/>
    </row>
    <row r="4" spans="1:13" ht="15.75" customHeight="1" x14ac:dyDescent="0.2">
      <c r="A4" s="1946" t="s">
        <v>1579</v>
      </c>
      <c r="B4" s="1947">
        <v>1000</v>
      </c>
      <c r="C4" s="1756">
        <f>'Revenues 9-14'!C109</f>
        <v>21747969</v>
      </c>
      <c r="D4" s="1756">
        <f>'Revenues 9-14'!D109</f>
        <v>2578191</v>
      </c>
      <c r="E4" s="1756">
        <f>'Revenues 9-14'!E109</f>
        <v>4372760</v>
      </c>
      <c r="F4" s="1756">
        <f>'Revenues 9-14'!F109</f>
        <v>526167</v>
      </c>
      <c r="G4" s="1756">
        <f>'Revenues 9-14'!G109</f>
        <v>896676</v>
      </c>
      <c r="H4" s="1756">
        <f>'Revenues 9-14'!H109</f>
        <v>112534</v>
      </c>
      <c r="I4" s="1756">
        <f>'Revenues 9-14'!I109</f>
        <v>113328</v>
      </c>
      <c r="J4" s="1756">
        <f>'Revenues 9-14'!J109</f>
        <v>150702</v>
      </c>
      <c r="K4" s="1756">
        <f>'Revenues 9-14'!K109</f>
        <v>0</v>
      </c>
      <c r="L4" s="347"/>
    </row>
    <row r="5" spans="1:13" ht="15.75" customHeight="1" x14ac:dyDescent="0.2">
      <c r="A5" s="1590" t="s">
        <v>1580</v>
      </c>
      <c r="B5" s="1591">
        <v>2000</v>
      </c>
      <c r="C5" s="1757">
        <f>'Revenues 9-14'!C114</f>
        <v>0</v>
      </c>
      <c r="D5" s="1757">
        <f>'Revenues 9-14'!D114</f>
        <v>0</v>
      </c>
      <c r="E5" s="508"/>
      <c r="F5" s="1757">
        <f>'Revenues 9-14'!F114</f>
        <v>0</v>
      </c>
      <c r="G5" s="1757">
        <f>'Revenues 9-14'!G114</f>
        <v>0</v>
      </c>
      <c r="H5" s="509" t="s">
        <v>1231</v>
      </c>
      <c r="I5" s="510" t="s">
        <v>1231</v>
      </c>
      <c r="J5" s="511" t="s">
        <v>1231</v>
      </c>
      <c r="K5" s="512" t="s">
        <v>1231</v>
      </c>
      <c r="L5" s="347"/>
    </row>
    <row r="6" spans="1:13" ht="15.75" customHeight="1" x14ac:dyDescent="0.2">
      <c r="A6" s="1590" t="s">
        <v>1581</v>
      </c>
      <c r="B6" s="1592">
        <v>3000</v>
      </c>
      <c r="C6" s="1757">
        <f>'Revenues 9-14'!C173</f>
        <v>6192685</v>
      </c>
      <c r="D6" s="1757">
        <f>'Revenues 9-14'!D173</f>
        <v>0</v>
      </c>
      <c r="E6" s="1757">
        <f>'Revenues 9-14'!E173</f>
        <v>0</v>
      </c>
      <c r="F6" s="1757">
        <f>'Revenues 9-14'!F173</f>
        <v>964350</v>
      </c>
      <c r="G6" s="1757">
        <f>'Revenues 9-14'!G173</f>
        <v>0</v>
      </c>
      <c r="H6" s="1757">
        <f>'Revenues 9-14'!H173</f>
        <v>0</v>
      </c>
      <c r="I6" s="1757">
        <f>'Revenues 9-14'!I173</f>
        <v>0</v>
      </c>
      <c r="J6" s="1757">
        <f>'Revenues 9-14'!J173</f>
        <v>0</v>
      </c>
      <c r="K6" s="1757">
        <f>'Revenues 9-14'!K173</f>
        <v>0</v>
      </c>
      <c r="L6" s="347"/>
      <c r="M6" s="513"/>
    </row>
    <row r="7" spans="1:13" ht="15.75" customHeight="1" x14ac:dyDescent="0.2">
      <c r="A7" s="1590" t="s">
        <v>1582</v>
      </c>
      <c r="B7" s="1592">
        <v>4000</v>
      </c>
      <c r="C7" s="1757">
        <f>'Revenues 9-14'!C274</f>
        <v>1338134</v>
      </c>
      <c r="D7" s="1757">
        <f>'Revenues 9-14'!D274</f>
        <v>0</v>
      </c>
      <c r="E7" s="1757">
        <f>'Revenues 9-14'!E274</f>
        <v>0</v>
      </c>
      <c r="F7" s="1757">
        <f>'Revenues 9-14'!F274</f>
        <v>0</v>
      </c>
      <c r="G7" s="1757">
        <f>'Revenues 9-14'!G274</f>
        <v>0</v>
      </c>
      <c r="H7" s="1757">
        <f>'Revenues 9-14'!H274</f>
        <v>0</v>
      </c>
      <c r="I7" s="1757">
        <f>'Revenues 9-14'!I274</f>
        <v>0</v>
      </c>
      <c r="J7" s="1757">
        <f>'Revenues 9-14'!J274</f>
        <v>0</v>
      </c>
      <c r="K7" s="1757">
        <f>'Revenues 9-14'!K274</f>
        <v>0</v>
      </c>
      <c r="L7" s="347"/>
      <c r="M7" s="513"/>
    </row>
    <row r="8" spans="1:13" ht="13.5" thickBot="1" x14ac:dyDescent="0.25">
      <c r="A8" s="1750" t="s">
        <v>1234</v>
      </c>
      <c r="B8" s="1723"/>
      <c r="C8" s="1702">
        <f>SUM(C4:C7)</f>
        <v>29278788</v>
      </c>
      <c r="D8" s="1702">
        <f t="shared" ref="D8:K8" si="0">SUM(D4:D7)</f>
        <v>2578191</v>
      </c>
      <c r="E8" s="1702">
        <f t="shared" si="0"/>
        <v>4372760</v>
      </c>
      <c r="F8" s="1702">
        <f t="shared" si="0"/>
        <v>1490517</v>
      </c>
      <c r="G8" s="1702">
        <f t="shared" si="0"/>
        <v>896676</v>
      </c>
      <c r="H8" s="1702">
        <f t="shared" si="0"/>
        <v>112534</v>
      </c>
      <c r="I8" s="1702">
        <f t="shared" si="0"/>
        <v>113328</v>
      </c>
      <c r="J8" s="1702">
        <f t="shared" si="0"/>
        <v>150702</v>
      </c>
      <c r="K8" s="1702">
        <f t="shared" si="0"/>
        <v>0</v>
      </c>
      <c r="L8" s="347"/>
    </row>
    <row r="9" spans="1:13" ht="15.75" thickTop="1" x14ac:dyDescent="0.2">
      <c r="A9" s="514" t="s">
        <v>1752</v>
      </c>
      <c r="B9" s="515">
        <v>3998</v>
      </c>
      <c r="C9" s="481">
        <v>10613568</v>
      </c>
      <c r="D9" s="516">
        <v>0</v>
      </c>
      <c r="E9" s="481">
        <v>0</v>
      </c>
      <c r="F9" s="481">
        <v>0</v>
      </c>
      <c r="G9" s="517">
        <v>0</v>
      </c>
      <c r="H9" s="481">
        <v>0</v>
      </c>
      <c r="I9" s="509" t="s">
        <v>1231</v>
      </c>
      <c r="J9" s="478">
        <v>0</v>
      </c>
      <c r="K9" s="481">
        <v>0</v>
      </c>
      <c r="L9" s="347"/>
    </row>
    <row r="10" spans="1:13" s="519" customFormat="1" ht="13.5" thickBot="1" x14ac:dyDescent="0.25">
      <c r="A10" s="1750" t="s">
        <v>1235</v>
      </c>
      <c r="B10" s="1723"/>
      <c r="C10" s="1702">
        <f>SUM(C8:C9)</f>
        <v>39892356</v>
      </c>
      <c r="D10" s="1702">
        <f t="shared" ref="D10:K10" si="1">SUM(D8:D9)</f>
        <v>2578191</v>
      </c>
      <c r="E10" s="1702">
        <f t="shared" si="1"/>
        <v>4372760</v>
      </c>
      <c r="F10" s="1702">
        <f t="shared" si="1"/>
        <v>1490517</v>
      </c>
      <c r="G10" s="1702">
        <f t="shared" si="1"/>
        <v>896676</v>
      </c>
      <c r="H10" s="1702">
        <f t="shared" si="1"/>
        <v>112534</v>
      </c>
      <c r="I10" s="1702">
        <f t="shared" si="1"/>
        <v>113328</v>
      </c>
      <c r="J10" s="1702">
        <f t="shared" si="1"/>
        <v>150702</v>
      </c>
      <c r="K10" s="1702">
        <f t="shared" si="1"/>
        <v>0</v>
      </c>
      <c r="L10" s="518"/>
    </row>
    <row r="11" spans="1:13" s="519" customFormat="1" ht="16.7" customHeight="1" thickTop="1" x14ac:dyDescent="0.2">
      <c r="A11" s="2186" t="s">
        <v>1238</v>
      </c>
      <c r="B11" s="2187"/>
      <c r="C11" s="1584"/>
      <c r="D11" s="1585"/>
      <c r="E11" s="1585"/>
      <c r="F11" s="1585"/>
      <c r="G11" s="1585"/>
      <c r="H11" s="1585"/>
      <c r="I11" s="1585"/>
      <c r="J11" s="1585"/>
      <c r="K11" s="1586"/>
      <c r="L11" s="518"/>
    </row>
    <row r="12" spans="1:13" ht="15.75" customHeight="1" x14ac:dyDescent="0.2">
      <c r="A12" s="1590" t="s">
        <v>476</v>
      </c>
      <c r="B12" s="1592">
        <v>1000</v>
      </c>
      <c r="C12" s="1756">
        <f>'Expenditures 15-22'!K33</f>
        <v>16951778</v>
      </c>
      <c r="D12" s="520" t="s">
        <v>1231</v>
      </c>
      <c r="E12" s="468" t="s">
        <v>1231</v>
      </c>
      <c r="F12" s="468" t="s">
        <v>1231</v>
      </c>
      <c r="G12" s="1756">
        <f>'Expenditures 15-22'!K229</f>
        <v>290250</v>
      </c>
      <c r="H12" s="521"/>
      <c r="I12" s="468" t="s">
        <v>1231</v>
      </c>
      <c r="J12" s="468" t="s">
        <v>1231</v>
      </c>
      <c r="K12" s="521" t="s">
        <v>1231</v>
      </c>
      <c r="L12" s="347"/>
    </row>
    <row r="13" spans="1:13" ht="15.75" customHeight="1" x14ac:dyDescent="0.2">
      <c r="A13" s="1590" t="s">
        <v>477</v>
      </c>
      <c r="B13" s="1592">
        <v>2000</v>
      </c>
      <c r="C13" s="1757">
        <f>'Expenditures 15-22'!K74</f>
        <v>7763639</v>
      </c>
      <c r="D13" s="1757">
        <f>'Expenditures 15-22'!K129</f>
        <v>4136679</v>
      </c>
      <c r="E13" s="469" t="s">
        <v>1231</v>
      </c>
      <c r="F13" s="1757">
        <f>'Expenditures 15-22'!K184</f>
        <v>1401758</v>
      </c>
      <c r="G13" s="1757">
        <f>'Expenditures 15-22'!K279</f>
        <v>546870</v>
      </c>
      <c r="H13" s="1757">
        <f>'Expenditures 15-22'!K303</f>
        <v>0</v>
      </c>
      <c r="I13" s="468" t="s">
        <v>1231</v>
      </c>
      <c r="J13" s="1757">
        <f>'Expenditures 15-22'!K330</f>
        <v>170789</v>
      </c>
      <c r="K13" s="1761">
        <f>'Expenditures 15-22'!K352</f>
        <v>0</v>
      </c>
      <c r="L13" s="347"/>
    </row>
    <row r="14" spans="1:13" ht="15.75" customHeight="1" x14ac:dyDescent="0.2">
      <c r="A14" s="1590" t="s">
        <v>469</v>
      </c>
      <c r="B14" s="1592">
        <v>3000</v>
      </c>
      <c r="C14" s="1757">
        <f>'Expenditures 15-22'!K75</f>
        <v>185542</v>
      </c>
      <c r="D14" s="1757">
        <f>'Expenditures 15-22'!K130</f>
        <v>0</v>
      </c>
      <c r="E14" s="520" t="s">
        <v>1231</v>
      </c>
      <c r="F14" s="1757">
        <f>'Expenditures 15-22'!K185</f>
        <v>0</v>
      </c>
      <c r="G14" s="1757">
        <f>'Expenditures 15-22'!K280</f>
        <v>8302</v>
      </c>
      <c r="H14" s="512"/>
      <c r="I14" s="468" t="s">
        <v>1231</v>
      </c>
      <c r="J14" s="468" t="s">
        <v>1231</v>
      </c>
      <c r="K14" s="512" t="s">
        <v>1231</v>
      </c>
      <c r="L14" s="347"/>
    </row>
    <row r="15" spans="1:13" ht="15.75" customHeight="1" x14ac:dyDescent="0.2">
      <c r="A15" s="1590" t="s">
        <v>109</v>
      </c>
      <c r="B15" s="1592">
        <v>4000</v>
      </c>
      <c r="C15" s="1757">
        <f>'Expenditures 15-22'!K102</f>
        <v>573261</v>
      </c>
      <c r="D15" s="1757">
        <f>'Expenditures 15-22'!K139</f>
        <v>0</v>
      </c>
      <c r="E15" s="1757">
        <f>'Expenditures 15-22'!K160</f>
        <v>0</v>
      </c>
      <c r="F15" s="1757">
        <f>'Expenditures 15-22'!K196</f>
        <v>0</v>
      </c>
      <c r="G15" s="1757">
        <f>'Expenditures 15-22'!K285</f>
        <v>0</v>
      </c>
      <c r="H15" s="1757">
        <f>'Expenditures 15-22'!K310</f>
        <v>0</v>
      </c>
      <c r="I15" s="468" t="s">
        <v>1231</v>
      </c>
      <c r="J15" s="1850">
        <f>'Expenditures 15-22'!K334</f>
        <v>0</v>
      </c>
      <c r="K15" s="1757">
        <f>'Expenditures 15-22'!K357</f>
        <v>0</v>
      </c>
      <c r="L15" s="347"/>
    </row>
    <row r="16" spans="1:13" ht="15.75" customHeight="1" x14ac:dyDescent="0.2">
      <c r="A16" s="1590" t="s">
        <v>470</v>
      </c>
      <c r="B16" s="1592">
        <v>5000</v>
      </c>
      <c r="C16" s="1757">
        <f>'Expenditures 15-22'!K112</f>
        <v>0</v>
      </c>
      <c r="D16" s="1757">
        <f>'Expenditures 15-22'!K149</f>
        <v>0</v>
      </c>
      <c r="E16" s="1757">
        <f>'Expenditures 15-22'!K172</f>
        <v>3920813</v>
      </c>
      <c r="F16" s="1757">
        <f>'Expenditures 15-22'!K208</f>
        <v>0</v>
      </c>
      <c r="G16" s="1757">
        <f>'Expenditures 15-22'!K293</f>
        <v>0</v>
      </c>
      <c r="H16" s="523"/>
      <c r="I16" s="468" t="s">
        <v>1231</v>
      </c>
      <c r="J16" s="1762">
        <f>'Expenditures 15-22'!K340</f>
        <v>0</v>
      </c>
      <c r="K16" s="1757">
        <f>'Expenditures 15-22'!K365</f>
        <v>0</v>
      </c>
      <c r="L16" s="347"/>
    </row>
    <row r="17" spans="1:12" ht="13.5" thickBot="1" x14ac:dyDescent="0.25">
      <c r="A17" s="1722" t="s">
        <v>50</v>
      </c>
      <c r="B17" s="1723"/>
      <c r="C17" s="1702">
        <f t="shared" ref="C17:H17" si="2">SUM(C12:C16)</f>
        <v>25474220</v>
      </c>
      <c r="D17" s="1702">
        <f t="shared" si="2"/>
        <v>4136679</v>
      </c>
      <c r="E17" s="1702">
        <f t="shared" si="2"/>
        <v>3920813</v>
      </c>
      <c r="F17" s="1702">
        <f t="shared" si="2"/>
        <v>1401758</v>
      </c>
      <c r="G17" s="1702">
        <f t="shared" si="2"/>
        <v>845422</v>
      </c>
      <c r="H17" s="1702">
        <f t="shared" si="2"/>
        <v>0</v>
      </c>
      <c r="I17" s="468"/>
      <c r="J17" s="1702">
        <f>SUM(J12:J16)</f>
        <v>170789</v>
      </c>
      <c r="K17" s="1702">
        <f>SUM(K12:K16)</f>
        <v>0</v>
      </c>
      <c r="L17" s="347"/>
    </row>
    <row r="18" spans="1:12" ht="15" customHeight="1" thickTop="1" x14ac:dyDescent="0.2">
      <c r="A18" s="1758" t="s">
        <v>1753</v>
      </c>
      <c r="B18" s="1759">
        <v>4180</v>
      </c>
      <c r="C18" s="1756">
        <f t="shared" ref="C18:H18" si="3">C9</f>
        <v>10613568</v>
      </c>
      <c r="D18" s="1756">
        <f t="shared" si="3"/>
        <v>0</v>
      </c>
      <c r="E18" s="1756">
        <f t="shared" si="3"/>
        <v>0</v>
      </c>
      <c r="F18" s="1756">
        <f t="shared" si="3"/>
        <v>0</v>
      </c>
      <c r="G18" s="1756">
        <f t="shared" si="3"/>
        <v>0</v>
      </c>
      <c r="H18" s="1756">
        <f t="shared" si="3"/>
        <v>0</v>
      </c>
      <c r="I18" s="468"/>
      <c r="J18" s="1756">
        <f>J9</f>
        <v>0</v>
      </c>
      <c r="K18" s="1756">
        <f>K9</f>
        <v>0</v>
      </c>
      <c r="L18" s="347"/>
    </row>
    <row r="19" spans="1:12" ht="13.5" thickBot="1" x14ac:dyDescent="0.25">
      <c r="A19" s="1722" t="s">
        <v>526</v>
      </c>
      <c r="B19" s="1723"/>
      <c r="C19" s="1702">
        <f t="shared" ref="C19:H19" si="4">SUM(C17:C18)</f>
        <v>36087788</v>
      </c>
      <c r="D19" s="1702">
        <f t="shared" si="4"/>
        <v>4136679</v>
      </c>
      <c r="E19" s="1702">
        <f t="shared" si="4"/>
        <v>3920813</v>
      </c>
      <c r="F19" s="1702">
        <f t="shared" si="4"/>
        <v>1401758</v>
      </c>
      <c r="G19" s="1702">
        <f t="shared" si="4"/>
        <v>845422</v>
      </c>
      <c r="H19" s="1702">
        <f t="shared" si="4"/>
        <v>0</v>
      </c>
      <c r="I19" s="468"/>
      <c r="J19" s="1702">
        <f>SUM(J17:J18)</f>
        <v>170789</v>
      </c>
      <c r="K19" s="1702">
        <f>SUM(K17:K18)</f>
        <v>0</v>
      </c>
      <c r="L19" s="347"/>
    </row>
    <row r="20" spans="1:12" ht="16.5" thickTop="1" thickBot="1" x14ac:dyDescent="0.25">
      <c r="A20" s="2202" t="s">
        <v>1754</v>
      </c>
      <c r="B20" s="2203"/>
      <c r="C20" s="1760">
        <f>C8-C17</f>
        <v>3804568</v>
      </c>
      <c r="D20" s="1760">
        <f t="shared" ref="D20:K20" si="5">D8-D17</f>
        <v>-1558488</v>
      </c>
      <c r="E20" s="1760">
        <f t="shared" si="5"/>
        <v>451947</v>
      </c>
      <c r="F20" s="1760">
        <f t="shared" si="5"/>
        <v>88759</v>
      </c>
      <c r="G20" s="1760">
        <f t="shared" si="5"/>
        <v>51254</v>
      </c>
      <c r="H20" s="1760">
        <f t="shared" si="5"/>
        <v>112534</v>
      </c>
      <c r="I20" s="1760">
        <f t="shared" si="5"/>
        <v>113328</v>
      </c>
      <c r="J20" s="1760">
        <f t="shared" si="5"/>
        <v>-20087</v>
      </c>
      <c r="K20" s="1760">
        <f t="shared" si="5"/>
        <v>0</v>
      </c>
      <c r="L20" s="347"/>
    </row>
    <row r="21" spans="1:12" ht="16.7" customHeight="1" thickTop="1" x14ac:dyDescent="0.2">
      <c r="A21" s="2214" t="s">
        <v>616</v>
      </c>
      <c r="B21" s="2215"/>
      <c r="C21" s="1584"/>
      <c r="D21" s="1585"/>
      <c r="E21" s="1585"/>
      <c r="F21" s="1585"/>
      <c r="G21" s="1585"/>
      <c r="H21" s="1585"/>
      <c r="I21" s="1585"/>
      <c r="J21" s="1585"/>
      <c r="K21" s="1586"/>
      <c r="L21" s="524"/>
    </row>
    <row r="22" spans="1:12" ht="15.75" customHeight="1" collapsed="1" x14ac:dyDescent="0.2">
      <c r="A22" s="2210" t="s">
        <v>617</v>
      </c>
      <c r="B22" s="2211"/>
      <c r="C22" s="477"/>
      <c r="D22" s="477"/>
      <c r="E22" s="477"/>
      <c r="F22" s="477"/>
      <c r="G22" s="477"/>
      <c r="H22" s="477"/>
      <c r="I22" s="477"/>
      <c r="J22" s="477"/>
      <c r="K22" s="477"/>
      <c r="L22" s="347"/>
    </row>
    <row r="23" spans="1:12" s="485" customFormat="1" ht="15.75" customHeight="1" x14ac:dyDescent="0.2">
      <c r="A23" s="2206" t="s">
        <v>311</v>
      </c>
      <c r="B23" s="2207"/>
      <c r="C23" s="480"/>
      <c r="D23" s="477"/>
      <c r="E23" s="477"/>
      <c r="F23" s="477"/>
      <c r="G23" s="477"/>
      <c r="H23" s="477"/>
      <c r="I23" s="477"/>
      <c r="J23" s="477"/>
      <c r="K23" s="477"/>
      <c r="L23" s="524"/>
    </row>
    <row r="24" spans="1:12" s="485" customFormat="1" ht="13.5" customHeight="1" x14ac:dyDescent="0.2">
      <c r="A24" s="1504" t="s">
        <v>1755</v>
      </c>
      <c r="B24" s="525">
        <v>7110</v>
      </c>
      <c r="C24" s="467"/>
      <c r="D24" s="477"/>
      <c r="E24" s="477"/>
      <c r="F24" s="477"/>
      <c r="G24" s="477"/>
      <c r="H24" s="477"/>
      <c r="I24" s="477"/>
      <c r="J24" s="477"/>
      <c r="K24" s="477"/>
      <c r="L24" s="524"/>
    </row>
    <row r="25" spans="1:12" s="485" customFormat="1" ht="13.5" customHeight="1" x14ac:dyDescent="0.2">
      <c r="A25" s="1504"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04"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04" t="s">
        <v>194</v>
      </c>
      <c r="B27" s="483">
        <v>7130</v>
      </c>
      <c r="C27" s="467">
        <v>0</v>
      </c>
      <c r="D27" s="467">
        <v>0</v>
      </c>
      <c r="E27" s="526"/>
      <c r="F27" s="467">
        <v>0</v>
      </c>
      <c r="G27" s="480"/>
      <c r="H27" s="480"/>
      <c r="I27" s="480"/>
      <c r="J27" s="480"/>
      <c r="K27" s="480"/>
      <c r="L27" s="524"/>
    </row>
    <row r="28" spans="1:12" s="485" customFormat="1" ht="13.5" customHeight="1" x14ac:dyDescent="0.2">
      <c r="A28" s="1504"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04" t="s">
        <v>312</v>
      </c>
      <c r="B29" s="483">
        <v>7150</v>
      </c>
      <c r="C29" s="475"/>
      <c r="D29" s="467">
        <v>0</v>
      </c>
      <c r="E29" s="475"/>
      <c r="F29" s="475"/>
      <c r="G29" s="475"/>
      <c r="H29" s="475"/>
      <c r="I29" s="475"/>
      <c r="J29" s="475"/>
      <c r="K29" s="475"/>
      <c r="L29" s="524"/>
    </row>
    <row r="30" spans="1:12" s="485" customFormat="1" ht="26.25" x14ac:dyDescent="0.2">
      <c r="A30" s="1504" t="s">
        <v>1894</v>
      </c>
      <c r="B30" s="527">
        <v>7160</v>
      </c>
      <c r="C30" s="477"/>
      <c r="D30" s="467">
        <v>0</v>
      </c>
      <c r="E30" s="477"/>
      <c r="F30" s="477"/>
      <c r="G30" s="477"/>
      <c r="H30" s="477"/>
      <c r="I30" s="477"/>
      <c r="J30" s="477"/>
      <c r="K30" s="477"/>
      <c r="L30" s="524"/>
    </row>
    <row r="31" spans="1:12" s="485" customFormat="1" ht="26.25" x14ac:dyDescent="0.2">
      <c r="A31" s="1504" t="s">
        <v>1898</v>
      </c>
      <c r="B31" s="527">
        <v>7170</v>
      </c>
      <c r="C31" s="477"/>
      <c r="D31" s="477"/>
      <c r="E31" s="474">
        <v>0</v>
      </c>
      <c r="F31" s="477"/>
      <c r="G31" s="477"/>
      <c r="H31" s="477"/>
      <c r="I31" s="477"/>
      <c r="J31" s="477"/>
      <c r="K31" s="477"/>
      <c r="L31" s="524"/>
    </row>
    <row r="32" spans="1:12" s="485" customFormat="1" ht="15.75" customHeight="1" x14ac:dyDescent="0.2">
      <c r="A32" s="2208" t="s">
        <v>1038</v>
      </c>
      <c r="B32" s="2209"/>
      <c r="C32" s="477"/>
      <c r="D32" s="477"/>
      <c r="E32" s="475"/>
      <c r="F32" s="477"/>
      <c r="G32" s="477"/>
      <c r="H32" s="477"/>
      <c r="I32" s="477"/>
      <c r="J32" s="477"/>
      <c r="K32" s="477"/>
      <c r="L32" s="524"/>
    </row>
    <row r="33" spans="1:12" s="485" customFormat="1" x14ac:dyDescent="0.2">
      <c r="A33" s="1504" t="s">
        <v>432</v>
      </c>
      <c r="B33" s="525">
        <v>7210</v>
      </c>
      <c r="C33" s="467">
        <v>0</v>
      </c>
      <c r="D33" s="467">
        <v>0</v>
      </c>
      <c r="E33" s="467">
        <v>0</v>
      </c>
      <c r="F33" s="467">
        <v>0</v>
      </c>
      <c r="G33" s="477"/>
      <c r="H33" s="467">
        <v>0</v>
      </c>
      <c r="I33" s="467">
        <v>0</v>
      </c>
      <c r="J33" s="467">
        <v>0</v>
      </c>
      <c r="K33" s="467">
        <v>0</v>
      </c>
      <c r="L33" s="524"/>
    </row>
    <row r="34" spans="1:12" s="485" customFormat="1" x14ac:dyDescent="0.2">
      <c r="A34" s="1504" t="s">
        <v>1058</v>
      </c>
      <c r="B34" s="525">
        <v>7220</v>
      </c>
      <c r="C34" s="467">
        <v>0</v>
      </c>
      <c r="D34" s="467">
        <v>0</v>
      </c>
      <c r="E34" s="467">
        <v>0</v>
      </c>
      <c r="F34" s="467">
        <v>0</v>
      </c>
      <c r="G34" s="477"/>
      <c r="H34" s="478">
        <v>0</v>
      </c>
      <c r="I34" s="478">
        <v>0</v>
      </c>
      <c r="J34" s="478">
        <v>0</v>
      </c>
      <c r="K34" s="478">
        <v>0</v>
      </c>
      <c r="L34" s="524"/>
    </row>
    <row r="35" spans="1:12" s="485" customFormat="1" x14ac:dyDescent="0.2">
      <c r="A35" s="1504" t="s">
        <v>1047</v>
      </c>
      <c r="B35" s="525">
        <v>7230</v>
      </c>
      <c r="C35" s="467">
        <v>0</v>
      </c>
      <c r="D35" s="467">
        <v>0</v>
      </c>
      <c r="E35" s="467">
        <v>0</v>
      </c>
      <c r="F35" s="467">
        <v>0</v>
      </c>
      <c r="G35" s="480"/>
      <c r="H35" s="467">
        <v>0</v>
      </c>
      <c r="I35" s="467">
        <v>0</v>
      </c>
      <c r="J35" s="467">
        <v>0</v>
      </c>
      <c r="K35" s="467">
        <v>0</v>
      </c>
      <c r="L35" s="524"/>
    </row>
    <row r="36" spans="1:12" s="485" customFormat="1" ht="15" x14ac:dyDescent="0.2">
      <c r="A36" s="1504" t="s">
        <v>1757</v>
      </c>
      <c r="B36" s="525">
        <v>7300</v>
      </c>
      <c r="C36" s="467">
        <v>0</v>
      </c>
      <c r="D36" s="467">
        <v>0</v>
      </c>
      <c r="E36" s="467">
        <v>0</v>
      </c>
      <c r="F36" s="467">
        <v>0</v>
      </c>
      <c r="G36" s="467">
        <v>0</v>
      </c>
      <c r="H36" s="467">
        <v>0</v>
      </c>
      <c r="I36" s="475"/>
      <c r="J36" s="467">
        <v>0</v>
      </c>
      <c r="K36" s="467">
        <v>0</v>
      </c>
      <c r="L36" s="524"/>
    </row>
    <row r="37" spans="1:12" s="485" customFormat="1" x14ac:dyDescent="0.2">
      <c r="A37" s="1504" t="s">
        <v>461</v>
      </c>
      <c r="B37" s="525">
        <v>7400</v>
      </c>
      <c r="C37" s="475"/>
      <c r="D37" s="475"/>
      <c r="E37" s="1757">
        <f>SUM(C54:D57,H54:H57)</f>
        <v>0</v>
      </c>
      <c r="F37" s="475"/>
      <c r="G37" s="475"/>
      <c r="H37" s="475"/>
      <c r="I37" s="477"/>
      <c r="J37" s="475"/>
      <c r="K37" s="475"/>
      <c r="L37" s="524"/>
    </row>
    <row r="38" spans="1:12" s="485" customFormat="1" x14ac:dyDescent="0.2">
      <c r="A38" s="1504" t="s">
        <v>462</v>
      </c>
      <c r="B38" s="525">
        <v>7500</v>
      </c>
      <c r="C38" s="477"/>
      <c r="D38" s="477"/>
      <c r="E38" s="1757">
        <f>SUM(C58:D61,H58:H61)</f>
        <v>0</v>
      </c>
      <c r="F38" s="477"/>
      <c r="G38" s="477"/>
      <c r="H38" s="477"/>
      <c r="I38" s="477"/>
      <c r="J38" s="477"/>
      <c r="K38" s="477"/>
      <c r="L38" s="524"/>
    </row>
    <row r="39" spans="1:12" s="485" customFormat="1" x14ac:dyDescent="0.2">
      <c r="A39" s="1504" t="s">
        <v>463</v>
      </c>
      <c r="B39" s="525">
        <v>7600</v>
      </c>
      <c r="C39" s="477"/>
      <c r="D39" s="477"/>
      <c r="E39" s="1757">
        <f>SUM(C62:D65)</f>
        <v>0</v>
      </c>
      <c r="F39" s="477"/>
      <c r="G39" s="477"/>
      <c r="H39" s="477"/>
      <c r="I39" s="477"/>
      <c r="J39" s="477"/>
      <c r="K39" s="477"/>
      <c r="L39" s="524"/>
    </row>
    <row r="40" spans="1:12" s="485" customFormat="1" ht="13.5" customHeight="1" x14ac:dyDescent="0.2">
      <c r="A40" s="1504" t="s">
        <v>663</v>
      </c>
      <c r="B40" s="483">
        <v>7700</v>
      </c>
      <c r="C40" s="477"/>
      <c r="D40" s="477"/>
      <c r="E40" s="1757">
        <f>SUM(C66:D69)</f>
        <v>0</v>
      </c>
      <c r="F40" s="477"/>
      <c r="G40" s="477"/>
      <c r="H40" s="480"/>
      <c r="I40" s="477"/>
      <c r="J40" s="477"/>
      <c r="K40" s="477"/>
      <c r="L40" s="524"/>
    </row>
    <row r="41" spans="1:12" s="485" customFormat="1" ht="13.5" customHeight="1" x14ac:dyDescent="0.2">
      <c r="A41" s="1504" t="s">
        <v>661</v>
      </c>
      <c r="B41" s="483">
        <v>7800</v>
      </c>
      <c r="C41" s="480"/>
      <c r="D41" s="480"/>
      <c r="E41" s="526"/>
      <c r="F41" s="480"/>
      <c r="G41" s="480"/>
      <c r="H41" s="1757">
        <f>SUM(C70:D73)</f>
        <v>0</v>
      </c>
      <c r="I41" s="477"/>
      <c r="J41" s="477"/>
      <c r="K41" s="480"/>
      <c r="L41" s="524"/>
    </row>
    <row r="42" spans="1:12" s="485" customFormat="1" ht="13.5" customHeight="1" x14ac:dyDescent="0.2">
      <c r="A42" s="1504"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04"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216" t="s">
        <v>392</v>
      </c>
      <c r="B44" s="2217"/>
      <c r="C44" s="1717">
        <f>SUM(C24:C43)</f>
        <v>0</v>
      </c>
      <c r="D44" s="1717">
        <f t="shared" ref="D44:K44" si="6">SUM(D24:D43)</f>
        <v>0</v>
      </c>
      <c r="E44" s="1717">
        <f t="shared" si="6"/>
        <v>0</v>
      </c>
      <c r="F44" s="1717">
        <f t="shared" si="6"/>
        <v>0</v>
      </c>
      <c r="G44" s="1717">
        <f t="shared" si="6"/>
        <v>0</v>
      </c>
      <c r="H44" s="1717">
        <f t="shared" si="6"/>
        <v>0</v>
      </c>
      <c r="I44" s="1717">
        <f t="shared" si="6"/>
        <v>0</v>
      </c>
      <c r="J44" s="1717">
        <f t="shared" si="6"/>
        <v>0</v>
      </c>
      <c r="K44" s="1717">
        <f t="shared" si="6"/>
        <v>0</v>
      </c>
      <c r="L44" s="524"/>
    </row>
    <row r="45" spans="1:12" ht="15.75" customHeight="1" thickTop="1" x14ac:dyDescent="0.2">
      <c r="A45" s="2210" t="s">
        <v>110</v>
      </c>
      <c r="B45" s="2211"/>
      <c r="C45" s="528"/>
      <c r="D45" s="528"/>
      <c r="E45" s="528"/>
      <c r="F45" s="528"/>
      <c r="G45" s="528"/>
      <c r="H45" s="528"/>
      <c r="I45" s="528"/>
      <c r="J45" s="528"/>
      <c r="K45" s="528"/>
      <c r="L45" s="347"/>
    </row>
    <row r="46" spans="1:12" s="485" customFormat="1" ht="15.75" customHeight="1" x14ac:dyDescent="0.2">
      <c r="A46" s="2218" t="s">
        <v>111</v>
      </c>
      <c r="B46" s="2219"/>
      <c r="C46" s="477"/>
      <c r="D46" s="477"/>
      <c r="E46" s="477"/>
      <c r="F46" s="477"/>
      <c r="G46" s="477"/>
      <c r="H46" s="477"/>
      <c r="I46" s="480"/>
      <c r="J46" s="477"/>
      <c r="K46" s="477"/>
      <c r="L46" s="529"/>
    </row>
    <row r="47" spans="1:12" s="485" customFormat="1" ht="15" x14ac:dyDescent="0.2">
      <c r="A47" s="1505" t="s">
        <v>1758</v>
      </c>
      <c r="B47" s="483">
        <v>8110</v>
      </c>
      <c r="C47" s="477"/>
      <c r="D47" s="477"/>
      <c r="E47" s="477"/>
      <c r="F47" s="477"/>
      <c r="G47" s="477"/>
      <c r="H47" s="477"/>
      <c r="I47" s="1757">
        <f>SUM(C24,C25:H25,J25:K25)</f>
        <v>0</v>
      </c>
      <c r="J47" s="477"/>
      <c r="K47" s="477"/>
      <c r="L47" s="529"/>
    </row>
    <row r="48" spans="1:12" s="485" customFormat="1" ht="15" x14ac:dyDescent="0.2">
      <c r="A48" s="1505" t="s">
        <v>1759</v>
      </c>
      <c r="B48" s="483">
        <v>8120</v>
      </c>
      <c r="C48" s="480"/>
      <c r="D48" s="480"/>
      <c r="E48" s="477"/>
      <c r="F48" s="480"/>
      <c r="G48" s="477"/>
      <c r="H48" s="477"/>
      <c r="I48" s="1757">
        <f>SUM(C26:H26,J26,K26)</f>
        <v>0</v>
      </c>
      <c r="J48" s="477"/>
      <c r="K48" s="477"/>
      <c r="L48" s="529"/>
    </row>
    <row r="49" spans="1:12" s="485" customFormat="1" x14ac:dyDescent="0.2">
      <c r="A49" s="1505" t="s">
        <v>194</v>
      </c>
      <c r="B49" s="483">
        <v>8130</v>
      </c>
      <c r="C49" s="467">
        <v>0</v>
      </c>
      <c r="D49" s="467">
        <v>0</v>
      </c>
      <c r="E49" s="480"/>
      <c r="F49" s="467">
        <v>0</v>
      </c>
      <c r="G49" s="480"/>
      <c r="H49" s="480"/>
      <c r="I49" s="477"/>
      <c r="J49" s="480"/>
      <c r="K49" s="477"/>
      <c r="L49" s="524"/>
    </row>
    <row r="50" spans="1:12" s="485" customFormat="1" x14ac:dyDescent="0.2">
      <c r="A50" s="1505" t="s">
        <v>1465</v>
      </c>
      <c r="B50" s="483">
        <v>8140</v>
      </c>
      <c r="C50" s="467">
        <v>0</v>
      </c>
      <c r="D50" s="467">
        <v>0</v>
      </c>
      <c r="E50" s="467">
        <v>0</v>
      </c>
      <c r="F50" s="467">
        <v>0</v>
      </c>
      <c r="G50" s="467">
        <v>0</v>
      </c>
      <c r="H50" s="467">
        <v>0</v>
      </c>
      <c r="I50" s="477"/>
      <c r="J50" s="467">
        <v>0</v>
      </c>
      <c r="K50" s="477"/>
      <c r="L50" s="524"/>
    </row>
    <row r="51" spans="1:12" s="485" customFormat="1" x14ac:dyDescent="0.2">
      <c r="A51" s="1505" t="s">
        <v>312</v>
      </c>
      <c r="B51" s="483">
        <v>8150</v>
      </c>
      <c r="C51" s="475"/>
      <c r="D51" s="475"/>
      <c r="E51" s="475"/>
      <c r="F51" s="475"/>
      <c r="G51" s="475"/>
      <c r="H51" s="1757">
        <f>SUM(D29)</f>
        <v>0</v>
      </c>
      <c r="I51" s="477"/>
      <c r="J51" s="475"/>
      <c r="K51" s="480"/>
      <c r="L51" s="524"/>
    </row>
    <row r="52" spans="1:12" s="485" customFormat="1" ht="26.25" x14ac:dyDescent="0.2">
      <c r="A52" s="1505" t="s">
        <v>1897</v>
      </c>
      <c r="B52" s="483">
        <v>8160</v>
      </c>
      <c r="C52" s="477"/>
      <c r="D52" s="477"/>
      <c r="E52" s="477"/>
      <c r="F52" s="477"/>
      <c r="G52" s="477"/>
      <c r="H52" s="477"/>
      <c r="I52" s="477"/>
      <c r="J52" s="477"/>
      <c r="K52" s="1757">
        <f>D30</f>
        <v>0</v>
      </c>
      <c r="L52" s="524"/>
    </row>
    <row r="53" spans="1:12" s="485" customFormat="1" ht="26.25" x14ac:dyDescent="0.2">
      <c r="A53" s="1505" t="s">
        <v>1896</v>
      </c>
      <c r="B53" s="483">
        <v>8170</v>
      </c>
      <c r="C53" s="480"/>
      <c r="D53" s="480"/>
      <c r="E53" s="477"/>
      <c r="F53" s="477"/>
      <c r="G53" s="477"/>
      <c r="H53" s="480"/>
      <c r="I53" s="477"/>
      <c r="J53" s="477"/>
      <c r="K53" s="1757">
        <f>E31</f>
        <v>0</v>
      </c>
      <c r="L53" s="524"/>
    </row>
    <row r="54" spans="1:12" s="485" customFormat="1" ht="13.5" thickBot="1" x14ac:dyDescent="0.25">
      <c r="A54" s="1505" t="s">
        <v>716</v>
      </c>
      <c r="B54" s="483">
        <v>8410</v>
      </c>
      <c r="C54" s="530">
        <v>0</v>
      </c>
      <c r="D54" s="530">
        <v>0</v>
      </c>
      <c r="E54" s="477"/>
      <c r="F54" s="477"/>
      <c r="G54" s="477"/>
      <c r="H54" s="530">
        <v>0</v>
      </c>
      <c r="I54" s="477"/>
      <c r="J54" s="477"/>
      <c r="K54" s="475"/>
      <c r="L54" s="524"/>
    </row>
    <row r="55" spans="1:12" s="485" customFormat="1" ht="14.25" thickTop="1" thickBot="1" x14ac:dyDescent="0.25">
      <c r="A55" s="1506" t="s">
        <v>717</v>
      </c>
      <c r="B55" s="483">
        <v>8420</v>
      </c>
      <c r="C55" s="531">
        <v>0</v>
      </c>
      <c r="D55" s="531">
        <v>0</v>
      </c>
      <c r="E55" s="477"/>
      <c r="F55" s="477"/>
      <c r="G55" s="477"/>
      <c r="H55" s="530">
        <v>0</v>
      </c>
      <c r="I55" s="477"/>
      <c r="J55" s="477"/>
      <c r="K55" s="477"/>
      <c r="L55" s="524"/>
    </row>
    <row r="56" spans="1:12" s="485" customFormat="1" ht="14.25" thickTop="1" thickBot="1" x14ac:dyDescent="0.25">
      <c r="A56" s="1505" t="s">
        <v>602</v>
      </c>
      <c r="B56" s="483">
        <v>8430</v>
      </c>
      <c r="C56" s="531">
        <v>0</v>
      </c>
      <c r="D56" s="531">
        <v>0</v>
      </c>
      <c r="E56" s="477"/>
      <c r="F56" s="477"/>
      <c r="G56" s="477"/>
      <c r="H56" s="530">
        <v>0</v>
      </c>
      <c r="I56" s="477"/>
      <c r="J56" s="477"/>
      <c r="K56" s="477"/>
      <c r="L56" s="524"/>
    </row>
    <row r="57" spans="1:12" s="485" customFormat="1" ht="14.25" thickTop="1" thickBot="1" x14ac:dyDescent="0.25">
      <c r="A57" s="1506" t="s">
        <v>599</v>
      </c>
      <c r="B57" s="483">
        <v>8440</v>
      </c>
      <c r="C57" s="531">
        <v>0</v>
      </c>
      <c r="D57" s="531">
        <v>0</v>
      </c>
      <c r="E57" s="477"/>
      <c r="F57" s="477"/>
      <c r="G57" s="477"/>
      <c r="H57" s="530">
        <v>0</v>
      </c>
      <c r="I57" s="477"/>
      <c r="J57" s="477"/>
      <c r="K57" s="477"/>
      <c r="L57" s="524"/>
    </row>
    <row r="58" spans="1:12" s="485" customFormat="1" ht="14.25" thickTop="1" thickBot="1" x14ac:dyDescent="0.25">
      <c r="A58" s="1505" t="s">
        <v>600</v>
      </c>
      <c r="B58" s="483">
        <v>8510</v>
      </c>
      <c r="C58" s="531">
        <v>0</v>
      </c>
      <c r="D58" s="531">
        <v>0</v>
      </c>
      <c r="E58" s="477"/>
      <c r="F58" s="477"/>
      <c r="G58" s="477"/>
      <c r="H58" s="530">
        <v>0</v>
      </c>
      <c r="I58" s="477"/>
      <c r="J58" s="477"/>
      <c r="K58" s="477"/>
      <c r="L58" s="524"/>
    </row>
    <row r="59" spans="1:12" s="485" customFormat="1" ht="14.25" thickTop="1" thickBot="1" x14ac:dyDescent="0.25">
      <c r="A59" s="1507" t="s">
        <v>718</v>
      </c>
      <c r="B59" s="483">
        <v>8520</v>
      </c>
      <c r="C59" s="531">
        <v>0</v>
      </c>
      <c r="D59" s="531">
        <v>0</v>
      </c>
      <c r="E59" s="477"/>
      <c r="F59" s="477"/>
      <c r="G59" s="477"/>
      <c r="H59" s="530">
        <v>0</v>
      </c>
      <c r="I59" s="477"/>
      <c r="J59" s="477"/>
      <c r="K59" s="477"/>
      <c r="L59" s="524"/>
    </row>
    <row r="60" spans="1:12" s="485" customFormat="1" ht="14.25" thickTop="1" thickBot="1" x14ac:dyDescent="0.25">
      <c r="A60" s="1505" t="s">
        <v>601</v>
      </c>
      <c r="B60" s="483">
        <v>8530</v>
      </c>
      <c r="C60" s="531">
        <v>0</v>
      </c>
      <c r="D60" s="531">
        <v>0</v>
      </c>
      <c r="E60" s="477"/>
      <c r="F60" s="477"/>
      <c r="G60" s="477"/>
      <c r="H60" s="530">
        <v>0</v>
      </c>
      <c r="I60" s="477"/>
      <c r="J60" s="477"/>
      <c r="K60" s="477"/>
      <c r="L60" s="524"/>
    </row>
    <row r="61" spans="1:12" s="485" customFormat="1" ht="14.25" thickTop="1" thickBot="1" x14ac:dyDescent="0.25">
      <c r="A61" s="1506" t="s">
        <v>767</v>
      </c>
      <c r="B61" s="483">
        <v>8540</v>
      </c>
      <c r="C61" s="531">
        <v>0</v>
      </c>
      <c r="D61" s="531">
        <v>0</v>
      </c>
      <c r="E61" s="477"/>
      <c r="F61" s="477"/>
      <c r="G61" s="477"/>
      <c r="H61" s="530">
        <v>0</v>
      </c>
      <c r="I61" s="477"/>
      <c r="J61" s="477"/>
      <c r="K61" s="477"/>
      <c r="L61" s="524"/>
    </row>
    <row r="62" spans="1:12" s="485" customFormat="1" ht="13.5" customHeight="1" thickTop="1" thickBot="1" x14ac:dyDescent="0.25">
      <c r="A62" s="1505" t="s">
        <v>768</v>
      </c>
      <c r="B62" s="483">
        <v>8610</v>
      </c>
      <c r="C62" s="531">
        <v>0</v>
      </c>
      <c r="D62" s="531">
        <v>0</v>
      </c>
      <c r="E62" s="477"/>
      <c r="F62" s="477"/>
      <c r="G62" s="477"/>
      <c r="H62" s="477"/>
      <c r="I62" s="477"/>
      <c r="J62" s="477"/>
      <c r="K62" s="477"/>
      <c r="L62" s="524"/>
    </row>
    <row r="63" spans="1:12" s="485" customFormat="1" ht="14.25" thickTop="1" thickBot="1" x14ac:dyDescent="0.25">
      <c r="A63" s="1506" t="s">
        <v>719</v>
      </c>
      <c r="B63" s="483">
        <v>8620</v>
      </c>
      <c r="C63" s="531">
        <v>0</v>
      </c>
      <c r="D63" s="531">
        <v>0</v>
      </c>
      <c r="E63" s="477"/>
      <c r="F63" s="477"/>
      <c r="G63" s="477"/>
      <c r="H63" s="477"/>
      <c r="I63" s="477"/>
      <c r="J63" s="477"/>
      <c r="K63" s="477"/>
      <c r="L63" s="524"/>
    </row>
    <row r="64" spans="1:12" s="485" customFormat="1" ht="13.5" customHeight="1" thickTop="1" thickBot="1" x14ac:dyDescent="0.25">
      <c r="A64" s="1505" t="s">
        <v>769</v>
      </c>
      <c r="B64" s="483">
        <v>8630</v>
      </c>
      <c r="C64" s="531">
        <v>0</v>
      </c>
      <c r="D64" s="531">
        <v>0</v>
      </c>
      <c r="E64" s="477"/>
      <c r="F64" s="477"/>
      <c r="G64" s="477"/>
      <c r="H64" s="477"/>
      <c r="I64" s="477"/>
      <c r="J64" s="477"/>
      <c r="K64" s="477"/>
      <c r="L64" s="524"/>
    </row>
    <row r="65" spans="1:12" s="485" customFormat="1" ht="14.25" thickTop="1" thickBot="1" x14ac:dyDescent="0.25">
      <c r="A65" s="1506" t="s">
        <v>770</v>
      </c>
      <c r="B65" s="483">
        <v>8640</v>
      </c>
      <c r="C65" s="531">
        <v>0</v>
      </c>
      <c r="D65" s="531">
        <v>0</v>
      </c>
      <c r="E65" s="477"/>
      <c r="F65" s="477"/>
      <c r="G65" s="477"/>
      <c r="H65" s="477"/>
      <c r="I65" s="477"/>
      <c r="J65" s="477"/>
      <c r="K65" s="477"/>
      <c r="L65" s="524"/>
    </row>
    <row r="66" spans="1:12" s="485" customFormat="1" ht="14.25" thickTop="1" thickBot="1" x14ac:dyDescent="0.25">
      <c r="A66" s="1505" t="s">
        <v>771</v>
      </c>
      <c r="B66" s="483">
        <v>8710</v>
      </c>
      <c r="C66" s="531">
        <v>0</v>
      </c>
      <c r="D66" s="531">
        <v>0</v>
      </c>
      <c r="E66" s="477"/>
      <c r="F66" s="477"/>
      <c r="G66" s="477"/>
      <c r="H66" s="477"/>
      <c r="I66" s="477"/>
      <c r="J66" s="477"/>
      <c r="K66" s="477"/>
      <c r="L66" s="524"/>
    </row>
    <row r="67" spans="1:12" s="485" customFormat="1" ht="14.25" thickTop="1" thickBot="1" x14ac:dyDescent="0.25">
      <c r="A67" s="1506" t="s">
        <v>720</v>
      </c>
      <c r="B67" s="483">
        <v>8720</v>
      </c>
      <c r="C67" s="531">
        <v>0</v>
      </c>
      <c r="D67" s="531">
        <v>0</v>
      </c>
      <c r="E67" s="477"/>
      <c r="F67" s="477"/>
      <c r="G67" s="477"/>
      <c r="H67" s="477"/>
      <c r="I67" s="477"/>
      <c r="J67" s="477"/>
      <c r="K67" s="477"/>
      <c r="L67" s="524"/>
    </row>
    <row r="68" spans="1:12" s="485" customFormat="1" ht="14.25" thickTop="1" thickBot="1" x14ac:dyDescent="0.25">
      <c r="A68" s="1507" t="s">
        <v>772</v>
      </c>
      <c r="B68" s="483">
        <v>8730</v>
      </c>
      <c r="C68" s="531">
        <v>0</v>
      </c>
      <c r="D68" s="531">
        <v>0</v>
      </c>
      <c r="E68" s="477"/>
      <c r="F68" s="477"/>
      <c r="G68" s="477"/>
      <c r="H68" s="477"/>
      <c r="I68" s="477"/>
      <c r="J68" s="477"/>
      <c r="K68" s="477"/>
      <c r="L68" s="524"/>
    </row>
    <row r="69" spans="1:12" s="485" customFormat="1" ht="14.25" thickTop="1" thickBot="1" x14ac:dyDescent="0.25">
      <c r="A69" s="1506" t="s">
        <v>773</v>
      </c>
      <c r="B69" s="483">
        <v>8740</v>
      </c>
      <c r="C69" s="531">
        <v>0</v>
      </c>
      <c r="D69" s="531">
        <v>0</v>
      </c>
      <c r="E69" s="477"/>
      <c r="F69" s="477"/>
      <c r="G69" s="477"/>
      <c r="H69" s="477"/>
      <c r="I69" s="477"/>
      <c r="J69" s="477"/>
      <c r="K69" s="477"/>
      <c r="L69" s="524"/>
    </row>
    <row r="70" spans="1:12" s="485" customFormat="1" ht="14.25" thickTop="1" thickBot="1" x14ac:dyDescent="0.25">
      <c r="A70" s="1505" t="s">
        <v>774</v>
      </c>
      <c r="B70" s="483">
        <v>8810</v>
      </c>
      <c r="C70" s="531">
        <v>0</v>
      </c>
      <c r="D70" s="531">
        <v>0</v>
      </c>
      <c r="E70" s="477"/>
      <c r="F70" s="477"/>
      <c r="G70" s="477"/>
      <c r="H70" s="477"/>
      <c r="I70" s="477"/>
      <c r="J70" s="477"/>
      <c r="K70" s="477"/>
      <c r="L70" s="524"/>
    </row>
    <row r="71" spans="1:12" s="485" customFormat="1" ht="14.25" thickTop="1" thickBot="1" x14ac:dyDescent="0.25">
      <c r="A71" s="1505" t="s">
        <v>778</v>
      </c>
      <c r="B71" s="483">
        <v>8820</v>
      </c>
      <c r="C71" s="531">
        <v>0</v>
      </c>
      <c r="D71" s="531">
        <v>0</v>
      </c>
      <c r="E71" s="477"/>
      <c r="F71" s="477"/>
      <c r="G71" s="477"/>
      <c r="H71" s="477"/>
      <c r="I71" s="477"/>
      <c r="J71" s="477"/>
      <c r="K71" s="477"/>
      <c r="L71" s="524"/>
    </row>
    <row r="72" spans="1:12" s="485" customFormat="1" ht="14.25" thickTop="1" thickBot="1" x14ac:dyDescent="0.25">
      <c r="A72" s="1505" t="s">
        <v>775</v>
      </c>
      <c r="B72" s="483">
        <v>8830</v>
      </c>
      <c r="C72" s="531">
        <v>0</v>
      </c>
      <c r="D72" s="531">
        <v>0</v>
      </c>
      <c r="E72" s="477"/>
      <c r="F72" s="477"/>
      <c r="G72" s="477"/>
      <c r="H72" s="477"/>
      <c r="I72" s="477"/>
      <c r="J72" s="477"/>
      <c r="K72" s="477"/>
      <c r="L72" s="524"/>
    </row>
    <row r="73" spans="1:12" s="485" customFormat="1" ht="14.25" thickTop="1" thickBot="1" x14ac:dyDescent="0.25">
      <c r="A73" s="1505" t="s">
        <v>776</v>
      </c>
      <c r="B73" s="483">
        <v>8840</v>
      </c>
      <c r="C73" s="531">
        <v>0</v>
      </c>
      <c r="D73" s="531">
        <v>0</v>
      </c>
      <c r="E73" s="477"/>
      <c r="F73" s="477"/>
      <c r="G73" s="477"/>
      <c r="H73" s="477"/>
      <c r="I73" s="477"/>
      <c r="J73" s="477"/>
      <c r="K73" s="480"/>
      <c r="L73" s="524"/>
    </row>
    <row r="74" spans="1:12" s="485" customFormat="1" ht="14.25" thickTop="1" thickBot="1" x14ac:dyDescent="0.25">
      <c r="A74" s="1505"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08"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92" t="s">
        <v>460</v>
      </c>
      <c r="B76" s="2193"/>
      <c r="C76" s="1717">
        <f t="shared" ref="C76:K76" si="7">SUM(C47:C75)</f>
        <v>0</v>
      </c>
      <c r="D76" s="1717">
        <f t="shared" si="7"/>
        <v>0</v>
      </c>
      <c r="E76" s="1717">
        <f t="shared" si="7"/>
        <v>0</v>
      </c>
      <c r="F76" s="1717">
        <f t="shared" si="7"/>
        <v>0</v>
      </c>
      <c r="G76" s="1717">
        <f t="shared" si="7"/>
        <v>0</v>
      </c>
      <c r="H76" s="1717">
        <f t="shared" si="7"/>
        <v>0</v>
      </c>
      <c r="I76" s="1717">
        <f t="shared" si="7"/>
        <v>0</v>
      </c>
      <c r="J76" s="1717">
        <f t="shared" si="7"/>
        <v>0</v>
      </c>
      <c r="K76" s="1717">
        <f t="shared" si="7"/>
        <v>0</v>
      </c>
      <c r="L76" s="524"/>
    </row>
    <row r="77" spans="1:12" ht="14.25" thickTop="1" thickBot="1" x14ac:dyDescent="0.25">
      <c r="A77" s="2194" t="s">
        <v>1239</v>
      </c>
      <c r="B77" s="2195"/>
      <c r="C77" s="1717">
        <f t="shared" ref="C77:K77" si="8">C44-C76</f>
        <v>0</v>
      </c>
      <c r="D77" s="1717">
        <f t="shared" si="8"/>
        <v>0</v>
      </c>
      <c r="E77" s="1717">
        <f t="shared" si="8"/>
        <v>0</v>
      </c>
      <c r="F77" s="1717">
        <f t="shared" si="8"/>
        <v>0</v>
      </c>
      <c r="G77" s="1717">
        <f t="shared" si="8"/>
        <v>0</v>
      </c>
      <c r="H77" s="1717">
        <f t="shared" si="8"/>
        <v>0</v>
      </c>
      <c r="I77" s="1717">
        <f t="shared" si="8"/>
        <v>0</v>
      </c>
      <c r="J77" s="1717">
        <f t="shared" si="8"/>
        <v>0</v>
      </c>
      <c r="K77" s="1717">
        <f t="shared" si="8"/>
        <v>0</v>
      </c>
      <c r="L77" s="347"/>
    </row>
    <row r="78" spans="1:12" ht="21.75" customHeight="1" thickTop="1" thickBot="1" x14ac:dyDescent="0.25">
      <c r="A78" s="2198" t="s">
        <v>618</v>
      </c>
      <c r="B78" s="2199"/>
      <c r="C78" s="1716">
        <f t="shared" ref="C78:K78" si="9">C20+C77</f>
        <v>3804568</v>
      </c>
      <c r="D78" s="1716">
        <f t="shared" si="9"/>
        <v>-1558488</v>
      </c>
      <c r="E78" s="1716">
        <f t="shared" si="9"/>
        <v>451947</v>
      </c>
      <c r="F78" s="1716">
        <f t="shared" si="9"/>
        <v>88759</v>
      </c>
      <c r="G78" s="1716">
        <f t="shared" si="9"/>
        <v>51254</v>
      </c>
      <c r="H78" s="1716">
        <f t="shared" si="9"/>
        <v>112534</v>
      </c>
      <c r="I78" s="1716">
        <f t="shared" si="9"/>
        <v>113328</v>
      </c>
      <c r="J78" s="1716">
        <f t="shared" si="9"/>
        <v>-20087</v>
      </c>
      <c r="K78" s="1716">
        <f t="shared" si="9"/>
        <v>0</v>
      </c>
      <c r="L78" s="533"/>
    </row>
    <row r="79" spans="1:12" ht="13.5" thickTop="1" x14ac:dyDescent="0.2">
      <c r="A79" s="1509" t="s">
        <v>2070</v>
      </c>
      <c r="B79" s="534"/>
      <c r="C79" s="478">
        <v>12408081</v>
      </c>
      <c r="D79" s="535">
        <v>5198927</v>
      </c>
      <c r="E79" s="535">
        <v>2129318</v>
      </c>
      <c r="F79" s="535">
        <v>548319</v>
      </c>
      <c r="G79" s="535">
        <v>309229</v>
      </c>
      <c r="H79" s="535">
        <v>645946</v>
      </c>
      <c r="I79" s="535">
        <v>577631</v>
      </c>
      <c r="J79" s="535">
        <v>135255</v>
      </c>
      <c r="K79" s="535">
        <v>0</v>
      </c>
      <c r="L79" s="347"/>
    </row>
    <row r="80" spans="1:12" x14ac:dyDescent="0.2">
      <c r="A80" s="2204" t="s">
        <v>1895</v>
      </c>
      <c r="B80" s="2205"/>
      <c r="C80" s="467"/>
      <c r="D80" s="467"/>
      <c r="E80" s="467"/>
      <c r="F80" s="467"/>
      <c r="G80" s="467"/>
      <c r="H80" s="467"/>
      <c r="I80" s="467"/>
      <c r="J80" s="467"/>
      <c r="K80" s="467"/>
      <c r="L80" s="347"/>
    </row>
    <row r="81" spans="1:12" ht="13.5" thickBot="1" x14ac:dyDescent="0.25">
      <c r="A81" s="2196" t="s">
        <v>2071</v>
      </c>
      <c r="B81" s="2197"/>
      <c r="C81" s="1702">
        <f>(SUM(C78:C80))</f>
        <v>16212649</v>
      </c>
      <c r="D81" s="1702">
        <f>SUM(D78:D80)</f>
        <v>3640439</v>
      </c>
      <c r="E81" s="1702">
        <f t="shared" ref="E81:K81" si="10">SUM(E78:E80)</f>
        <v>2581265</v>
      </c>
      <c r="F81" s="1702">
        <f t="shared" si="10"/>
        <v>637078</v>
      </c>
      <c r="G81" s="1702">
        <f t="shared" si="10"/>
        <v>360483</v>
      </c>
      <c r="H81" s="1702">
        <f t="shared" si="10"/>
        <v>758480</v>
      </c>
      <c r="I81" s="1702">
        <f t="shared" si="10"/>
        <v>690959</v>
      </c>
      <c r="J81" s="1702">
        <f t="shared" si="10"/>
        <v>115168</v>
      </c>
      <c r="K81" s="1702">
        <f t="shared" si="10"/>
        <v>0</v>
      </c>
      <c r="L81" s="347"/>
    </row>
    <row r="82" spans="1:12" ht="0.75" customHeight="1" thickTop="1" thickBot="1" x14ac:dyDescent="0.25">
      <c r="A82" s="536" t="s">
        <v>361</v>
      </c>
      <c r="B82" s="537"/>
      <c r="C82" s="538">
        <f>(C81-C79)</f>
        <v>3804568</v>
      </c>
      <c r="D82" s="538">
        <f t="shared" ref="D82:K82" si="11">(D81-D79)</f>
        <v>-1558488</v>
      </c>
      <c r="E82" s="538">
        <f t="shared" si="11"/>
        <v>451947</v>
      </c>
      <c r="F82" s="538">
        <f t="shared" si="11"/>
        <v>88759</v>
      </c>
      <c r="G82" s="538">
        <f t="shared" si="11"/>
        <v>51254</v>
      </c>
      <c r="H82" s="538">
        <f t="shared" si="11"/>
        <v>112534</v>
      </c>
      <c r="I82" s="538">
        <f t="shared" si="11"/>
        <v>113328</v>
      </c>
      <c r="J82" s="538">
        <f t="shared" si="11"/>
        <v>-20087</v>
      </c>
      <c r="K82" s="538">
        <f t="shared" si="11"/>
        <v>0</v>
      </c>
    </row>
    <row r="83" spans="1:12" ht="14.25" hidden="1" thickTop="1" thickBot="1" x14ac:dyDescent="0.25">
      <c r="A83" s="539" t="s">
        <v>362</v>
      </c>
      <c r="B83" s="464"/>
      <c r="C83" s="540">
        <f>C82/C81</f>
        <v>0.23466664824483649</v>
      </c>
      <c r="D83" s="540">
        <f t="shared" ref="D83:K83" si="12">D82/D81</f>
        <v>-0.42810441268209687</v>
      </c>
      <c r="E83" s="540">
        <f t="shared" si="12"/>
        <v>0.17508740869302455</v>
      </c>
      <c r="F83" s="540">
        <f t="shared" si="12"/>
        <v>0.13932202964158236</v>
      </c>
      <c r="G83" s="540">
        <f t="shared" si="12"/>
        <v>0.14218146209391289</v>
      </c>
      <c r="H83" s="540">
        <f t="shared" si="12"/>
        <v>0.14836778820799493</v>
      </c>
      <c r="I83" s="540">
        <f t="shared" si="12"/>
        <v>0.16401552045779852</v>
      </c>
      <c r="J83" s="540">
        <f t="shared" si="12"/>
        <v>-0.17441476799110864</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86"/>
  <sheetViews>
    <sheetView showGridLines="0" defaultGridColor="0" colorId="8" zoomScale="110" zoomScaleNormal="110" zoomScaleSheetLayoutView="75" workbookViewId="0">
      <pane ySplit="2" topLeftCell="A255" activePane="bottomLeft" state="frozen"/>
      <selection pane="bottomLeft" activeCell="C270" sqref="C270"/>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200" t="s">
        <v>1902</v>
      </c>
      <c r="B1" s="452"/>
      <c r="C1" s="453" t="s">
        <v>445</v>
      </c>
      <c r="D1" s="453" t="s">
        <v>446</v>
      </c>
      <c r="E1" s="453" t="s">
        <v>447</v>
      </c>
      <c r="F1" s="453" t="s">
        <v>448</v>
      </c>
      <c r="G1" s="453" t="s">
        <v>449</v>
      </c>
      <c r="H1" s="453" t="s">
        <v>450</v>
      </c>
      <c r="I1" s="453" t="s">
        <v>451</v>
      </c>
      <c r="J1" s="453" t="s">
        <v>452</v>
      </c>
      <c r="K1" s="453" t="s">
        <v>780</v>
      </c>
    </row>
    <row r="2" spans="1:12" ht="36" x14ac:dyDescent="0.2">
      <c r="A2" s="220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3" t="s">
        <v>115</v>
      </c>
      <c r="B3" s="1594"/>
      <c r="C3" s="1595"/>
      <c r="D3" s="1595"/>
      <c r="E3" s="1595"/>
      <c r="F3" s="1596"/>
      <c r="G3" s="1597"/>
      <c r="H3" s="1596"/>
      <c r="I3" s="1596"/>
      <c r="J3" s="1596"/>
      <c r="K3" s="1598"/>
    </row>
    <row r="4" spans="1:12" ht="15.75" customHeight="1" x14ac:dyDescent="0.2">
      <c r="A4" s="1604" t="s">
        <v>397</v>
      </c>
      <c r="B4" s="1605">
        <v>1100</v>
      </c>
      <c r="C4" s="543"/>
      <c r="D4" s="543"/>
      <c r="E4" s="543"/>
      <c r="F4" s="544"/>
      <c r="G4" s="545"/>
      <c r="H4" s="546"/>
      <c r="I4" s="546"/>
      <c r="J4" s="546"/>
      <c r="K4" s="546"/>
    </row>
    <row r="5" spans="1:12" ht="15" x14ac:dyDescent="0.2">
      <c r="A5" s="493" t="s">
        <v>1760</v>
      </c>
      <c r="B5" s="547"/>
      <c r="C5" s="481">
        <v>19506695</v>
      </c>
      <c r="D5" s="481">
        <v>2379223</v>
      </c>
      <c r="E5" s="466">
        <v>4335748</v>
      </c>
      <c r="F5" s="548">
        <v>515186</v>
      </c>
      <c r="G5" s="466">
        <v>367771</v>
      </c>
      <c r="H5" s="466">
        <v>0</v>
      </c>
      <c r="I5" s="466">
        <v>112323</v>
      </c>
      <c r="J5" s="467">
        <v>127977</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9">
        <v>1140</v>
      </c>
      <c r="C7" s="466">
        <v>260467</v>
      </c>
      <c r="D7" s="466">
        <v>0</v>
      </c>
      <c r="E7" s="468"/>
      <c r="F7" s="467">
        <v>0</v>
      </c>
      <c r="G7" s="467">
        <v>0</v>
      </c>
      <c r="H7" s="467">
        <v>0</v>
      </c>
      <c r="I7" s="468"/>
      <c r="J7" s="468"/>
      <c r="K7" s="468"/>
    </row>
    <row r="8" spans="1:12" x14ac:dyDescent="0.2">
      <c r="A8" s="463" t="s">
        <v>433</v>
      </c>
      <c r="B8" s="470">
        <v>1150</v>
      </c>
      <c r="C8" s="475"/>
      <c r="D8" s="475"/>
      <c r="E8" s="477"/>
      <c r="F8" s="477"/>
      <c r="G8" s="481">
        <v>441191</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19" t="s">
        <v>29</v>
      </c>
      <c r="B12" s="1720"/>
      <c r="C12" s="1721">
        <f t="shared" ref="C12:K12" si="0">SUM(C5:C11)</f>
        <v>19767162</v>
      </c>
      <c r="D12" s="1721">
        <f t="shared" si="0"/>
        <v>2379223</v>
      </c>
      <c r="E12" s="1721">
        <f t="shared" si="0"/>
        <v>4335748</v>
      </c>
      <c r="F12" s="1721">
        <f t="shared" si="0"/>
        <v>515186</v>
      </c>
      <c r="G12" s="1721">
        <f t="shared" si="0"/>
        <v>808962</v>
      </c>
      <c r="H12" s="1721">
        <f t="shared" si="0"/>
        <v>0</v>
      </c>
      <c r="I12" s="1721">
        <f t="shared" si="0"/>
        <v>112323</v>
      </c>
      <c r="J12" s="1721">
        <f t="shared" si="0"/>
        <v>127977</v>
      </c>
      <c r="K12" s="1702">
        <f t="shared" si="0"/>
        <v>0</v>
      </c>
    </row>
    <row r="13" spans="1:12" ht="15.75" customHeight="1" thickTop="1" x14ac:dyDescent="0.2">
      <c r="A13" s="1606" t="s">
        <v>471</v>
      </c>
      <c r="B13" s="1607">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226753</v>
      </c>
      <c r="D16" s="466">
        <v>0</v>
      </c>
      <c r="E16" s="466">
        <v>0</v>
      </c>
      <c r="F16" s="466">
        <v>0</v>
      </c>
      <c r="G16" s="466">
        <v>77688</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22" t="s">
        <v>558</v>
      </c>
      <c r="B18" s="1723"/>
      <c r="C18" s="1724">
        <f>SUM(C14:C17)</f>
        <v>226753</v>
      </c>
      <c r="D18" s="1724">
        <f t="shared" ref="D18:K18" si="1">SUM(D14:D17)</f>
        <v>0</v>
      </c>
      <c r="E18" s="1724">
        <f t="shared" si="1"/>
        <v>0</v>
      </c>
      <c r="F18" s="1724">
        <f t="shared" si="1"/>
        <v>0</v>
      </c>
      <c r="G18" s="1724">
        <f t="shared" si="1"/>
        <v>77688</v>
      </c>
      <c r="H18" s="1724">
        <f t="shared" si="1"/>
        <v>0</v>
      </c>
      <c r="I18" s="1724">
        <f t="shared" si="1"/>
        <v>0</v>
      </c>
      <c r="J18" s="1724">
        <f t="shared" si="1"/>
        <v>0</v>
      </c>
      <c r="K18" s="1725">
        <f t="shared" si="1"/>
        <v>0</v>
      </c>
    </row>
    <row r="19" spans="1:11" ht="15.75" customHeight="1" thickTop="1" x14ac:dyDescent="0.2">
      <c r="A19" s="1606" t="s">
        <v>472</v>
      </c>
      <c r="B19" s="1607">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69116</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0" t="s">
        <v>615</v>
      </c>
      <c r="B39" s="556">
        <v>1354</v>
      </c>
      <c r="C39" s="489">
        <v>0</v>
      </c>
      <c r="D39" s="468"/>
      <c r="E39" s="468"/>
      <c r="F39" s="468"/>
      <c r="G39" s="468"/>
      <c r="H39" s="468"/>
      <c r="I39" s="468"/>
      <c r="J39" s="468"/>
      <c r="K39" s="468"/>
    </row>
    <row r="40" spans="1:11" ht="12.75" customHeight="1" thickBot="1" x14ac:dyDescent="0.25">
      <c r="A40" s="1722" t="s">
        <v>559</v>
      </c>
      <c r="B40" s="1723"/>
      <c r="C40" s="1702">
        <f>SUM(C20:C39)</f>
        <v>69116</v>
      </c>
      <c r="D40" s="468"/>
      <c r="E40" s="468"/>
      <c r="F40" s="468"/>
      <c r="G40" s="468"/>
      <c r="H40" s="468"/>
      <c r="I40" s="468"/>
      <c r="J40" s="468"/>
      <c r="K40" s="468"/>
    </row>
    <row r="41" spans="1:11" ht="15.75" customHeight="1" thickTop="1" x14ac:dyDescent="0.2">
      <c r="A41" s="1606" t="s">
        <v>292</v>
      </c>
      <c r="B41" s="1607">
        <v>1400</v>
      </c>
      <c r="C41" s="468"/>
      <c r="D41" s="468"/>
      <c r="E41" s="468"/>
      <c r="F41" s="521"/>
      <c r="G41" s="468"/>
      <c r="H41" s="468"/>
      <c r="I41" s="468"/>
      <c r="J41" s="468"/>
      <c r="K41" s="468"/>
    </row>
    <row r="42" spans="1:11" ht="12.75" customHeight="1" x14ac:dyDescent="0.2">
      <c r="A42" s="463" t="s">
        <v>1136</v>
      </c>
      <c r="B42" s="470">
        <v>1411</v>
      </c>
      <c r="C42" s="468"/>
      <c r="D42" s="468"/>
      <c r="E42" s="468"/>
      <c r="F42" s="481">
        <v>3586</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1" t="s">
        <v>62</v>
      </c>
      <c r="B51" s="557">
        <v>1431</v>
      </c>
      <c r="C51" s="468"/>
      <c r="D51" s="468"/>
      <c r="E51" s="468"/>
      <c r="F51" s="466">
        <v>0</v>
      </c>
      <c r="G51" s="468"/>
      <c r="H51" s="468"/>
      <c r="I51" s="468"/>
      <c r="J51" s="468"/>
      <c r="K51" s="468"/>
    </row>
    <row r="52" spans="1:11" ht="12.75" customHeight="1" x14ac:dyDescent="0.2">
      <c r="A52" s="1511" t="s">
        <v>1168</v>
      </c>
      <c r="B52" s="557">
        <v>1432</v>
      </c>
      <c r="C52" s="468"/>
      <c r="D52" s="468"/>
      <c r="E52" s="468"/>
      <c r="F52" s="466">
        <v>0</v>
      </c>
      <c r="G52" s="468"/>
      <c r="H52" s="468"/>
      <c r="I52" s="468"/>
      <c r="J52" s="468"/>
      <c r="K52" s="468"/>
    </row>
    <row r="53" spans="1:11" ht="12.75" customHeight="1" x14ac:dyDescent="0.2">
      <c r="A53" s="1511" t="s">
        <v>63</v>
      </c>
      <c r="B53" s="557">
        <v>1433</v>
      </c>
      <c r="C53" s="468"/>
      <c r="D53" s="468"/>
      <c r="E53" s="468"/>
      <c r="F53" s="466">
        <v>0</v>
      </c>
      <c r="G53" s="468"/>
      <c r="H53" s="468"/>
      <c r="I53" s="468"/>
      <c r="J53" s="468"/>
      <c r="K53" s="468"/>
    </row>
    <row r="54" spans="1:11" ht="12.75" customHeight="1" x14ac:dyDescent="0.2">
      <c r="A54" s="1511" t="s">
        <v>64</v>
      </c>
      <c r="B54" s="557">
        <v>1434</v>
      </c>
      <c r="C54" s="468"/>
      <c r="D54" s="468"/>
      <c r="E54" s="468"/>
      <c r="F54" s="467">
        <v>0</v>
      </c>
      <c r="G54" s="468"/>
      <c r="H54" s="468"/>
      <c r="I54" s="468"/>
      <c r="J54" s="468"/>
      <c r="K54" s="468"/>
    </row>
    <row r="55" spans="1:11" ht="12.75" customHeight="1" x14ac:dyDescent="0.2">
      <c r="A55" s="1511" t="s">
        <v>65</v>
      </c>
      <c r="B55" s="557">
        <v>1441</v>
      </c>
      <c r="C55" s="468"/>
      <c r="D55" s="468"/>
      <c r="E55" s="468"/>
      <c r="F55" s="466">
        <v>0</v>
      </c>
      <c r="G55" s="468"/>
      <c r="H55" s="468"/>
      <c r="I55" s="468"/>
      <c r="J55" s="468"/>
      <c r="K55" s="468"/>
    </row>
    <row r="56" spans="1:11" ht="12.75" customHeight="1" x14ac:dyDescent="0.2">
      <c r="A56" s="1511" t="s">
        <v>1169</v>
      </c>
      <c r="B56" s="557">
        <v>1442</v>
      </c>
      <c r="C56" s="468"/>
      <c r="D56" s="468"/>
      <c r="E56" s="468"/>
      <c r="F56" s="466">
        <v>0</v>
      </c>
      <c r="G56" s="468"/>
      <c r="H56" s="468"/>
      <c r="I56" s="468"/>
      <c r="J56" s="468"/>
      <c r="K56" s="468"/>
    </row>
    <row r="57" spans="1:11" ht="12.75" customHeight="1" x14ac:dyDescent="0.2">
      <c r="A57" s="1511" t="s">
        <v>510</v>
      </c>
      <c r="B57" s="557">
        <v>1443</v>
      </c>
      <c r="C57" s="468"/>
      <c r="D57" s="468"/>
      <c r="E57" s="468"/>
      <c r="F57" s="466">
        <v>0</v>
      </c>
      <c r="G57" s="468"/>
      <c r="H57" s="468"/>
      <c r="I57" s="468"/>
      <c r="J57" s="468"/>
      <c r="K57" s="468"/>
    </row>
    <row r="58" spans="1:11" ht="12.75" customHeight="1" x14ac:dyDescent="0.2">
      <c r="A58" s="1511" t="s">
        <v>67</v>
      </c>
      <c r="B58" s="557">
        <v>1444</v>
      </c>
      <c r="C58" s="468"/>
      <c r="D58" s="468"/>
      <c r="E58" s="468"/>
      <c r="F58" s="466">
        <v>0</v>
      </c>
      <c r="G58" s="468"/>
      <c r="H58" s="468"/>
      <c r="I58" s="468"/>
      <c r="J58" s="468"/>
      <c r="K58" s="468"/>
    </row>
    <row r="59" spans="1:11" ht="12.75" customHeight="1" x14ac:dyDescent="0.2">
      <c r="A59" s="1511" t="s">
        <v>933</v>
      </c>
      <c r="B59" s="557">
        <v>1451</v>
      </c>
      <c r="C59" s="468"/>
      <c r="D59" s="468"/>
      <c r="E59" s="468"/>
      <c r="F59" s="466">
        <v>0</v>
      </c>
      <c r="G59" s="468"/>
      <c r="H59" s="468"/>
      <c r="I59" s="468"/>
      <c r="J59" s="468"/>
      <c r="K59" s="468"/>
    </row>
    <row r="60" spans="1:11" ht="12.75" customHeight="1" x14ac:dyDescent="0.2">
      <c r="A60" s="1511"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2" t="s">
        <v>935</v>
      </c>
      <c r="B62" s="558">
        <v>1454</v>
      </c>
      <c r="C62" s="468"/>
      <c r="D62" s="468"/>
      <c r="E62" s="468"/>
      <c r="F62" s="467">
        <v>0</v>
      </c>
      <c r="G62" s="468"/>
      <c r="H62" s="468"/>
      <c r="I62" s="468"/>
      <c r="J62" s="468"/>
      <c r="K62" s="468"/>
    </row>
    <row r="63" spans="1:11" ht="12.75" customHeight="1" thickBot="1" x14ac:dyDescent="0.25">
      <c r="A63" s="1722" t="s">
        <v>506</v>
      </c>
      <c r="B63" s="1723"/>
      <c r="C63" s="468"/>
      <c r="D63" s="468"/>
      <c r="E63" s="468"/>
      <c r="F63" s="1702">
        <f>SUM(F42:F62)</f>
        <v>3586</v>
      </c>
      <c r="G63" s="468"/>
      <c r="H63" s="468"/>
      <c r="I63" s="468"/>
      <c r="J63" s="468"/>
      <c r="K63" s="468"/>
    </row>
    <row r="64" spans="1:11" ht="15.75" customHeight="1" thickTop="1" x14ac:dyDescent="0.2">
      <c r="A64" s="1606" t="s">
        <v>474</v>
      </c>
      <c r="B64" s="1607">
        <v>1500</v>
      </c>
      <c r="C64" s="468"/>
      <c r="D64" s="468"/>
      <c r="E64" s="468"/>
      <c r="F64" s="468"/>
      <c r="G64" s="468"/>
      <c r="H64" s="468"/>
      <c r="I64" s="468"/>
      <c r="J64" s="468"/>
      <c r="K64" s="468"/>
    </row>
    <row r="65" spans="1:11" ht="12.75" customHeight="1" x14ac:dyDescent="0.2">
      <c r="A65" s="463" t="s">
        <v>568</v>
      </c>
      <c r="B65" s="470">
        <v>1510</v>
      </c>
      <c r="C65" s="466">
        <v>166353</v>
      </c>
      <c r="D65" s="466">
        <v>16728</v>
      </c>
      <c r="E65" s="466">
        <v>37012</v>
      </c>
      <c r="F65" s="467">
        <v>7395</v>
      </c>
      <c r="G65" s="466">
        <v>10026</v>
      </c>
      <c r="H65" s="466">
        <v>0</v>
      </c>
      <c r="I65" s="466">
        <v>1005</v>
      </c>
      <c r="J65" s="467">
        <v>1146</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2" t="s">
        <v>507</v>
      </c>
      <c r="B67" s="1723"/>
      <c r="C67" s="1702">
        <f>SUM(C65:C66)</f>
        <v>166353</v>
      </c>
      <c r="D67" s="1702">
        <f t="shared" ref="D67:K67" si="2">SUM(D65:D66)</f>
        <v>16728</v>
      </c>
      <c r="E67" s="1702">
        <f t="shared" si="2"/>
        <v>37012</v>
      </c>
      <c r="F67" s="1702">
        <f t="shared" si="2"/>
        <v>7395</v>
      </c>
      <c r="G67" s="1702">
        <f t="shared" si="2"/>
        <v>10026</v>
      </c>
      <c r="H67" s="1702">
        <f t="shared" si="2"/>
        <v>0</v>
      </c>
      <c r="I67" s="1702">
        <f t="shared" si="2"/>
        <v>1005</v>
      </c>
      <c r="J67" s="1702">
        <f t="shared" si="2"/>
        <v>1146</v>
      </c>
      <c r="K67" s="1702">
        <f t="shared" si="2"/>
        <v>0</v>
      </c>
    </row>
    <row r="68" spans="1:11" ht="15.75" customHeight="1" thickTop="1" x14ac:dyDescent="0.2">
      <c r="A68" s="1606" t="s">
        <v>475</v>
      </c>
      <c r="B68" s="1608">
        <v>1600</v>
      </c>
      <c r="C68" s="553"/>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386198</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15927</v>
      </c>
      <c r="D74" s="468"/>
      <c r="E74" s="468"/>
      <c r="F74" s="468"/>
      <c r="G74" s="468"/>
      <c r="H74" s="468"/>
      <c r="I74" s="468"/>
      <c r="J74" s="468"/>
      <c r="K74" s="468"/>
    </row>
    <row r="75" spans="1:11" ht="12.75" customHeight="1" thickBot="1" x14ac:dyDescent="0.25">
      <c r="A75" s="1722" t="s">
        <v>569</v>
      </c>
      <c r="B75" s="1723"/>
      <c r="C75" s="1702">
        <f>SUM(C69:C74)</f>
        <v>402125</v>
      </c>
      <c r="D75" s="468"/>
      <c r="E75" s="468"/>
      <c r="F75" s="468"/>
      <c r="G75" s="468"/>
      <c r="H75" s="468"/>
      <c r="I75" s="468"/>
      <c r="J75" s="468"/>
      <c r="K75" s="468"/>
    </row>
    <row r="76" spans="1:11" ht="15.75" customHeight="1" thickTop="1" x14ac:dyDescent="0.2">
      <c r="A76" s="1606" t="s">
        <v>936</v>
      </c>
      <c r="B76" s="1608">
        <v>1700</v>
      </c>
      <c r="C76" s="553"/>
      <c r="D76" s="468"/>
      <c r="E76" s="468"/>
      <c r="F76" s="468"/>
      <c r="G76" s="468"/>
      <c r="H76" s="468"/>
      <c r="I76" s="468"/>
      <c r="J76" s="468"/>
      <c r="K76" s="468"/>
    </row>
    <row r="77" spans="1:11" ht="12.75" customHeight="1" x14ac:dyDescent="0.2">
      <c r="A77" s="463" t="s">
        <v>570</v>
      </c>
      <c r="B77" s="470">
        <v>1711</v>
      </c>
      <c r="C77" s="516">
        <v>41853</v>
      </c>
      <c r="D77" s="466">
        <v>0</v>
      </c>
      <c r="E77" s="468"/>
      <c r="F77" s="468"/>
      <c r="G77" s="468"/>
      <c r="H77" s="468"/>
      <c r="I77" s="468"/>
      <c r="J77" s="468"/>
      <c r="K77" s="468"/>
    </row>
    <row r="78" spans="1:11" ht="12.75" customHeight="1" x14ac:dyDescent="0.2">
      <c r="A78" s="463" t="s">
        <v>78</v>
      </c>
      <c r="B78" s="470">
        <v>1719</v>
      </c>
      <c r="C78" s="551">
        <v>10196</v>
      </c>
      <c r="D78" s="466">
        <v>0</v>
      </c>
      <c r="E78" s="468"/>
      <c r="F78" s="468"/>
      <c r="G78" s="468"/>
      <c r="H78" s="468"/>
      <c r="I78" s="468"/>
      <c r="J78" s="468"/>
      <c r="K78" s="468"/>
    </row>
    <row r="79" spans="1:11" ht="12.75" customHeight="1" x14ac:dyDescent="0.2">
      <c r="A79" s="463" t="s">
        <v>571</v>
      </c>
      <c r="B79" s="470">
        <v>1720</v>
      </c>
      <c r="C79" s="551">
        <v>682119</v>
      </c>
      <c r="D79" s="466">
        <v>65397</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204136</v>
      </c>
      <c r="D81" s="466">
        <v>0</v>
      </c>
      <c r="E81" s="468"/>
      <c r="F81" s="468"/>
      <c r="G81" s="468"/>
      <c r="H81" s="468"/>
      <c r="I81" s="468"/>
      <c r="J81" s="468"/>
      <c r="K81" s="468"/>
    </row>
    <row r="82" spans="1:11" ht="12.75" customHeight="1" thickBot="1" x14ac:dyDescent="0.25">
      <c r="A82" s="1722" t="s">
        <v>259</v>
      </c>
      <c r="B82" s="1723"/>
      <c r="C82" s="1721">
        <f>SUM(C77:C81)</f>
        <v>938304</v>
      </c>
      <c r="D82" s="1702">
        <f>SUM(D77:D81)</f>
        <v>65397</v>
      </c>
      <c r="E82" s="468"/>
      <c r="F82" s="468"/>
      <c r="G82" s="468"/>
      <c r="H82" s="468"/>
      <c r="I82" s="468"/>
      <c r="J82" s="468"/>
      <c r="K82" s="468"/>
    </row>
    <row r="83" spans="1:11" ht="15.75" customHeight="1" thickTop="1" x14ac:dyDescent="0.2">
      <c r="A83" s="1606" t="s">
        <v>260</v>
      </c>
      <c r="B83" s="1608">
        <v>1800</v>
      </c>
      <c r="C83" s="553"/>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22" t="s">
        <v>261</v>
      </c>
      <c r="B93" s="1723"/>
      <c r="C93" s="1702">
        <f>SUM(C84:C92)</f>
        <v>0</v>
      </c>
      <c r="D93" s="468"/>
      <c r="E93" s="468"/>
      <c r="F93" s="468"/>
      <c r="G93" s="468"/>
      <c r="H93" s="468"/>
      <c r="I93" s="468"/>
      <c r="J93" s="468"/>
      <c r="K93" s="468"/>
    </row>
    <row r="94" spans="1:11" ht="15.75" customHeight="1" thickTop="1" x14ac:dyDescent="0.2">
      <c r="A94" s="1606" t="s">
        <v>1199</v>
      </c>
      <c r="B94" s="1608">
        <v>1900</v>
      </c>
      <c r="C94" s="553"/>
      <c r="D94" s="521"/>
      <c r="E94" s="468"/>
      <c r="F94" s="468"/>
      <c r="G94" s="468"/>
      <c r="H94" s="468"/>
      <c r="I94" s="468"/>
      <c r="J94" s="468"/>
      <c r="K94" s="468"/>
    </row>
    <row r="95" spans="1:11" ht="12.75" customHeight="1" x14ac:dyDescent="0.2">
      <c r="A95" s="463" t="s">
        <v>1124</v>
      </c>
      <c r="B95" s="470">
        <v>1910</v>
      </c>
      <c r="C95" s="466">
        <v>0</v>
      </c>
      <c r="D95" s="551">
        <v>96716</v>
      </c>
      <c r="E95" s="521"/>
      <c r="F95" s="521"/>
      <c r="G95" s="521"/>
      <c r="H95" s="521"/>
      <c r="I95" s="521"/>
      <c r="J95" s="521"/>
      <c r="K95" s="521"/>
    </row>
    <row r="96" spans="1:11" ht="12.75" customHeight="1" x14ac:dyDescent="0.2">
      <c r="A96" s="463" t="s">
        <v>409</v>
      </c>
      <c r="B96" s="470">
        <v>1920</v>
      </c>
      <c r="C96" s="551">
        <v>72327</v>
      </c>
      <c r="D96" s="551">
        <v>0</v>
      </c>
      <c r="E96" s="479">
        <v>0</v>
      </c>
      <c r="F96" s="478">
        <v>0</v>
      </c>
      <c r="G96" s="478">
        <v>0</v>
      </c>
      <c r="H96" s="478">
        <v>0</v>
      </c>
      <c r="I96" s="478">
        <v>0</v>
      </c>
      <c r="J96" s="478">
        <v>0</v>
      </c>
      <c r="K96" s="478">
        <v>0</v>
      </c>
    </row>
    <row r="97" spans="1:12" ht="12.75" customHeight="1" x14ac:dyDescent="0.2">
      <c r="A97" s="1510"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33158</v>
      </c>
      <c r="D98" s="466">
        <v>0</v>
      </c>
      <c r="E98" s="512"/>
      <c r="F98" s="466">
        <v>0</v>
      </c>
      <c r="G98" s="512"/>
      <c r="H98" s="512"/>
      <c r="I98" s="510"/>
      <c r="J98" s="512"/>
      <c r="K98" s="512"/>
    </row>
    <row r="99" spans="1:12" ht="12.75" customHeight="1" x14ac:dyDescent="0.2">
      <c r="A99" s="463" t="s">
        <v>875</v>
      </c>
      <c r="B99" s="470">
        <v>1950</v>
      </c>
      <c r="C99" s="489">
        <v>0</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31136</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41535</v>
      </c>
      <c r="D106" s="489">
        <v>0</v>
      </c>
      <c r="E106" s="467">
        <v>0</v>
      </c>
      <c r="F106" s="467">
        <v>0</v>
      </c>
      <c r="G106" s="467">
        <v>0</v>
      </c>
      <c r="H106" s="467">
        <v>112534</v>
      </c>
      <c r="I106" s="521"/>
      <c r="J106" s="467">
        <v>0</v>
      </c>
      <c r="K106" s="467">
        <v>0</v>
      </c>
    </row>
    <row r="107" spans="1:12" ht="12.75" customHeight="1" x14ac:dyDescent="0.2">
      <c r="A107" s="463" t="s">
        <v>80</v>
      </c>
      <c r="B107" s="470">
        <v>1999</v>
      </c>
      <c r="C107" s="551">
        <v>0</v>
      </c>
      <c r="D107" s="466">
        <v>20127</v>
      </c>
      <c r="E107" s="466">
        <v>0</v>
      </c>
      <c r="F107" s="466">
        <v>0</v>
      </c>
      <c r="G107" s="466">
        <v>0</v>
      </c>
      <c r="H107" s="466">
        <v>0</v>
      </c>
      <c r="I107" s="466">
        <v>0</v>
      </c>
      <c r="J107" s="467">
        <v>21579</v>
      </c>
      <c r="K107" s="466">
        <v>0</v>
      </c>
    </row>
    <row r="108" spans="1:12" ht="12.75" customHeight="1" thickBot="1" x14ac:dyDescent="0.25">
      <c r="A108" s="1722" t="s">
        <v>508</v>
      </c>
      <c r="B108" s="1726"/>
      <c r="C108" s="1721">
        <f>SUM(C95:C107)</f>
        <v>178156</v>
      </c>
      <c r="D108" s="1721">
        <f t="shared" ref="D108:K108" si="3">SUM(D95:D107)</f>
        <v>116843</v>
      </c>
      <c r="E108" s="1721">
        <f t="shared" si="3"/>
        <v>0</v>
      </c>
      <c r="F108" s="1721">
        <f t="shared" si="3"/>
        <v>0</v>
      </c>
      <c r="G108" s="1721">
        <f t="shared" si="3"/>
        <v>0</v>
      </c>
      <c r="H108" s="1721">
        <f t="shared" si="3"/>
        <v>112534</v>
      </c>
      <c r="I108" s="1721">
        <f t="shared" si="3"/>
        <v>0</v>
      </c>
      <c r="J108" s="1721">
        <f t="shared" si="3"/>
        <v>21579</v>
      </c>
      <c r="K108" s="1702">
        <f t="shared" si="3"/>
        <v>0</v>
      </c>
    </row>
    <row r="109" spans="1:12" ht="14.25" thickTop="1" thickBot="1" x14ac:dyDescent="0.25">
      <c r="A109" s="1727" t="s">
        <v>266</v>
      </c>
      <c r="B109" s="1728" t="s">
        <v>591</v>
      </c>
      <c r="C109" s="1729">
        <f t="shared" ref="C109:K109" si="4">SUM(C12,C18,C40,C63,C67,C75,C82,C93,C108,)</f>
        <v>21747969</v>
      </c>
      <c r="D109" s="1729">
        <f t="shared" si="4"/>
        <v>2578191</v>
      </c>
      <c r="E109" s="1729">
        <f t="shared" si="4"/>
        <v>4372760</v>
      </c>
      <c r="F109" s="1729">
        <f t="shared" si="4"/>
        <v>526167</v>
      </c>
      <c r="G109" s="1729">
        <f t="shared" si="4"/>
        <v>896676</v>
      </c>
      <c r="H109" s="1729">
        <f t="shared" si="4"/>
        <v>112534</v>
      </c>
      <c r="I109" s="1729">
        <f t="shared" si="4"/>
        <v>113328</v>
      </c>
      <c r="J109" s="1729">
        <f t="shared" si="4"/>
        <v>150702</v>
      </c>
      <c r="K109" s="1716">
        <f t="shared" si="4"/>
        <v>0</v>
      </c>
    </row>
    <row r="110" spans="1:12" ht="30" customHeight="1" thickTop="1" x14ac:dyDescent="0.2">
      <c r="A110" s="1599" t="s">
        <v>364</v>
      </c>
      <c r="B110" s="1600"/>
      <c r="C110" s="1585"/>
      <c r="D110" s="1585"/>
      <c r="E110" s="1585"/>
      <c r="F110" s="1585"/>
      <c r="G110" s="1585"/>
      <c r="H110" s="1585"/>
      <c r="I110" s="1585"/>
      <c r="J110" s="1585"/>
      <c r="K110" s="1586"/>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0" t="s">
        <v>839</v>
      </c>
      <c r="B114" s="1731" t="s">
        <v>590</v>
      </c>
      <c r="C114" s="1732">
        <f>SUM(C111:C113)</f>
        <v>0</v>
      </c>
      <c r="D114" s="1732">
        <f>SUM(D111:D113)</f>
        <v>0</v>
      </c>
      <c r="E114" s="561" t="s">
        <v>1231</v>
      </c>
      <c r="F114" s="1732">
        <f>SUM(F111:F113)</f>
        <v>0</v>
      </c>
      <c r="G114" s="1732">
        <f>SUM(G111:G113)</f>
        <v>0</v>
      </c>
      <c r="H114" s="561"/>
      <c r="I114" s="468"/>
      <c r="J114" s="468"/>
      <c r="K114" s="468"/>
    </row>
    <row r="115" spans="1:11" ht="16.7" customHeight="1" thickTop="1" x14ac:dyDescent="0.2">
      <c r="A115" s="1601" t="s">
        <v>836</v>
      </c>
      <c r="B115" s="1602"/>
      <c r="C115" s="1584"/>
      <c r="D115" s="1585"/>
      <c r="E115" s="1585"/>
      <c r="F115" s="1585"/>
      <c r="G115" s="1585"/>
      <c r="H115" s="1585"/>
      <c r="I115" s="1585"/>
      <c r="J115" s="1585"/>
      <c r="K115" s="1586"/>
    </row>
    <row r="116" spans="1:11" ht="18" customHeight="1" x14ac:dyDescent="0.2">
      <c r="A116" s="1609" t="s">
        <v>1571</v>
      </c>
      <c r="B116" s="1610"/>
      <c r="C116" s="522"/>
      <c r="D116" s="521"/>
      <c r="E116" s="561"/>
      <c r="F116" s="521"/>
      <c r="G116" s="521"/>
      <c r="H116" s="561"/>
      <c r="I116" s="468"/>
      <c r="J116" s="521"/>
      <c r="K116" s="521"/>
    </row>
    <row r="117" spans="1:11" ht="12.75" customHeight="1" x14ac:dyDescent="0.2">
      <c r="A117" s="463" t="s">
        <v>1766</v>
      </c>
      <c r="B117" s="562">
        <v>3001</v>
      </c>
      <c r="C117" s="516">
        <v>5008459</v>
      </c>
      <c r="D117" s="481">
        <v>0</v>
      </c>
      <c r="E117" s="466">
        <v>0</v>
      </c>
      <c r="F117" s="481">
        <v>0</v>
      </c>
      <c r="G117" s="481">
        <v>0</v>
      </c>
      <c r="H117" s="466">
        <v>0</v>
      </c>
      <c r="I117" s="468"/>
      <c r="J117" s="467">
        <v>0</v>
      </c>
      <c r="K117" s="466">
        <v>0</v>
      </c>
    </row>
    <row r="118" spans="1:11" ht="12.75" customHeight="1" x14ac:dyDescent="0.2">
      <c r="A118" s="463" t="s">
        <v>1899</v>
      </c>
      <c r="B118" s="562">
        <v>3002</v>
      </c>
      <c r="C118" s="551">
        <v>0</v>
      </c>
      <c r="D118" s="466">
        <v>0</v>
      </c>
      <c r="E118" s="466">
        <v>0</v>
      </c>
      <c r="F118" s="466">
        <v>0</v>
      </c>
      <c r="G118" s="466">
        <v>0</v>
      </c>
      <c r="H118" s="466">
        <v>0</v>
      </c>
      <c r="I118" s="468"/>
      <c r="J118" s="467">
        <v>0</v>
      </c>
      <c r="K118" s="466">
        <v>0</v>
      </c>
    </row>
    <row r="119" spans="1:11" ht="12.75" customHeight="1" x14ac:dyDescent="0.2">
      <c r="A119" s="463" t="s">
        <v>1900</v>
      </c>
      <c r="B119" s="562">
        <v>3005</v>
      </c>
      <c r="C119" s="551">
        <v>0</v>
      </c>
      <c r="D119" s="466">
        <v>0</v>
      </c>
      <c r="E119" s="466">
        <v>0</v>
      </c>
      <c r="F119" s="466">
        <v>0</v>
      </c>
      <c r="G119" s="466">
        <v>0</v>
      </c>
      <c r="H119" s="466">
        <v>0</v>
      </c>
      <c r="I119" s="468"/>
      <c r="J119" s="467">
        <v>0</v>
      </c>
      <c r="K119" s="466">
        <v>0</v>
      </c>
    </row>
    <row r="120" spans="1:11" x14ac:dyDescent="0.2">
      <c r="A120" s="1511" t="s">
        <v>1901</v>
      </c>
      <c r="B120" s="564">
        <v>3099</v>
      </c>
      <c r="C120" s="551">
        <v>60164</v>
      </c>
      <c r="D120" s="466">
        <v>0</v>
      </c>
      <c r="E120" s="466">
        <v>0</v>
      </c>
      <c r="F120" s="466">
        <v>0</v>
      </c>
      <c r="G120" s="466">
        <v>0</v>
      </c>
      <c r="H120" s="466">
        <v>0</v>
      </c>
      <c r="I120" s="468"/>
      <c r="J120" s="467">
        <v>0</v>
      </c>
      <c r="K120" s="466">
        <v>0</v>
      </c>
    </row>
    <row r="121" spans="1:11" ht="12.6" customHeight="1" thickBot="1" x14ac:dyDescent="0.25">
      <c r="A121" s="1722" t="s">
        <v>509</v>
      </c>
      <c r="B121" s="1733"/>
      <c r="C121" s="1721">
        <f t="shared" ref="C121:H121" si="5">SUM(C117:C120)</f>
        <v>5068623</v>
      </c>
      <c r="D121" s="1721">
        <f t="shared" si="5"/>
        <v>0</v>
      </c>
      <c r="E121" s="1721">
        <f t="shared" si="5"/>
        <v>0</v>
      </c>
      <c r="F121" s="1721">
        <f t="shared" si="5"/>
        <v>0</v>
      </c>
      <c r="G121" s="1721">
        <f t="shared" si="5"/>
        <v>0</v>
      </c>
      <c r="H121" s="1721">
        <f t="shared" si="5"/>
        <v>0</v>
      </c>
      <c r="I121" s="468"/>
      <c r="J121" s="1721">
        <f>SUM(J117:J120)</f>
        <v>0</v>
      </c>
      <c r="K121" s="1702">
        <f>SUM(K117:K120)</f>
        <v>0</v>
      </c>
    </row>
    <row r="122" spans="1:11" ht="15.75" customHeight="1" thickTop="1" x14ac:dyDescent="0.2">
      <c r="A122" s="1606" t="s">
        <v>1570</v>
      </c>
      <c r="B122" s="1611"/>
      <c r="C122" s="565"/>
      <c r="D122" s="509"/>
      <c r="E122" s="468"/>
      <c r="F122" s="566"/>
      <c r="G122" s="468"/>
      <c r="H122" s="468"/>
      <c r="I122" s="468"/>
      <c r="J122" s="468"/>
      <c r="K122" s="468"/>
    </row>
    <row r="123" spans="1:11" ht="15" customHeight="1" x14ac:dyDescent="0.2">
      <c r="A123" s="1612" t="s">
        <v>688</v>
      </c>
      <c r="B123" s="1613"/>
      <c r="C123" s="521"/>
      <c r="D123" s="509"/>
      <c r="E123" s="468"/>
      <c r="F123" s="521"/>
      <c r="G123" s="468"/>
      <c r="H123" s="468"/>
      <c r="I123" s="468"/>
      <c r="J123" s="468"/>
      <c r="K123" s="468"/>
    </row>
    <row r="124" spans="1:11" ht="12.75" customHeight="1" x14ac:dyDescent="0.2">
      <c r="A124" s="463" t="s">
        <v>921</v>
      </c>
      <c r="B124" s="567">
        <v>3100</v>
      </c>
      <c r="C124" s="481">
        <v>563086</v>
      </c>
      <c r="D124" s="561"/>
      <c r="E124" s="468"/>
      <c r="F124" s="548">
        <v>0</v>
      </c>
      <c r="G124" s="468"/>
      <c r="H124" s="468"/>
      <c r="I124" s="468"/>
      <c r="J124" s="468"/>
      <c r="K124" s="468"/>
    </row>
    <row r="125" spans="1:11" ht="12.75" customHeight="1" x14ac:dyDescent="0.2">
      <c r="A125" s="463" t="s">
        <v>1521</v>
      </c>
      <c r="B125" s="562">
        <v>3105</v>
      </c>
      <c r="C125" s="466">
        <v>146019</v>
      </c>
      <c r="D125" s="561"/>
      <c r="E125" s="468"/>
      <c r="F125" s="466">
        <v>0</v>
      </c>
      <c r="G125" s="468"/>
      <c r="H125" s="468"/>
      <c r="I125" s="468"/>
      <c r="J125" s="468"/>
      <c r="K125" s="468"/>
    </row>
    <row r="126" spans="1:11" ht="12.75" customHeight="1" x14ac:dyDescent="0.2">
      <c r="A126" s="463" t="s">
        <v>922</v>
      </c>
      <c r="B126" s="562">
        <v>3110</v>
      </c>
      <c r="C126" s="551">
        <v>201721</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23779</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2" t="s">
        <v>1092</v>
      </c>
      <c r="B131" s="1734"/>
      <c r="C131" s="1721">
        <f>SUM(C124:C130)</f>
        <v>934605</v>
      </c>
      <c r="D131" s="1721">
        <f>SUM(D124:D130)</f>
        <v>0</v>
      </c>
      <c r="E131" s="469" t="s">
        <v>1231</v>
      </c>
      <c r="F131" s="1721">
        <f>SUM(F124:F130)</f>
        <v>0</v>
      </c>
      <c r="G131" s="468" t="s">
        <v>1231</v>
      </c>
      <c r="H131" s="468" t="s">
        <v>1231</v>
      </c>
      <c r="I131" s="468" t="s">
        <v>1231</v>
      </c>
      <c r="J131" s="468" t="s">
        <v>1231</v>
      </c>
      <c r="K131" s="468" t="s">
        <v>1231</v>
      </c>
    </row>
    <row r="132" spans="1:11" ht="15.75" customHeight="1" thickTop="1" x14ac:dyDescent="0.2">
      <c r="A132" s="1614" t="s">
        <v>268</v>
      </c>
      <c r="B132" s="1615"/>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84699</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2" t="s">
        <v>624</v>
      </c>
      <c r="B140" s="1734"/>
      <c r="C140" s="1721">
        <f>SUM(C133:C139)</f>
        <v>84699</v>
      </c>
      <c r="D140" s="1721">
        <f>SUM(D133:D139)</f>
        <v>0</v>
      </c>
      <c r="E140" s="561" t="s">
        <v>1231</v>
      </c>
      <c r="F140" s="477"/>
      <c r="G140" s="1721">
        <f>SUM(G133:G139)</f>
        <v>0</v>
      </c>
      <c r="H140" s="468" t="s">
        <v>1231</v>
      </c>
      <c r="I140" s="468" t="s">
        <v>1231</v>
      </c>
      <c r="J140" s="468" t="s">
        <v>1231</v>
      </c>
      <c r="K140" s="468" t="s">
        <v>1231</v>
      </c>
    </row>
    <row r="141" spans="1:11" ht="15.75" customHeight="1" thickTop="1" x14ac:dyDescent="0.2">
      <c r="A141" s="1614" t="s">
        <v>691</v>
      </c>
      <c r="B141" s="1615"/>
      <c r="C141" s="553"/>
      <c r="D141" s="566"/>
      <c r="E141" s="561"/>
      <c r="F141" s="553"/>
      <c r="G141" s="553"/>
      <c r="H141" s="468"/>
      <c r="I141" s="468"/>
      <c r="J141" s="468"/>
      <c r="K141" s="468"/>
    </row>
    <row r="142" spans="1:11" ht="12.75" customHeight="1" x14ac:dyDescent="0.2">
      <c r="A142" s="463" t="s">
        <v>625</v>
      </c>
      <c r="B142" s="562">
        <v>3305</v>
      </c>
      <c r="C142" s="466">
        <v>21377</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22" t="s">
        <v>414</v>
      </c>
      <c r="B144" s="1734"/>
      <c r="C144" s="1702">
        <f>SUM(C142:C143)</f>
        <v>21377</v>
      </c>
      <c r="D144" s="468"/>
      <c r="E144" s="509"/>
      <c r="F144" s="468"/>
      <c r="G144" s="1735">
        <f>SUM(G142:G143)</f>
        <v>0</v>
      </c>
      <c r="H144" s="468"/>
      <c r="I144" s="468"/>
      <c r="J144" s="468"/>
      <c r="K144" s="468"/>
    </row>
    <row r="145" spans="1:11" s="202" customFormat="1" ht="12.75" customHeight="1" thickTop="1" x14ac:dyDescent="0.2">
      <c r="A145" s="1513" t="s">
        <v>1116</v>
      </c>
      <c r="B145" s="568">
        <v>3360</v>
      </c>
      <c r="C145" s="569">
        <v>3439</v>
      </c>
      <c r="D145" s="570"/>
      <c r="E145" s="509"/>
      <c r="F145" s="468"/>
      <c r="G145" s="571"/>
      <c r="H145" s="468"/>
      <c r="I145" s="468"/>
      <c r="J145" s="468"/>
      <c r="K145" s="468"/>
    </row>
    <row r="146" spans="1:11" ht="12.75" customHeight="1" thickBot="1" x14ac:dyDescent="0.25">
      <c r="A146" s="1514" t="s">
        <v>979</v>
      </c>
      <c r="B146" s="572">
        <v>3365</v>
      </c>
      <c r="C146" s="573">
        <v>0</v>
      </c>
      <c r="D146" s="532">
        <v>0</v>
      </c>
      <c r="E146" s="561"/>
      <c r="F146" s="468"/>
      <c r="G146" s="532">
        <v>0</v>
      </c>
      <c r="H146" s="468"/>
      <c r="I146" s="468"/>
      <c r="J146" s="468"/>
      <c r="K146" s="468"/>
    </row>
    <row r="147" spans="1:11" ht="12.75" customHeight="1" thickTop="1" thickBot="1" x14ac:dyDescent="0.25">
      <c r="A147" s="1515" t="s">
        <v>140</v>
      </c>
      <c r="B147" s="574">
        <v>3370</v>
      </c>
      <c r="C147" s="573">
        <v>76802</v>
      </c>
      <c r="D147" s="573">
        <v>0</v>
      </c>
      <c r="E147" s="509"/>
      <c r="F147" s="468"/>
      <c r="G147" s="468"/>
      <c r="H147" s="468"/>
      <c r="I147" s="468"/>
      <c r="J147" s="468"/>
      <c r="K147" s="468"/>
    </row>
    <row r="148" spans="1:11" ht="12.75" customHeight="1" thickTop="1" thickBot="1" x14ac:dyDescent="0.25">
      <c r="A148" s="1515"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15"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14" t="s">
        <v>473</v>
      </c>
      <c r="B150" s="1616"/>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23794</v>
      </c>
      <c r="G151" s="467">
        <v>0</v>
      </c>
      <c r="H151" s="468"/>
      <c r="I151" s="468"/>
      <c r="J151" s="468"/>
      <c r="K151" s="468"/>
    </row>
    <row r="152" spans="1:11" ht="12.75" customHeight="1" x14ac:dyDescent="0.2">
      <c r="A152" s="463" t="s">
        <v>1117</v>
      </c>
      <c r="B152" s="562">
        <v>3510</v>
      </c>
      <c r="C152" s="551">
        <v>0</v>
      </c>
      <c r="D152" s="466">
        <v>0</v>
      </c>
      <c r="E152" s="561"/>
      <c r="F152" s="466">
        <v>940556</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2" t="s">
        <v>96</v>
      </c>
      <c r="B154" s="1734"/>
      <c r="C154" s="1721">
        <f>SUM(C151:C153)</f>
        <v>0</v>
      </c>
      <c r="D154" s="1721">
        <f>SUM(D151:D153)</f>
        <v>0</v>
      </c>
      <c r="E154" s="561"/>
      <c r="F154" s="1721">
        <f>SUM(F151:F153)</f>
        <v>964350</v>
      </c>
      <c r="G154" s="1721">
        <f>SUM(G151:G153)</f>
        <v>0</v>
      </c>
      <c r="H154" s="468"/>
      <c r="I154" s="468"/>
      <c r="J154" s="468"/>
      <c r="K154" s="468"/>
    </row>
    <row r="155" spans="1:11" ht="12.75" customHeight="1" thickTop="1" thickBot="1" x14ac:dyDescent="0.25">
      <c r="A155" s="1515" t="s">
        <v>398</v>
      </c>
      <c r="B155" s="574">
        <v>3610</v>
      </c>
      <c r="C155" s="576">
        <v>0</v>
      </c>
      <c r="D155" s="468"/>
      <c r="E155" s="509"/>
      <c r="F155" s="468"/>
      <c r="G155" s="468"/>
      <c r="H155" s="468"/>
      <c r="I155" s="468"/>
      <c r="J155" s="468"/>
      <c r="K155" s="468"/>
    </row>
    <row r="156" spans="1:11" ht="12.75" customHeight="1" thickTop="1" thickBot="1" x14ac:dyDescent="0.25">
      <c r="A156" s="1515" t="s">
        <v>52</v>
      </c>
      <c r="B156" s="574">
        <v>3660</v>
      </c>
      <c r="C156" s="573">
        <v>0</v>
      </c>
      <c r="D156" s="578">
        <v>0</v>
      </c>
      <c r="E156" s="561"/>
      <c r="F156" s="578">
        <v>0</v>
      </c>
      <c r="G156" s="578">
        <v>0</v>
      </c>
      <c r="H156" s="468"/>
      <c r="I156" s="468"/>
      <c r="J156" s="468"/>
      <c r="K156" s="468"/>
    </row>
    <row r="157" spans="1:11" ht="12.75" customHeight="1" thickTop="1" thickBot="1" x14ac:dyDescent="0.25">
      <c r="A157" s="1515" t="s">
        <v>1057</v>
      </c>
      <c r="B157" s="574">
        <v>3695</v>
      </c>
      <c r="C157" s="576">
        <v>0</v>
      </c>
      <c r="D157" s="468"/>
      <c r="E157" s="561"/>
      <c r="F157" s="576">
        <v>0</v>
      </c>
      <c r="G157" s="576">
        <v>0</v>
      </c>
      <c r="H157" s="468"/>
      <c r="I157" s="468"/>
      <c r="J157" s="468"/>
      <c r="K157" s="468"/>
    </row>
    <row r="158" spans="1:11" ht="12.75" customHeight="1" thickTop="1" thickBot="1" x14ac:dyDescent="0.25">
      <c r="A158" s="1515" t="s">
        <v>1111</v>
      </c>
      <c r="B158" s="574">
        <v>3705</v>
      </c>
      <c r="C158" s="576">
        <v>0</v>
      </c>
      <c r="D158" s="578">
        <v>0</v>
      </c>
      <c r="E158" s="561"/>
      <c r="F158" s="576">
        <v>0</v>
      </c>
      <c r="G158" s="576">
        <v>0</v>
      </c>
      <c r="H158" s="468"/>
      <c r="I158" s="468"/>
      <c r="J158" s="468"/>
      <c r="K158" s="468"/>
    </row>
    <row r="159" spans="1:11" ht="12.75" customHeight="1" thickTop="1" thickBot="1" x14ac:dyDescent="0.25">
      <c r="A159" s="1515" t="s">
        <v>39</v>
      </c>
      <c r="B159" s="574">
        <v>3715</v>
      </c>
      <c r="C159" s="576">
        <v>0</v>
      </c>
      <c r="D159" s="468"/>
      <c r="E159" s="561"/>
      <c r="F159" s="576">
        <v>0</v>
      </c>
      <c r="G159" s="576">
        <v>0</v>
      </c>
      <c r="H159" s="468"/>
      <c r="I159" s="468"/>
      <c r="J159" s="468"/>
      <c r="K159" s="468"/>
    </row>
    <row r="160" spans="1:11" ht="12.75" customHeight="1" thickTop="1" thickBot="1" x14ac:dyDescent="0.25">
      <c r="A160" s="1515" t="s">
        <v>40</v>
      </c>
      <c r="B160" s="574">
        <v>3720</v>
      </c>
      <c r="C160" s="576">
        <v>0</v>
      </c>
      <c r="D160" s="468"/>
      <c r="E160" s="561"/>
      <c r="F160" s="576">
        <v>0</v>
      </c>
      <c r="G160" s="576">
        <v>0</v>
      </c>
      <c r="H160" s="468"/>
      <c r="I160" s="468"/>
      <c r="J160" s="468"/>
      <c r="K160" s="468"/>
    </row>
    <row r="161" spans="1:11" ht="12.75" customHeight="1" thickTop="1" thickBot="1" x14ac:dyDescent="0.25">
      <c r="A161" s="1515" t="s">
        <v>415</v>
      </c>
      <c r="B161" s="574">
        <v>3725</v>
      </c>
      <c r="C161" s="531">
        <v>0</v>
      </c>
      <c r="D161" s="468"/>
      <c r="E161" s="561"/>
      <c r="F161" s="531">
        <v>0</v>
      </c>
      <c r="G161" s="531">
        <v>0</v>
      </c>
      <c r="H161" s="468"/>
      <c r="I161" s="468"/>
      <c r="J161" s="468"/>
      <c r="K161" s="468"/>
    </row>
    <row r="162" spans="1:11" ht="12.75" customHeight="1" thickTop="1" thickBot="1" x14ac:dyDescent="0.25">
      <c r="A162" s="1515" t="s">
        <v>416</v>
      </c>
      <c r="B162" s="574">
        <v>3726</v>
      </c>
      <c r="C162" s="531">
        <v>0</v>
      </c>
      <c r="D162" s="468"/>
      <c r="E162" s="561"/>
      <c r="F162" s="531">
        <v>0</v>
      </c>
      <c r="G162" s="531">
        <v>0</v>
      </c>
      <c r="H162" s="468"/>
      <c r="I162" s="468"/>
      <c r="J162" s="468"/>
      <c r="K162" s="468"/>
    </row>
    <row r="163" spans="1:11" ht="12.75" customHeight="1" thickTop="1" thickBot="1" x14ac:dyDescent="0.25">
      <c r="A163" s="1515" t="s">
        <v>41</v>
      </c>
      <c r="B163" s="574">
        <v>3766</v>
      </c>
      <c r="C163" s="576">
        <v>0</v>
      </c>
      <c r="D163" s="578">
        <v>0</v>
      </c>
      <c r="E163" s="561"/>
      <c r="F163" s="576">
        <v>0</v>
      </c>
      <c r="G163" s="531">
        <v>0</v>
      </c>
      <c r="H163" s="468"/>
      <c r="I163" s="468"/>
      <c r="J163" s="468"/>
      <c r="K163" s="468"/>
    </row>
    <row r="164" spans="1:11" ht="12.75" customHeight="1" thickTop="1" thickBot="1" x14ac:dyDescent="0.25">
      <c r="A164" s="1515" t="s">
        <v>1042</v>
      </c>
      <c r="B164" s="574">
        <v>3767</v>
      </c>
      <c r="C164" s="576">
        <v>0</v>
      </c>
      <c r="D164" s="531">
        <v>0</v>
      </c>
      <c r="E164" s="561"/>
      <c r="F164" s="531">
        <v>0</v>
      </c>
      <c r="G164" s="531">
        <v>0</v>
      </c>
      <c r="H164" s="468"/>
      <c r="I164" s="468"/>
      <c r="J164" s="468"/>
      <c r="K164" s="468"/>
    </row>
    <row r="165" spans="1:11" ht="12.75" customHeight="1" thickTop="1" thickBot="1" x14ac:dyDescent="0.25">
      <c r="A165" s="1515"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15"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15" t="s">
        <v>913</v>
      </c>
      <c r="B167" s="574">
        <v>3815</v>
      </c>
      <c r="C167" s="576">
        <v>0</v>
      </c>
      <c r="D167" s="468"/>
      <c r="E167" s="561"/>
      <c r="F167" s="576">
        <v>0</v>
      </c>
      <c r="G167" s="468"/>
      <c r="H167" s="468"/>
      <c r="I167" s="468"/>
      <c r="J167" s="468"/>
      <c r="K167" s="468"/>
    </row>
    <row r="168" spans="1:11" ht="12.75" customHeight="1" thickTop="1" thickBot="1" x14ac:dyDescent="0.25">
      <c r="A168" s="1515" t="s">
        <v>417</v>
      </c>
      <c r="B168" s="574">
        <v>3825</v>
      </c>
      <c r="C168" s="576">
        <v>0</v>
      </c>
      <c r="D168" s="468"/>
      <c r="E168" s="561"/>
      <c r="F168" s="576">
        <v>0</v>
      </c>
      <c r="G168" s="468"/>
      <c r="H168" s="468"/>
      <c r="I168" s="468"/>
      <c r="J168" s="468"/>
      <c r="K168" s="468"/>
    </row>
    <row r="169" spans="1:11" ht="12.75" customHeight="1" thickTop="1" thickBot="1" x14ac:dyDescent="0.25">
      <c r="A169" s="1515" t="s">
        <v>366</v>
      </c>
      <c r="B169" s="574">
        <v>3920</v>
      </c>
      <c r="C169" s="566"/>
      <c r="D169" s="578">
        <v>0</v>
      </c>
      <c r="E169" s="468"/>
      <c r="F169" s="566"/>
      <c r="G169" s="468"/>
      <c r="H169" s="530">
        <v>0</v>
      </c>
      <c r="I169" s="468"/>
      <c r="J169" s="468"/>
      <c r="K169" s="468"/>
    </row>
    <row r="170" spans="1:11" ht="12.75" customHeight="1" thickTop="1" thickBot="1" x14ac:dyDescent="0.25">
      <c r="A170" s="1515" t="s">
        <v>367</v>
      </c>
      <c r="B170" s="574">
        <v>3925</v>
      </c>
      <c r="C170" s="521"/>
      <c r="D170" s="576">
        <v>0</v>
      </c>
      <c r="E170" s="521"/>
      <c r="F170" s="521"/>
      <c r="G170" s="468"/>
      <c r="H170" s="531">
        <v>0</v>
      </c>
      <c r="I170" s="468"/>
      <c r="J170" s="468"/>
      <c r="K170" s="530">
        <v>0</v>
      </c>
    </row>
    <row r="171" spans="1:11" ht="14.25" thickTop="1" thickBot="1" x14ac:dyDescent="0.25">
      <c r="A171" s="1515" t="s">
        <v>72</v>
      </c>
      <c r="B171" s="574">
        <v>3999</v>
      </c>
      <c r="C171" s="579">
        <v>3140</v>
      </c>
      <c r="D171" s="580">
        <v>0</v>
      </c>
      <c r="E171" s="580">
        <v>0</v>
      </c>
      <c r="F171" s="580">
        <v>0</v>
      </c>
      <c r="G171" s="581">
        <v>0</v>
      </c>
      <c r="H171" s="582">
        <v>0</v>
      </c>
      <c r="I171" s="581">
        <v>0</v>
      </c>
      <c r="J171" s="581">
        <v>0</v>
      </c>
      <c r="K171" s="582">
        <v>0</v>
      </c>
    </row>
    <row r="172" spans="1:11" ht="12.75" customHeight="1" thickTop="1" thickBot="1" x14ac:dyDescent="0.25">
      <c r="A172" s="2220" t="s">
        <v>418</v>
      </c>
      <c r="B172" s="2221"/>
      <c r="C172" s="1736">
        <f t="shared" ref="C172:K172" si="6">SUM(C131,C140,C144,C145:C149,C154,C155:C170,C171)</f>
        <v>1124062</v>
      </c>
      <c r="D172" s="1736">
        <f t="shared" si="6"/>
        <v>0</v>
      </c>
      <c r="E172" s="1736">
        <f t="shared" si="6"/>
        <v>0</v>
      </c>
      <c r="F172" s="1736">
        <f t="shared" si="6"/>
        <v>964350</v>
      </c>
      <c r="G172" s="1736">
        <f t="shared" si="6"/>
        <v>0</v>
      </c>
      <c r="H172" s="1736">
        <f t="shared" si="6"/>
        <v>0</v>
      </c>
      <c r="I172" s="1736">
        <f t="shared" si="6"/>
        <v>0</v>
      </c>
      <c r="J172" s="1736">
        <f t="shared" si="6"/>
        <v>0</v>
      </c>
      <c r="K172" s="1717">
        <f t="shared" si="6"/>
        <v>0</v>
      </c>
    </row>
    <row r="173" spans="1:11" ht="12.75" customHeight="1" thickTop="1" thickBot="1" x14ac:dyDescent="0.25">
      <c r="A173" s="1722" t="s">
        <v>419</v>
      </c>
      <c r="B173" s="1728" t="s">
        <v>596</v>
      </c>
      <c r="C173" s="1729">
        <f>SUM(C121,C172)</f>
        <v>6192685</v>
      </c>
      <c r="D173" s="1729">
        <f>SUM(D121,D172)</f>
        <v>0</v>
      </c>
      <c r="E173" s="1729">
        <f>SUM(E121,E172)</f>
        <v>0</v>
      </c>
      <c r="F173" s="1729">
        <f t="shared" ref="F173:K173" si="7">SUM(F121,F172)</f>
        <v>964350</v>
      </c>
      <c r="G173" s="1729">
        <f t="shared" si="7"/>
        <v>0</v>
      </c>
      <c r="H173" s="1729">
        <f t="shared" si="7"/>
        <v>0</v>
      </c>
      <c r="I173" s="1729">
        <f t="shared" si="7"/>
        <v>0</v>
      </c>
      <c r="J173" s="1729">
        <f t="shared" si="7"/>
        <v>0</v>
      </c>
      <c r="K173" s="1716">
        <f t="shared" si="7"/>
        <v>0</v>
      </c>
    </row>
    <row r="174" spans="1:11" ht="16.7" customHeight="1" thickTop="1" x14ac:dyDescent="0.2">
      <c r="A174" s="1603" t="s">
        <v>837</v>
      </c>
      <c r="B174" s="1581"/>
      <c r="C174" s="1584"/>
      <c r="D174" s="1585"/>
      <c r="E174" s="1585"/>
      <c r="F174" s="1585"/>
      <c r="G174" s="1585"/>
      <c r="H174" s="1585"/>
      <c r="I174" s="1585"/>
      <c r="J174" s="1585"/>
      <c r="K174" s="1586"/>
    </row>
    <row r="175" spans="1:11" ht="15.75" customHeight="1" x14ac:dyDescent="0.2">
      <c r="A175" s="2222" t="s">
        <v>1572</v>
      </c>
      <c r="B175" s="2223"/>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226" t="s">
        <v>1764</v>
      </c>
      <c r="B178" s="2227"/>
      <c r="C178" s="1721">
        <f>SUM(C176:C177)</f>
        <v>0</v>
      </c>
      <c r="D178" s="1721">
        <f t="shared" ref="D178:K178" si="8">SUM(D176:D177)</f>
        <v>0</v>
      </c>
      <c r="E178" s="1721">
        <f t="shared" si="8"/>
        <v>0</v>
      </c>
      <c r="F178" s="1721">
        <f t="shared" si="8"/>
        <v>0</v>
      </c>
      <c r="G178" s="1721">
        <f t="shared" si="8"/>
        <v>0</v>
      </c>
      <c r="H178" s="1721">
        <f t="shared" si="8"/>
        <v>0</v>
      </c>
      <c r="I178" s="1721">
        <f t="shared" si="8"/>
        <v>0</v>
      </c>
      <c r="J178" s="1721">
        <f t="shared" si="8"/>
        <v>0</v>
      </c>
      <c r="K178" s="1702">
        <f t="shared" si="8"/>
        <v>0</v>
      </c>
    </row>
    <row r="179" spans="1:11" s="457" customFormat="1" ht="15.75" customHeight="1" thickTop="1" x14ac:dyDescent="0.2">
      <c r="A179" s="2230" t="s">
        <v>1763</v>
      </c>
      <c r="B179" s="2231"/>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228" t="s">
        <v>818</v>
      </c>
      <c r="B184" s="2229"/>
      <c r="C184" s="1721">
        <f>SUM(C180:C183)</f>
        <v>0</v>
      </c>
      <c r="D184" s="1721">
        <f>SUM(D180:D183)</f>
        <v>0</v>
      </c>
      <c r="E184" s="468"/>
      <c r="F184" s="1721">
        <f>SUM(F180:F183)</f>
        <v>0</v>
      </c>
      <c r="G184" s="1721">
        <f>SUM(G180:G183)</f>
        <v>0</v>
      </c>
      <c r="H184" s="1721">
        <f>SUM(H180:H183)</f>
        <v>0</v>
      </c>
      <c r="I184" s="468"/>
      <c r="J184" s="468"/>
      <c r="K184" s="1702">
        <f>SUM(K180:K183)</f>
        <v>0</v>
      </c>
    </row>
    <row r="185" spans="1:11" ht="22.5" customHeight="1" thickTop="1" x14ac:dyDescent="0.2">
      <c r="A185" s="2224" t="s">
        <v>1903</v>
      </c>
      <c r="B185" s="2225"/>
      <c r="C185" s="584"/>
      <c r="D185" s="566"/>
      <c r="E185" s="509"/>
      <c r="F185" s="566"/>
      <c r="G185" s="566"/>
      <c r="H185" s="468"/>
      <c r="I185" s="468"/>
      <c r="J185" s="468"/>
      <c r="K185" s="468"/>
    </row>
    <row r="186" spans="1:11" ht="15.75" customHeight="1" x14ac:dyDescent="0.2">
      <c r="A186" s="1617" t="s">
        <v>1692</v>
      </c>
      <c r="B186" s="1618"/>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22" t="s">
        <v>1697</v>
      </c>
      <c r="B191" s="1723"/>
      <c r="C191" s="1721">
        <f>SUM(C187:C190)</f>
        <v>0</v>
      </c>
      <c r="D191" s="1721">
        <f>SUM(D187:D190)</f>
        <v>0</v>
      </c>
      <c r="E191" s="561"/>
      <c r="F191" s="1721">
        <f>SUM(F187:F190)</f>
        <v>0</v>
      </c>
      <c r="G191" s="1721">
        <f>SUM(G187:G190)</f>
        <v>0</v>
      </c>
      <c r="H191" s="468"/>
      <c r="I191" s="468"/>
      <c r="J191" s="468"/>
      <c r="K191" s="468"/>
    </row>
    <row r="192" spans="1:11" ht="15.75" customHeight="1" thickTop="1" x14ac:dyDescent="0.2">
      <c r="A192" s="1614" t="s">
        <v>475</v>
      </c>
      <c r="B192" s="1619"/>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238312</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30250</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2" t="s">
        <v>569</v>
      </c>
      <c r="B201" s="1723"/>
      <c r="C201" s="1702">
        <f>SUM(C193:C200)</f>
        <v>268562</v>
      </c>
      <c r="D201" s="468"/>
      <c r="E201" s="468"/>
      <c r="F201" s="468"/>
      <c r="G201" s="1702">
        <f>SUM(G193:G200)</f>
        <v>0</v>
      </c>
      <c r="H201" s="468"/>
      <c r="I201" s="468"/>
      <c r="J201" s="468"/>
      <c r="K201" s="468"/>
    </row>
    <row r="202" spans="1:11" ht="15.75" customHeight="1" thickTop="1" x14ac:dyDescent="0.2">
      <c r="A202" s="1614" t="s">
        <v>1200</v>
      </c>
      <c r="B202" s="1619"/>
      <c r="C202" s="553"/>
      <c r="D202" s="468"/>
      <c r="E202" s="468"/>
      <c r="F202" s="468"/>
      <c r="G202" s="468"/>
      <c r="H202" s="468"/>
      <c r="I202" s="468"/>
      <c r="J202" s="468"/>
      <c r="K202" s="468"/>
    </row>
    <row r="203" spans="1:11" ht="12.75" customHeight="1" x14ac:dyDescent="0.2">
      <c r="A203" s="463" t="s">
        <v>974</v>
      </c>
      <c r="B203" s="470">
        <v>4300</v>
      </c>
      <c r="C203" s="466">
        <v>289903</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2" t="s">
        <v>420</v>
      </c>
      <c r="B211" s="1723"/>
      <c r="C211" s="1721">
        <f>SUM(C203:C210)</f>
        <v>289903</v>
      </c>
      <c r="D211" s="1721">
        <f>SUM(D203:D210)</f>
        <v>0</v>
      </c>
      <c r="E211" s="468"/>
      <c r="F211" s="1721">
        <f>SUM(F203:F210)</f>
        <v>0</v>
      </c>
      <c r="G211" s="1721">
        <f>SUM(G203:G210)</f>
        <v>0</v>
      </c>
      <c r="H211" s="468"/>
      <c r="I211" s="468"/>
      <c r="J211" s="468"/>
      <c r="K211" s="468"/>
    </row>
    <row r="212" spans="1:11" ht="15.75" customHeight="1" thickTop="1" x14ac:dyDescent="0.2">
      <c r="A212" s="1614" t="s">
        <v>1201</v>
      </c>
      <c r="B212" s="1619"/>
      <c r="C212" s="553"/>
      <c r="D212" s="553"/>
      <c r="E212" s="468"/>
      <c r="F212" s="553"/>
      <c r="G212" s="553"/>
      <c r="H212" s="468"/>
      <c r="I212" s="468"/>
      <c r="J212" s="468"/>
      <c r="K212" s="468"/>
    </row>
    <row r="213" spans="1:11" ht="12.75" customHeight="1" x14ac:dyDescent="0.2">
      <c r="A213" s="463" t="s">
        <v>783</v>
      </c>
      <c r="B213" s="470">
        <v>4400</v>
      </c>
      <c r="C213" s="551">
        <v>2861</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2" t="s">
        <v>944</v>
      </c>
      <c r="B216" s="1723"/>
      <c r="C216" s="1721">
        <f>SUM(C213:C215)</f>
        <v>2861</v>
      </c>
      <c r="D216" s="1721">
        <f>SUM(D213:D215)</f>
        <v>0</v>
      </c>
      <c r="E216" s="468" t="s">
        <v>1231</v>
      </c>
      <c r="F216" s="1721">
        <f>SUM(F213:F215)</f>
        <v>0</v>
      </c>
      <c r="G216" s="1721">
        <f>SUM(G213:G215)</f>
        <v>0</v>
      </c>
      <c r="H216" s="468"/>
      <c r="I216" s="468"/>
      <c r="J216" s="468"/>
      <c r="K216" s="468"/>
    </row>
    <row r="217" spans="1:11" ht="15.75" customHeight="1" thickTop="1" x14ac:dyDescent="0.2">
      <c r="A217" s="1614" t="s">
        <v>1154</v>
      </c>
      <c r="B217" s="1619"/>
      <c r="C217" s="553"/>
      <c r="D217" s="553"/>
      <c r="E217" s="468"/>
      <c r="F217" s="553"/>
      <c r="G217" s="553"/>
      <c r="H217" s="468"/>
      <c r="I217" s="468"/>
      <c r="J217" s="468"/>
      <c r="K217" s="468"/>
    </row>
    <row r="218" spans="1:11" ht="12.75" customHeight="1" x14ac:dyDescent="0.2">
      <c r="A218" s="463" t="s">
        <v>1112</v>
      </c>
      <c r="B218" s="470">
        <v>4600</v>
      </c>
      <c r="C218" s="551">
        <v>0</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431934</v>
      </c>
      <c r="D220" s="466">
        <v>0</v>
      </c>
      <c r="E220" s="468"/>
      <c r="F220" s="466">
        <v>0</v>
      </c>
      <c r="G220" s="466">
        <v>0</v>
      </c>
      <c r="H220" s="468"/>
      <c r="I220" s="468"/>
      <c r="J220" s="468"/>
      <c r="K220" s="468"/>
    </row>
    <row r="221" spans="1:11" ht="12.75" customHeight="1" x14ac:dyDescent="0.2">
      <c r="A221" s="463" t="s">
        <v>1114</v>
      </c>
      <c r="B221" s="470">
        <v>4625</v>
      </c>
      <c r="C221" s="551">
        <v>72887</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16" t="s">
        <v>76</v>
      </c>
      <c r="B223" s="557">
        <v>4699</v>
      </c>
      <c r="C223" s="551">
        <v>0</v>
      </c>
      <c r="D223" s="466">
        <v>0</v>
      </c>
      <c r="E223" s="468"/>
      <c r="F223" s="466">
        <v>0</v>
      </c>
      <c r="G223" s="466">
        <v>0</v>
      </c>
      <c r="H223" s="468"/>
      <c r="I223" s="468"/>
      <c r="J223" s="468"/>
      <c r="K223" s="468"/>
    </row>
    <row r="224" spans="1:11" ht="12.75" customHeight="1" thickBot="1" x14ac:dyDescent="0.25">
      <c r="A224" s="1722" t="s">
        <v>467</v>
      </c>
      <c r="B224" s="1723"/>
      <c r="C224" s="1721">
        <f>SUM(C218:C223)</f>
        <v>504821</v>
      </c>
      <c r="D224" s="1721">
        <f>SUM(D218:D223)</f>
        <v>0</v>
      </c>
      <c r="E224" s="468"/>
      <c r="F224" s="1721">
        <f>SUM(F218:F223)</f>
        <v>0</v>
      </c>
      <c r="G224" s="1721">
        <f>SUM(G218:G223)</f>
        <v>0</v>
      </c>
      <c r="H224" s="468"/>
      <c r="I224" s="468"/>
      <c r="J224" s="468"/>
      <c r="K224" s="468"/>
    </row>
    <row r="225" spans="1:11" ht="15.75" customHeight="1" thickTop="1" x14ac:dyDescent="0.2">
      <c r="A225" s="1614" t="s">
        <v>1155</v>
      </c>
      <c r="B225" s="1619"/>
      <c r="C225" s="553"/>
      <c r="D225" s="553"/>
      <c r="E225" s="468"/>
      <c r="F225" s="553"/>
      <c r="G225" s="553"/>
      <c r="H225" s="468"/>
      <c r="I225" s="468"/>
      <c r="J225" s="468"/>
      <c r="K225" s="468"/>
    </row>
    <row r="226" spans="1:11" ht="12.75" customHeight="1" x14ac:dyDescent="0.2">
      <c r="A226" s="463" t="s">
        <v>820</v>
      </c>
      <c r="B226" s="470">
        <v>4770</v>
      </c>
      <c r="C226" s="551">
        <v>61039</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37" t="s">
        <v>1145</v>
      </c>
      <c r="B228" s="1738"/>
      <c r="C228" s="1721">
        <f>SUM(C226:C227)</f>
        <v>61039</v>
      </c>
      <c r="D228" s="1721">
        <f>SUM(D226:D227)</f>
        <v>0</v>
      </c>
      <c r="E228" s="468"/>
      <c r="F228" s="468"/>
      <c r="G228" s="1721">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39" t="s">
        <v>798</v>
      </c>
      <c r="B259" s="1740"/>
      <c r="C259" s="1732">
        <f t="shared" ref="C259:H259" si="9">SUM(C230:C258)</f>
        <v>0</v>
      </c>
      <c r="D259" s="1721">
        <f t="shared" si="9"/>
        <v>0</v>
      </c>
      <c r="E259" s="1721">
        <f t="shared" si="9"/>
        <v>0</v>
      </c>
      <c r="F259" s="1721">
        <f t="shared" si="9"/>
        <v>0</v>
      </c>
      <c r="G259" s="1721">
        <f t="shared" si="9"/>
        <v>0</v>
      </c>
      <c r="H259" s="1721">
        <f t="shared" si="9"/>
        <v>0</v>
      </c>
      <c r="I259" s="553"/>
      <c r="J259" s="1721">
        <f>SUM(J230:J258)</f>
        <v>0</v>
      </c>
      <c r="K259" s="1702">
        <f>SUM(K230:K258)</f>
        <v>0</v>
      </c>
    </row>
    <row r="260" spans="1:11" ht="12.75" customHeight="1" thickTop="1" thickBot="1" x14ac:dyDescent="0.25">
      <c r="A260" s="1517" t="s">
        <v>1493</v>
      </c>
      <c r="B260" s="588">
        <v>4901</v>
      </c>
      <c r="C260" s="589">
        <v>0</v>
      </c>
      <c r="D260" s="469"/>
      <c r="E260" s="468"/>
      <c r="F260" s="468"/>
      <c r="G260" s="468"/>
      <c r="H260" s="468"/>
      <c r="I260" s="468"/>
      <c r="J260" s="468"/>
      <c r="K260" s="468"/>
    </row>
    <row r="261" spans="1:11" ht="12.75" customHeight="1" thickTop="1" thickBot="1" x14ac:dyDescent="0.25">
      <c r="A261" s="1518"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51250</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14063</v>
      </c>
      <c r="D270" s="576">
        <v>0</v>
      </c>
      <c r="E270" s="468"/>
      <c r="F270" s="576">
        <v>0</v>
      </c>
      <c r="G270" s="576">
        <v>0</v>
      </c>
      <c r="H270" s="468"/>
      <c r="I270" s="468"/>
      <c r="J270" s="468"/>
      <c r="K270" s="468"/>
    </row>
    <row r="271" spans="1:11" ht="12.75" customHeight="1" thickTop="1" thickBot="1" x14ac:dyDescent="0.25">
      <c r="A271" s="463" t="s">
        <v>395</v>
      </c>
      <c r="B271" s="470">
        <v>4992</v>
      </c>
      <c r="C271" s="575">
        <v>145635</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22" t="s">
        <v>1765</v>
      </c>
      <c r="B273" s="1741"/>
      <c r="C273" s="1729">
        <f t="shared" ref="C273:H273" si="10">SUM(C191,C201,C211,C216,C224,C228,C229,C259:C272)</f>
        <v>1338134</v>
      </c>
      <c r="D273" s="1729">
        <f t="shared" si="10"/>
        <v>0</v>
      </c>
      <c r="E273" s="1729">
        <f t="shared" si="10"/>
        <v>0</v>
      </c>
      <c r="F273" s="1729">
        <f t="shared" si="10"/>
        <v>0</v>
      </c>
      <c r="G273" s="1729">
        <f t="shared" si="10"/>
        <v>0</v>
      </c>
      <c r="H273" s="1729">
        <f t="shared" si="10"/>
        <v>0</v>
      </c>
      <c r="I273" s="468"/>
      <c r="J273" s="1729">
        <f>SUM(J191,J201,J211,J216,J224,J228,J229,J259:J272)</f>
        <v>0</v>
      </c>
      <c r="K273" s="1716">
        <f>SUM(K191,K201,K211,K216,K224,K228,K229,K259:K272)</f>
        <v>0</v>
      </c>
    </row>
    <row r="274" spans="1:11" ht="14.25" thickTop="1" thickBot="1" x14ac:dyDescent="0.25">
      <c r="A274" s="1742" t="s">
        <v>1147</v>
      </c>
      <c r="B274" s="1743" t="s">
        <v>915</v>
      </c>
      <c r="C274" s="1729">
        <f>SUM(C178,C184,C273)</f>
        <v>1338134</v>
      </c>
      <c r="D274" s="1729">
        <f>SUM(D178,D184,D273)</f>
        <v>0</v>
      </c>
      <c r="E274" s="1729">
        <f>SUM(E178,E273)</f>
        <v>0</v>
      </c>
      <c r="F274" s="1729">
        <f t="shared" ref="F274:K274" si="11">SUM(F178,F184,F273)</f>
        <v>0</v>
      </c>
      <c r="G274" s="1729">
        <f t="shared" si="11"/>
        <v>0</v>
      </c>
      <c r="H274" s="1729">
        <f t="shared" si="11"/>
        <v>0</v>
      </c>
      <c r="I274" s="1729">
        <f t="shared" si="11"/>
        <v>0</v>
      </c>
      <c r="J274" s="1729">
        <f t="shared" si="11"/>
        <v>0</v>
      </c>
      <c r="K274" s="1716">
        <f t="shared" si="11"/>
        <v>0</v>
      </c>
    </row>
    <row r="275" spans="1:11" ht="14.25" thickTop="1" thickBot="1" x14ac:dyDescent="0.25">
      <c r="A275" s="1744" t="s">
        <v>269</v>
      </c>
      <c r="B275" s="1745"/>
      <c r="C275" s="1729">
        <f t="shared" ref="C275:K275" si="12">SUM(C109,C114,C173,C274)</f>
        <v>29278788</v>
      </c>
      <c r="D275" s="1729">
        <f t="shared" si="12"/>
        <v>2578191</v>
      </c>
      <c r="E275" s="1729">
        <f t="shared" si="12"/>
        <v>4372760</v>
      </c>
      <c r="F275" s="1729">
        <f t="shared" si="12"/>
        <v>1490517</v>
      </c>
      <c r="G275" s="1729">
        <f t="shared" si="12"/>
        <v>896676</v>
      </c>
      <c r="H275" s="1729">
        <f t="shared" si="12"/>
        <v>112534</v>
      </c>
      <c r="I275" s="1729">
        <f t="shared" si="12"/>
        <v>113328</v>
      </c>
      <c r="J275" s="1729">
        <f t="shared" si="12"/>
        <v>150702</v>
      </c>
      <c r="K275" s="1716">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7" type="noConversion"/>
  <printOptions headings="1" gridLines="1"/>
  <pageMargins left="0.25" right="0.15" top="0.66" bottom="0.46" header="0.43"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colorId="8" zoomScale="110" zoomScaleNormal="110" workbookViewId="0">
      <pane ySplit="2" topLeftCell="A357" activePane="bottomLeft" state="frozen"/>
      <selection pane="bottomLeft" activeCell="A3" sqref="A3:B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200"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3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40" t="s">
        <v>315</v>
      </c>
      <c r="B3" s="2241"/>
      <c r="C3" s="1562"/>
      <c r="D3" s="1562"/>
      <c r="E3" s="1562"/>
      <c r="F3" s="1562"/>
      <c r="G3" s="1562"/>
      <c r="H3" s="1562"/>
      <c r="I3" s="1562"/>
      <c r="J3" s="1562"/>
      <c r="K3" s="1563"/>
      <c r="L3" s="1564"/>
      <c r="M3" s="610"/>
      <c r="N3" s="610"/>
    </row>
    <row r="4" spans="1:14" s="259" customFormat="1" ht="15.75" customHeight="1" x14ac:dyDescent="0.2">
      <c r="A4" s="1620" t="s">
        <v>46</v>
      </c>
      <c r="B4" s="1621" t="s">
        <v>591</v>
      </c>
      <c r="C4" s="611"/>
      <c r="D4" s="611"/>
      <c r="E4" s="611"/>
      <c r="F4" s="611"/>
      <c r="G4" s="611"/>
      <c r="H4" s="611"/>
      <c r="I4" s="612"/>
      <c r="J4" s="611"/>
      <c r="K4" s="613"/>
      <c r="L4" s="611"/>
      <c r="M4" s="614"/>
      <c r="N4" s="614"/>
    </row>
    <row r="5" spans="1:14" x14ac:dyDescent="0.2">
      <c r="A5" s="1519" t="s">
        <v>1018</v>
      </c>
      <c r="B5" s="615">
        <v>1100</v>
      </c>
      <c r="C5" s="466">
        <v>8402981</v>
      </c>
      <c r="D5" s="466">
        <v>1841596</v>
      </c>
      <c r="E5" s="466">
        <v>173767</v>
      </c>
      <c r="F5" s="466">
        <v>352399</v>
      </c>
      <c r="G5" s="466">
        <v>0</v>
      </c>
      <c r="H5" s="466">
        <v>0</v>
      </c>
      <c r="I5" s="467">
        <v>85282</v>
      </c>
      <c r="J5" s="467">
        <v>0</v>
      </c>
      <c r="K5" s="1685">
        <f>SUM(C5:J5)</f>
        <v>10856025</v>
      </c>
      <c r="L5" s="466">
        <v>10439975</v>
      </c>
    </row>
    <row r="6" spans="1:14" x14ac:dyDescent="0.2">
      <c r="A6" s="1519" t="s">
        <v>1508</v>
      </c>
      <c r="B6" s="615" t="s">
        <v>1506</v>
      </c>
      <c r="C6" s="477"/>
      <c r="D6" s="477"/>
      <c r="E6" s="466">
        <v>0</v>
      </c>
      <c r="F6" s="477"/>
      <c r="G6" s="477"/>
      <c r="H6" s="477"/>
      <c r="I6" s="477"/>
      <c r="J6" s="477"/>
      <c r="K6" s="1685">
        <f>SUM(C6,E6)</f>
        <v>0</v>
      </c>
      <c r="L6" s="466">
        <v>0</v>
      </c>
    </row>
    <row r="7" spans="1:14" x14ac:dyDescent="0.2">
      <c r="A7" s="1519" t="s">
        <v>165</v>
      </c>
      <c r="B7" s="615" t="s">
        <v>1024</v>
      </c>
      <c r="C7" s="467">
        <v>0</v>
      </c>
      <c r="D7" s="467">
        <v>0</v>
      </c>
      <c r="E7" s="467">
        <v>0</v>
      </c>
      <c r="F7" s="467">
        <v>0</v>
      </c>
      <c r="G7" s="467">
        <v>0</v>
      </c>
      <c r="H7" s="467">
        <v>0</v>
      </c>
      <c r="I7" s="467">
        <v>0</v>
      </c>
      <c r="J7" s="467">
        <v>0</v>
      </c>
      <c r="K7" s="1685">
        <f t="shared" ref="K7:K32" si="0">SUM(C7:J7)</f>
        <v>0</v>
      </c>
      <c r="L7" s="466">
        <v>0</v>
      </c>
    </row>
    <row r="8" spans="1:14" x14ac:dyDescent="0.2">
      <c r="A8" s="1519" t="s">
        <v>166</v>
      </c>
      <c r="B8" s="615">
        <v>1200</v>
      </c>
      <c r="C8" s="466">
        <v>2514760</v>
      </c>
      <c r="D8" s="466">
        <v>518534</v>
      </c>
      <c r="E8" s="466">
        <v>4707</v>
      </c>
      <c r="F8" s="466">
        <v>24306</v>
      </c>
      <c r="G8" s="466">
        <v>0</v>
      </c>
      <c r="H8" s="466">
        <v>8782</v>
      </c>
      <c r="I8" s="467">
        <v>2424</v>
      </c>
      <c r="J8" s="467">
        <v>0</v>
      </c>
      <c r="K8" s="1685">
        <f t="shared" si="0"/>
        <v>3073513</v>
      </c>
      <c r="L8" s="466">
        <v>3647374</v>
      </c>
    </row>
    <row r="9" spans="1:14" x14ac:dyDescent="0.2">
      <c r="A9" s="1519" t="s">
        <v>745</v>
      </c>
      <c r="B9" s="615" t="s">
        <v>1025</v>
      </c>
      <c r="C9" s="467">
        <v>0</v>
      </c>
      <c r="D9" s="467">
        <v>0</v>
      </c>
      <c r="E9" s="467">
        <v>0</v>
      </c>
      <c r="F9" s="467">
        <v>0</v>
      </c>
      <c r="G9" s="467">
        <v>0</v>
      </c>
      <c r="H9" s="467">
        <v>0</v>
      </c>
      <c r="I9" s="467">
        <v>0</v>
      </c>
      <c r="J9" s="467">
        <v>0</v>
      </c>
      <c r="K9" s="1685">
        <f t="shared" si="0"/>
        <v>0</v>
      </c>
      <c r="L9" s="466">
        <v>0</v>
      </c>
    </row>
    <row r="10" spans="1:14" x14ac:dyDescent="0.2">
      <c r="A10" s="1519" t="s">
        <v>746</v>
      </c>
      <c r="B10" s="615">
        <v>1250</v>
      </c>
      <c r="C10" s="466">
        <v>216437</v>
      </c>
      <c r="D10" s="466">
        <v>14786</v>
      </c>
      <c r="E10" s="466">
        <v>0</v>
      </c>
      <c r="F10" s="466">
        <v>17828</v>
      </c>
      <c r="G10" s="466">
        <v>0</v>
      </c>
      <c r="H10" s="466">
        <v>0</v>
      </c>
      <c r="I10" s="467">
        <v>6842</v>
      </c>
      <c r="J10" s="467">
        <v>0</v>
      </c>
      <c r="K10" s="1685">
        <f t="shared" si="0"/>
        <v>255893</v>
      </c>
      <c r="L10" s="466">
        <v>264894</v>
      </c>
    </row>
    <row r="11" spans="1:14" x14ac:dyDescent="0.2">
      <c r="A11" s="1519" t="s">
        <v>1192</v>
      </c>
      <c r="B11" s="615" t="s">
        <v>163</v>
      </c>
      <c r="C11" s="467">
        <v>0</v>
      </c>
      <c r="D11" s="467">
        <v>0</v>
      </c>
      <c r="E11" s="467">
        <v>0</v>
      </c>
      <c r="F11" s="467">
        <v>0</v>
      </c>
      <c r="G11" s="467">
        <v>0</v>
      </c>
      <c r="H11" s="467">
        <v>0</v>
      </c>
      <c r="I11" s="467">
        <v>0</v>
      </c>
      <c r="J11" s="467">
        <v>0</v>
      </c>
      <c r="K11" s="1685">
        <f t="shared" si="0"/>
        <v>0</v>
      </c>
      <c r="L11" s="466">
        <v>0</v>
      </c>
    </row>
    <row r="12" spans="1:14" x14ac:dyDescent="0.2">
      <c r="A12" s="1519" t="s">
        <v>1019</v>
      </c>
      <c r="B12" s="615">
        <v>1300</v>
      </c>
      <c r="C12" s="466">
        <v>0</v>
      </c>
      <c r="D12" s="466">
        <v>0</v>
      </c>
      <c r="E12" s="466">
        <v>0</v>
      </c>
      <c r="F12" s="466">
        <v>0</v>
      </c>
      <c r="G12" s="466">
        <v>0</v>
      </c>
      <c r="H12" s="466">
        <v>0</v>
      </c>
      <c r="I12" s="467">
        <v>0</v>
      </c>
      <c r="J12" s="467">
        <v>0</v>
      </c>
      <c r="K12" s="1685">
        <f t="shared" si="0"/>
        <v>0</v>
      </c>
      <c r="L12" s="466">
        <v>0</v>
      </c>
    </row>
    <row r="13" spans="1:14" x14ac:dyDescent="0.2">
      <c r="A13" s="1519" t="s">
        <v>747</v>
      </c>
      <c r="B13" s="615">
        <v>1400</v>
      </c>
      <c r="C13" s="466">
        <v>4873</v>
      </c>
      <c r="D13" s="466">
        <v>27</v>
      </c>
      <c r="E13" s="466">
        <v>20902</v>
      </c>
      <c r="F13" s="466">
        <v>9728</v>
      </c>
      <c r="G13" s="466">
        <v>39957</v>
      </c>
      <c r="H13" s="466">
        <v>0</v>
      </c>
      <c r="I13" s="467">
        <v>43844</v>
      </c>
      <c r="J13" s="467">
        <v>0</v>
      </c>
      <c r="K13" s="1685">
        <f t="shared" si="0"/>
        <v>119331</v>
      </c>
      <c r="L13" s="466">
        <v>88039</v>
      </c>
    </row>
    <row r="14" spans="1:14" x14ac:dyDescent="0.2">
      <c r="A14" s="1519" t="s">
        <v>1020</v>
      </c>
      <c r="B14" s="615">
        <v>1500</v>
      </c>
      <c r="C14" s="466">
        <v>570749</v>
      </c>
      <c r="D14" s="466">
        <v>6761</v>
      </c>
      <c r="E14" s="466">
        <v>106031</v>
      </c>
      <c r="F14" s="466">
        <v>52369</v>
      </c>
      <c r="G14" s="466">
        <v>0</v>
      </c>
      <c r="H14" s="466">
        <v>5270</v>
      </c>
      <c r="I14" s="467">
        <v>18319</v>
      </c>
      <c r="J14" s="467">
        <v>0</v>
      </c>
      <c r="K14" s="1685">
        <f t="shared" si="0"/>
        <v>759499</v>
      </c>
      <c r="L14" s="466">
        <v>765880</v>
      </c>
    </row>
    <row r="15" spans="1:14" x14ac:dyDescent="0.2">
      <c r="A15" s="1519" t="s">
        <v>1021</v>
      </c>
      <c r="B15" s="615">
        <v>1600</v>
      </c>
      <c r="C15" s="466">
        <v>44660</v>
      </c>
      <c r="D15" s="466">
        <v>939</v>
      </c>
      <c r="E15" s="466">
        <v>0</v>
      </c>
      <c r="F15" s="466">
        <v>0</v>
      </c>
      <c r="G15" s="466">
        <v>0</v>
      </c>
      <c r="H15" s="466">
        <v>0</v>
      </c>
      <c r="I15" s="467">
        <v>0</v>
      </c>
      <c r="J15" s="467">
        <v>0</v>
      </c>
      <c r="K15" s="1685">
        <f t="shared" si="0"/>
        <v>45599</v>
      </c>
      <c r="L15" s="466">
        <v>71030</v>
      </c>
    </row>
    <row r="16" spans="1:14" x14ac:dyDescent="0.2">
      <c r="A16" s="1519" t="s">
        <v>1044</v>
      </c>
      <c r="B16" s="615" t="s">
        <v>444</v>
      </c>
      <c r="C16" s="466">
        <v>0</v>
      </c>
      <c r="D16" s="466">
        <v>0</v>
      </c>
      <c r="E16" s="466">
        <v>0</v>
      </c>
      <c r="F16" s="466">
        <v>0</v>
      </c>
      <c r="G16" s="466">
        <v>0</v>
      </c>
      <c r="H16" s="466">
        <v>0</v>
      </c>
      <c r="I16" s="467">
        <v>0</v>
      </c>
      <c r="J16" s="467">
        <v>0</v>
      </c>
      <c r="K16" s="1685">
        <f t="shared" si="0"/>
        <v>0</v>
      </c>
      <c r="L16" s="466">
        <v>0</v>
      </c>
    </row>
    <row r="17" spans="1:12" x14ac:dyDescent="0.2">
      <c r="A17" s="1519" t="s">
        <v>748</v>
      </c>
      <c r="B17" s="615" t="s">
        <v>164</v>
      </c>
      <c r="C17" s="467">
        <v>249125</v>
      </c>
      <c r="D17" s="467">
        <v>24705</v>
      </c>
      <c r="E17" s="467">
        <v>471</v>
      </c>
      <c r="F17" s="467">
        <v>3419</v>
      </c>
      <c r="G17" s="467">
        <v>0</v>
      </c>
      <c r="H17" s="467">
        <v>0</v>
      </c>
      <c r="I17" s="467">
        <v>0</v>
      </c>
      <c r="J17" s="467">
        <v>0</v>
      </c>
      <c r="K17" s="1685">
        <f t="shared" si="0"/>
        <v>277720</v>
      </c>
      <c r="L17" s="466">
        <v>286418</v>
      </c>
    </row>
    <row r="18" spans="1:12" x14ac:dyDescent="0.2">
      <c r="A18" s="1519" t="s">
        <v>1148</v>
      </c>
      <c r="B18" s="615">
        <v>1800</v>
      </c>
      <c r="C18" s="466">
        <v>0</v>
      </c>
      <c r="D18" s="466">
        <v>0</v>
      </c>
      <c r="E18" s="466">
        <v>0</v>
      </c>
      <c r="F18" s="466">
        <v>0</v>
      </c>
      <c r="G18" s="466">
        <v>0</v>
      </c>
      <c r="H18" s="466">
        <v>0</v>
      </c>
      <c r="I18" s="467">
        <v>0</v>
      </c>
      <c r="J18" s="467">
        <v>0</v>
      </c>
      <c r="K18" s="1685">
        <f t="shared" si="0"/>
        <v>0</v>
      </c>
      <c r="L18" s="466">
        <v>0</v>
      </c>
    </row>
    <row r="19" spans="1:12" x14ac:dyDescent="0.2">
      <c r="A19" s="1519" t="s">
        <v>136</v>
      </c>
      <c r="B19" s="615">
        <v>1900</v>
      </c>
      <c r="C19" s="466">
        <v>0</v>
      </c>
      <c r="D19" s="466">
        <v>0</v>
      </c>
      <c r="E19" s="466">
        <v>0</v>
      </c>
      <c r="F19" s="466">
        <v>0</v>
      </c>
      <c r="G19" s="466">
        <v>0</v>
      </c>
      <c r="H19" s="466">
        <v>0</v>
      </c>
      <c r="I19" s="467">
        <v>0</v>
      </c>
      <c r="J19" s="467">
        <v>0</v>
      </c>
      <c r="K19" s="1685">
        <f t="shared" si="0"/>
        <v>0</v>
      </c>
      <c r="L19" s="466">
        <v>0</v>
      </c>
    </row>
    <row r="20" spans="1:12" x14ac:dyDescent="0.2">
      <c r="A20" s="1520" t="s">
        <v>762</v>
      </c>
      <c r="B20" s="603" t="s">
        <v>749</v>
      </c>
      <c r="C20" s="477"/>
      <c r="D20" s="477"/>
      <c r="E20" s="477"/>
      <c r="F20" s="477"/>
      <c r="G20" s="477"/>
      <c r="H20" s="474">
        <v>0</v>
      </c>
      <c r="I20" s="617"/>
      <c r="J20" s="475"/>
      <c r="K20" s="1685">
        <f t="shared" si="0"/>
        <v>0</v>
      </c>
      <c r="L20" s="471">
        <v>0</v>
      </c>
    </row>
    <row r="21" spans="1:12" x14ac:dyDescent="0.2">
      <c r="A21" s="1520" t="s">
        <v>763</v>
      </c>
      <c r="B21" s="603" t="s">
        <v>750</v>
      </c>
      <c r="C21" s="477"/>
      <c r="D21" s="477"/>
      <c r="E21" s="477"/>
      <c r="F21" s="477"/>
      <c r="G21" s="477"/>
      <c r="H21" s="474">
        <v>9606</v>
      </c>
      <c r="I21" s="617"/>
      <c r="J21" s="477"/>
      <c r="K21" s="1685">
        <f t="shared" si="0"/>
        <v>9606</v>
      </c>
      <c r="L21" s="471">
        <v>18500</v>
      </c>
    </row>
    <row r="22" spans="1:12" x14ac:dyDescent="0.2">
      <c r="A22" s="1520" t="s">
        <v>764</v>
      </c>
      <c r="B22" s="603" t="s">
        <v>751</v>
      </c>
      <c r="C22" s="477"/>
      <c r="D22" s="477"/>
      <c r="E22" s="477"/>
      <c r="F22" s="477"/>
      <c r="G22" s="477"/>
      <c r="H22" s="474">
        <v>1554592</v>
      </c>
      <c r="I22" s="617"/>
      <c r="J22" s="477"/>
      <c r="K22" s="1685">
        <f t="shared" si="0"/>
        <v>1554592</v>
      </c>
      <c r="L22" s="471">
        <v>1768000</v>
      </c>
    </row>
    <row r="23" spans="1:12" x14ac:dyDescent="0.2">
      <c r="A23" s="1520" t="s">
        <v>765</v>
      </c>
      <c r="B23" s="603" t="s">
        <v>752</v>
      </c>
      <c r="C23" s="477"/>
      <c r="D23" s="477"/>
      <c r="E23" s="477"/>
      <c r="F23" s="477"/>
      <c r="G23" s="477"/>
      <c r="H23" s="474">
        <v>0</v>
      </c>
      <c r="I23" s="617"/>
      <c r="J23" s="477"/>
      <c r="K23" s="1685">
        <f t="shared" si="0"/>
        <v>0</v>
      </c>
      <c r="L23" s="471">
        <v>0</v>
      </c>
    </row>
    <row r="24" spans="1:12" ht="12.75" customHeight="1" x14ac:dyDescent="0.2">
      <c r="A24" s="1520" t="s">
        <v>766</v>
      </c>
      <c r="B24" s="603" t="s">
        <v>753</v>
      </c>
      <c r="C24" s="477"/>
      <c r="D24" s="477"/>
      <c r="E24" s="477"/>
      <c r="F24" s="477"/>
      <c r="G24" s="477"/>
      <c r="H24" s="474">
        <v>0</v>
      </c>
      <c r="I24" s="617"/>
      <c r="J24" s="477"/>
      <c r="K24" s="1685">
        <f t="shared" si="0"/>
        <v>0</v>
      </c>
      <c r="L24" s="471">
        <v>0</v>
      </c>
    </row>
    <row r="25" spans="1:12" ht="12.75" customHeight="1" x14ac:dyDescent="0.2">
      <c r="A25" s="1520" t="s">
        <v>835</v>
      </c>
      <c r="B25" s="603" t="s">
        <v>754</v>
      </c>
      <c r="C25" s="477"/>
      <c r="D25" s="477"/>
      <c r="E25" s="477"/>
      <c r="F25" s="477"/>
      <c r="G25" s="477"/>
      <c r="H25" s="474">
        <v>0</v>
      </c>
      <c r="I25" s="617"/>
      <c r="J25" s="477"/>
      <c r="K25" s="1685">
        <f t="shared" si="0"/>
        <v>0</v>
      </c>
      <c r="L25" s="471">
        <v>0</v>
      </c>
    </row>
    <row r="26" spans="1:12" x14ac:dyDescent="0.2">
      <c r="A26" s="1520" t="s">
        <v>643</v>
      </c>
      <c r="B26" s="603" t="s">
        <v>755</v>
      </c>
      <c r="C26" s="477"/>
      <c r="D26" s="477"/>
      <c r="E26" s="477"/>
      <c r="F26" s="477"/>
      <c r="G26" s="477"/>
      <c r="H26" s="474">
        <v>0</v>
      </c>
      <c r="I26" s="617"/>
      <c r="J26" s="477"/>
      <c r="K26" s="1685">
        <f t="shared" si="0"/>
        <v>0</v>
      </c>
      <c r="L26" s="471">
        <v>0</v>
      </c>
    </row>
    <row r="27" spans="1:12" x14ac:dyDescent="0.2">
      <c r="A27" s="1520" t="s">
        <v>644</v>
      </c>
      <c r="B27" s="603" t="s">
        <v>756</v>
      </c>
      <c r="C27" s="477"/>
      <c r="D27" s="477"/>
      <c r="E27" s="477"/>
      <c r="F27" s="477"/>
      <c r="G27" s="477"/>
      <c r="H27" s="474">
        <v>0</v>
      </c>
      <c r="I27" s="617"/>
      <c r="J27" s="477"/>
      <c r="K27" s="1685">
        <f t="shared" si="0"/>
        <v>0</v>
      </c>
      <c r="L27" s="471">
        <v>0</v>
      </c>
    </row>
    <row r="28" spans="1:12" x14ac:dyDescent="0.2">
      <c r="A28" s="1520" t="s">
        <v>152</v>
      </c>
      <c r="B28" s="603" t="s">
        <v>757</v>
      </c>
      <c r="C28" s="477"/>
      <c r="D28" s="477"/>
      <c r="E28" s="477"/>
      <c r="F28" s="477"/>
      <c r="G28" s="477"/>
      <c r="H28" s="474">
        <v>0</v>
      </c>
      <c r="I28" s="617"/>
      <c r="J28" s="477"/>
      <c r="K28" s="1685">
        <f t="shared" si="0"/>
        <v>0</v>
      </c>
      <c r="L28" s="471">
        <v>0</v>
      </c>
    </row>
    <row r="29" spans="1:12" x14ac:dyDescent="0.2">
      <c r="A29" s="1520" t="s">
        <v>153</v>
      </c>
      <c r="B29" s="603" t="s">
        <v>758</v>
      </c>
      <c r="C29" s="477"/>
      <c r="D29" s="477"/>
      <c r="E29" s="477"/>
      <c r="F29" s="477"/>
      <c r="G29" s="477"/>
      <c r="H29" s="474">
        <v>0</v>
      </c>
      <c r="I29" s="617"/>
      <c r="J29" s="477"/>
      <c r="K29" s="1685">
        <f t="shared" si="0"/>
        <v>0</v>
      </c>
      <c r="L29" s="471">
        <v>0</v>
      </c>
    </row>
    <row r="30" spans="1:12" x14ac:dyDescent="0.2">
      <c r="A30" s="1520" t="s">
        <v>154</v>
      </c>
      <c r="B30" s="603" t="s">
        <v>759</v>
      </c>
      <c r="C30" s="477"/>
      <c r="D30" s="477"/>
      <c r="E30" s="477"/>
      <c r="F30" s="477"/>
      <c r="G30" s="477"/>
      <c r="H30" s="474">
        <v>0</v>
      </c>
      <c r="I30" s="617"/>
      <c r="J30" s="477"/>
      <c r="K30" s="1685">
        <f t="shared" si="0"/>
        <v>0</v>
      </c>
      <c r="L30" s="471">
        <v>0</v>
      </c>
    </row>
    <row r="31" spans="1:12" x14ac:dyDescent="0.2">
      <c r="A31" s="1520" t="s">
        <v>155</v>
      </c>
      <c r="B31" s="603" t="s">
        <v>760</v>
      </c>
      <c r="C31" s="477"/>
      <c r="D31" s="477"/>
      <c r="E31" s="477"/>
      <c r="F31" s="477"/>
      <c r="G31" s="477"/>
      <c r="H31" s="474">
        <v>0</v>
      </c>
      <c r="I31" s="617"/>
      <c r="J31" s="477"/>
      <c r="K31" s="1685">
        <f t="shared" si="0"/>
        <v>0</v>
      </c>
      <c r="L31" s="471">
        <v>0</v>
      </c>
    </row>
    <row r="32" spans="1:12" x14ac:dyDescent="0.2">
      <c r="A32" s="1521" t="s">
        <v>1191</v>
      </c>
      <c r="B32" s="615" t="s">
        <v>761</v>
      </c>
      <c r="C32" s="477"/>
      <c r="D32" s="477"/>
      <c r="E32" s="477"/>
      <c r="F32" s="477"/>
      <c r="G32" s="477"/>
      <c r="H32" s="474">
        <v>0</v>
      </c>
      <c r="I32" s="617"/>
      <c r="J32" s="480"/>
      <c r="K32" s="1685">
        <f t="shared" si="0"/>
        <v>0</v>
      </c>
      <c r="L32" s="471">
        <v>0</v>
      </c>
    </row>
    <row r="33" spans="1:14" ht="12.75" customHeight="1" thickBot="1" x14ac:dyDescent="0.25">
      <c r="A33" s="1682" t="s">
        <v>1767</v>
      </c>
      <c r="B33" s="1683" t="s">
        <v>591</v>
      </c>
      <c r="C33" s="1684">
        <f>SUM(C5:C32)</f>
        <v>12003585</v>
      </c>
      <c r="D33" s="1684">
        <f t="shared" ref="D33:L33" si="1">SUM(D5:D32)</f>
        <v>2407348</v>
      </c>
      <c r="E33" s="1684">
        <f t="shared" si="1"/>
        <v>305878</v>
      </c>
      <c r="F33" s="1684">
        <f t="shared" si="1"/>
        <v>460049</v>
      </c>
      <c r="G33" s="1684">
        <f t="shared" si="1"/>
        <v>39957</v>
      </c>
      <c r="H33" s="1684">
        <f t="shared" si="1"/>
        <v>1578250</v>
      </c>
      <c r="I33" s="1684">
        <f t="shared" si="1"/>
        <v>156711</v>
      </c>
      <c r="J33" s="1684">
        <f t="shared" si="1"/>
        <v>0</v>
      </c>
      <c r="K33" s="1684">
        <f t="shared" si="1"/>
        <v>16951778</v>
      </c>
      <c r="L33" s="1684">
        <f t="shared" si="1"/>
        <v>17350110</v>
      </c>
    </row>
    <row r="34" spans="1:14" s="621" customFormat="1" ht="15.75" customHeight="1" thickTop="1" x14ac:dyDescent="0.2">
      <c r="A34" s="1622" t="s">
        <v>48</v>
      </c>
      <c r="B34" s="1623"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19" t="s">
        <v>1150</v>
      </c>
      <c r="B36" s="615">
        <v>2110</v>
      </c>
      <c r="C36" s="481">
        <v>264057</v>
      </c>
      <c r="D36" s="481">
        <v>37086</v>
      </c>
      <c r="E36" s="481">
        <v>0</v>
      </c>
      <c r="F36" s="481">
        <v>0</v>
      </c>
      <c r="G36" s="481">
        <v>0</v>
      </c>
      <c r="H36" s="481">
        <v>0</v>
      </c>
      <c r="I36" s="467">
        <v>0</v>
      </c>
      <c r="J36" s="467">
        <v>0</v>
      </c>
      <c r="K36" s="1685">
        <f t="shared" ref="K36:K41" si="2">SUM(C36:J36)</f>
        <v>301143</v>
      </c>
      <c r="L36" s="466">
        <v>335838</v>
      </c>
    </row>
    <row r="37" spans="1:14" x14ac:dyDescent="0.2">
      <c r="A37" s="1519" t="s">
        <v>1151</v>
      </c>
      <c r="B37" s="615">
        <v>2120</v>
      </c>
      <c r="C37" s="466">
        <v>684315</v>
      </c>
      <c r="D37" s="466">
        <v>98026</v>
      </c>
      <c r="E37" s="466">
        <v>45</v>
      </c>
      <c r="F37" s="466">
        <v>2977</v>
      </c>
      <c r="G37" s="466">
        <v>0</v>
      </c>
      <c r="H37" s="466">
        <v>0</v>
      </c>
      <c r="I37" s="467">
        <v>0</v>
      </c>
      <c r="J37" s="467">
        <v>0</v>
      </c>
      <c r="K37" s="1685">
        <f t="shared" si="2"/>
        <v>785363</v>
      </c>
      <c r="L37" s="466">
        <v>825811</v>
      </c>
    </row>
    <row r="38" spans="1:14" x14ac:dyDescent="0.2">
      <c r="A38" s="1519" t="s">
        <v>207</v>
      </c>
      <c r="B38" s="615">
        <v>2130</v>
      </c>
      <c r="C38" s="466">
        <v>63086</v>
      </c>
      <c r="D38" s="466">
        <v>24712</v>
      </c>
      <c r="E38" s="466">
        <v>349</v>
      </c>
      <c r="F38" s="466">
        <v>171</v>
      </c>
      <c r="G38" s="466">
        <v>0</v>
      </c>
      <c r="H38" s="466">
        <v>0</v>
      </c>
      <c r="I38" s="467">
        <v>0</v>
      </c>
      <c r="J38" s="467">
        <v>0</v>
      </c>
      <c r="K38" s="1685">
        <f t="shared" si="2"/>
        <v>88318</v>
      </c>
      <c r="L38" s="466">
        <v>105355</v>
      </c>
    </row>
    <row r="39" spans="1:14" x14ac:dyDescent="0.2">
      <c r="A39" s="1519" t="s">
        <v>208</v>
      </c>
      <c r="B39" s="615">
        <v>2140</v>
      </c>
      <c r="C39" s="466">
        <v>223329</v>
      </c>
      <c r="D39" s="466">
        <v>43429</v>
      </c>
      <c r="E39" s="466">
        <v>11200</v>
      </c>
      <c r="F39" s="466">
        <v>0</v>
      </c>
      <c r="G39" s="466">
        <v>0</v>
      </c>
      <c r="H39" s="466">
        <v>0</v>
      </c>
      <c r="I39" s="467">
        <v>0</v>
      </c>
      <c r="J39" s="467">
        <v>0</v>
      </c>
      <c r="K39" s="1685">
        <f t="shared" si="2"/>
        <v>277958</v>
      </c>
      <c r="L39" s="466">
        <v>279521</v>
      </c>
    </row>
    <row r="40" spans="1:14" x14ac:dyDescent="0.2">
      <c r="A40" s="1519" t="s">
        <v>209</v>
      </c>
      <c r="B40" s="615">
        <v>2150</v>
      </c>
      <c r="C40" s="466">
        <v>0</v>
      </c>
      <c r="D40" s="466">
        <v>0</v>
      </c>
      <c r="E40" s="466">
        <v>0</v>
      </c>
      <c r="F40" s="466">
        <v>0</v>
      </c>
      <c r="G40" s="466">
        <v>0</v>
      </c>
      <c r="H40" s="466">
        <v>0</v>
      </c>
      <c r="I40" s="467">
        <v>0</v>
      </c>
      <c r="J40" s="467">
        <v>0</v>
      </c>
      <c r="K40" s="1685">
        <f t="shared" si="2"/>
        <v>0</v>
      </c>
      <c r="L40" s="466">
        <v>0</v>
      </c>
    </row>
    <row r="41" spans="1:14" x14ac:dyDescent="0.2">
      <c r="A41" s="1519" t="s">
        <v>1768</v>
      </c>
      <c r="B41" s="615">
        <v>2190</v>
      </c>
      <c r="C41" s="466">
        <v>156806</v>
      </c>
      <c r="D41" s="466">
        <v>0</v>
      </c>
      <c r="E41" s="466">
        <v>0</v>
      </c>
      <c r="F41" s="466">
        <v>0</v>
      </c>
      <c r="G41" s="466">
        <v>0</v>
      </c>
      <c r="H41" s="466">
        <v>0</v>
      </c>
      <c r="I41" s="467">
        <v>0</v>
      </c>
      <c r="J41" s="467">
        <v>0</v>
      </c>
      <c r="K41" s="1685">
        <f t="shared" si="2"/>
        <v>156806</v>
      </c>
      <c r="L41" s="466">
        <v>81445</v>
      </c>
    </row>
    <row r="42" spans="1:14" ht="12.75" customHeight="1" thickBot="1" x14ac:dyDescent="0.25">
      <c r="A42" s="1682" t="s">
        <v>581</v>
      </c>
      <c r="B42" s="1683" t="s">
        <v>740</v>
      </c>
      <c r="C42" s="1684">
        <f>SUM(C36:C41)</f>
        <v>1391593</v>
      </c>
      <c r="D42" s="1684">
        <f t="shared" ref="D42:L42" si="3">SUM(D36:D41)</f>
        <v>203253</v>
      </c>
      <c r="E42" s="1684">
        <f t="shared" si="3"/>
        <v>11594</v>
      </c>
      <c r="F42" s="1684">
        <f t="shared" si="3"/>
        <v>3148</v>
      </c>
      <c r="G42" s="1684">
        <f t="shared" si="3"/>
        <v>0</v>
      </c>
      <c r="H42" s="1684">
        <f t="shared" si="3"/>
        <v>0</v>
      </c>
      <c r="I42" s="1684">
        <f t="shared" si="3"/>
        <v>0</v>
      </c>
      <c r="J42" s="1684">
        <f t="shared" si="3"/>
        <v>0</v>
      </c>
      <c r="K42" s="1684">
        <f t="shared" si="3"/>
        <v>1609588</v>
      </c>
      <c r="L42" s="1684">
        <f t="shared" si="3"/>
        <v>1627970</v>
      </c>
    </row>
    <row r="43" spans="1:14" ht="15.75" customHeight="1" thickTop="1" x14ac:dyDescent="0.2">
      <c r="A43" s="625" t="s">
        <v>613</v>
      </c>
      <c r="B43" s="626"/>
      <c r="C43" s="627"/>
      <c r="D43" s="627"/>
      <c r="E43" s="627"/>
      <c r="F43" s="627"/>
      <c r="G43" s="627"/>
      <c r="H43" s="627"/>
      <c r="I43" s="617"/>
      <c r="J43" s="617"/>
      <c r="K43" s="627"/>
      <c r="L43" s="627"/>
    </row>
    <row r="44" spans="1:14" x14ac:dyDescent="0.2">
      <c r="A44" s="1519" t="s">
        <v>868</v>
      </c>
      <c r="B44" s="615">
        <v>2210</v>
      </c>
      <c r="C44" s="481">
        <v>872323</v>
      </c>
      <c r="D44" s="481">
        <v>18478</v>
      </c>
      <c r="E44" s="481">
        <v>79500</v>
      </c>
      <c r="F44" s="481">
        <v>21033</v>
      </c>
      <c r="G44" s="481">
        <v>0</v>
      </c>
      <c r="H44" s="481">
        <v>1418</v>
      </c>
      <c r="I44" s="467">
        <v>50144</v>
      </c>
      <c r="J44" s="467">
        <v>0</v>
      </c>
      <c r="K44" s="1686">
        <f>SUM(C44:J44)</f>
        <v>1042896</v>
      </c>
      <c r="L44" s="481">
        <v>1300147</v>
      </c>
    </row>
    <row r="45" spans="1:14" x14ac:dyDescent="0.2">
      <c r="A45" s="1519" t="s">
        <v>869</v>
      </c>
      <c r="B45" s="615">
        <v>2220</v>
      </c>
      <c r="C45" s="466">
        <v>613747</v>
      </c>
      <c r="D45" s="466">
        <v>78392</v>
      </c>
      <c r="E45" s="466">
        <v>375139</v>
      </c>
      <c r="F45" s="466">
        <v>206221</v>
      </c>
      <c r="G45" s="466">
        <v>0</v>
      </c>
      <c r="H45" s="466">
        <v>0</v>
      </c>
      <c r="I45" s="467">
        <v>525890</v>
      </c>
      <c r="J45" s="467">
        <v>0</v>
      </c>
      <c r="K45" s="1686">
        <f>SUM(C45:J45)</f>
        <v>1799389</v>
      </c>
      <c r="L45" s="466">
        <v>1462376</v>
      </c>
    </row>
    <row r="46" spans="1:14" x14ac:dyDescent="0.2">
      <c r="A46" s="1519" t="s">
        <v>870</v>
      </c>
      <c r="B46" s="615">
        <v>2230</v>
      </c>
      <c r="C46" s="466">
        <v>0</v>
      </c>
      <c r="D46" s="466">
        <v>0</v>
      </c>
      <c r="E46" s="466">
        <v>0</v>
      </c>
      <c r="F46" s="466">
        <v>1445</v>
      </c>
      <c r="G46" s="466">
        <v>0</v>
      </c>
      <c r="H46" s="466">
        <v>0</v>
      </c>
      <c r="I46" s="467">
        <v>0</v>
      </c>
      <c r="J46" s="467">
        <v>0</v>
      </c>
      <c r="K46" s="1686">
        <f>SUM(C46:J46)</f>
        <v>1445</v>
      </c>
      <c r="L46" s="466">
        <v>2000</v>
      </c>
    </row>
    <row r="47" spans="1:14" ht="12.75" customHeight="1" thickBot="1" x14ac:dyDescent="0.25">
      <c r="A47" s="1682" t="s">
        <v>582</v>
      </c>
      <c r="B47" s="1683" t="s">
        <v>32</v>
      </c>
      <c r="C47" s="1684">
        <f>SUM(C44:C46)</f>
        <v>1486070</v>
      </c>
      <c r="D47" s="1684">
        <f t="shared" ref="D47:K47" si="4">SUM(D44:D46)</f>
        <v>96870</v>
      </c>
      <c r="E47" s="1684">
        <f t="shared" si="4"/>
        <v>454639</v>
      </c>
      <c r="F47" s="1684">
        <f t="shared" si="4"/>
        <v>228699</v>
      </c>
      <c r="G47" s="1684">
        <f t="shared" si="4"/>
        <v>0</v>
      </c>
      <c r="H47" s="1684">
        <f t="shared" si="4"/>
        <v>1418</v>
      </c>
      <c r="I47" s="1684">
        <f t="shared" si="4"/>
        <v>576034</v>
      </c>
      <c r="J47" s="1684">
        <f t="shared" si="4"/>
        <v>0</v>
      </c>
      <c r="K47" s="1684">
        <f t="shared" si="4"/>
        <v>2843730</v>
      </c>
      <c r="L47" s="1684">
        <f>SUM(L44:L46)</f>
        <v>2764523</v>
      </c>
    </row>
    <row r="48" spans="1:14" ht="15.75" customHeight="1" thickTop="1" x14ac:dyDescent="0.2">
      <c r="A48" s="625" t="s">
        <v>631</v>
      </c>
      <c r="B48" s="626"/>
      <c r="C48" s="627"/>
      <c r="D48" s="627"/>
      <c r="E48" s="627"/>
      <c r="F48" s="627"/>
      <c r="G48" s="627"/>
      <c r="H48" s="627"/>
      <c r="I48" s="617"/>
      <c r="J48" s="617"/>
      <c r="K48" s="627"/>
      <c r="L48" s="627"/>
    </row>
    <row r="49" spans="1:14" x14ac:dyDescent="0.2">
      <c r="A49" s="1519" t="s">
        <v>871</v>
      </c>
      <c r="B49" s="615">
        <v>2310</v>
      </c>
      <c r="C49" s="481">
        <v>61902</v>
      </c>
      <c r="D49" s="481">
        <v>0</v>
      </c>
      <c r="E49" s="481">
        <v>243809</v>
      </c>
      <c r="F49" s="481">
        <v>0</v>
      </c>
      <c r="G49" s="481">
        <v>0</v>
      </c>
      <c r="H49" s="481">
        <v>3303</v>
      </c>
      <c r="I49" s="467">
        <v>0</v>
      </c>
      <c r="J49" s="467">
        <v>0</v>
      </c>
      <c r="K49" s="1686">
        <f>SUM(C49:J49)</f>
        <v>309014</v>
      </c>
      <c r="L49" s="481">
        <v>360612</v>
      </c>
    </row>
    <row r="50" spans="1:14" x14ac:dyDescent="0.2">
      <c r="A50" s="1519" t="s">
        <v>872</v>
      </c>
      <c r="B50" s="615">
        <v>2320</v>
      </c>
      <c r="C50" s="466">
        <v>325131</v>
      </c>
      <c r="D50" s="466">
        <v>86217</v>
      </c>
      <c r="E50" s="466">
        <v>57996</v>
      </c>
      <c r="F50" s="466">
        <v>11766</v>
      </c>
      <c r="G50" s="466">
        <v>0</v>
      </c>
      <c r="H50" s="466">
        <v>3052</v>
      </c>
      <c r="I50" s="467">
        <v>25835</v>
      </c>
      <c r="J50" s="467">
        <v>0</v>
      </c>
      <c r="K50" s="1686">
        <f>SUM(C50:J50)</f>
        <v>509997</v>
      </c>
      <c r="L50" s="466">
        <v>373402</v>
      </c>
    </row>
    <row r="51" spans="1:14" x14ac:dyDescent="0.2">
      <c r="A51" s="1519" t="s">
        <v>44</v>
      </c>
      <c r="B51" s="615">
        <v>2330</v>
      </c>
      <c r="C51" s="466">
        <v>0</v>
      </c>
      <c r="D51" s="466">
        <v>0</v>
      </c>
      <c r="E51" s="466">
        <v>0</v>
      </c>
      <c r="F51" s="466">
        <v>0</v>
      </c>
      <c r="G51" s="466">
        <v>0</v>
      </c>
      <c r="H51" s="466">
        <v>0</v>
      </c>
      <c r="I51" s="467">
        <v>0</v>
      </c>
      <c r="J51" s="467">
        <v>0</v>
      </c>
      <c r="K51" s="1686">
        <f>SUM(C51:J51)</f>
        <v>0</v>
      </c>
      <c r="L51" s="466">
        <v>0</v>
      </c>
    </row>
    <row r="52" spans="1:14" ht="22.5" x14ac:dyDescent="0.2">
      <c r="A52" s="1520" t="s">
        <v>316</v>
      </c>
      <c r="B52" s="628" t="s">
        <v>384</v>
      </c>
      <c r="C52" s="474">
        <v>0</v>
      </c>
      <c r="D52" s="474">
        <v>0</v>
      </c>
      <c r="E52" s="474">
        <v>0</v>
      </c>
      <c r="F52" s="474">
        <v>0</v>
      </c>
      <c r="G52" s="474">
        <v>0</v>
      </c>
      <c r="H52" s="474">
        <v>0</v>
      </c>
      <c r="I52" s="474">
        <v>0</v>
      </c>
      <c r="J52" s="474">
        <v>0</v>
      </c>
      <c r="K52" s="1686">
        <f>SUM(C52:J52)</f>
        <v>0</v>
      </c>
      <c r="L52" s="474">
        <v>0</v>
      </c>
    </row>
    <row r="53" spans="1:14" ht="12.75" customHeight="1" thickBot="1" x14ac:dyDescent="0.25">
      <c r="A53" s="1682" t="s">
        <v>741</v>
      </c>
      <c r="B53" s="1683" t="s">
        <v>33</v>
      </c>
      <c r="C53" s="1684">
        <f>SUM(C49:C52)</f>
        <v>387033</v>
      </c>
      <c r="D53" s="1684">
        <f t="shared" ref="D53:L53" si="5">SUM(D49:D52)</f>
        <v>86217</v>
      </c>
      <c r="E53" s="1684">
        <f t="shared" si="5"/>
        <v>301805</v>
      </c>
      <c r="F53" s="1684">
        <f t="shared" si="5"/>
        <v>11766</v>
      </c>
      <c r="G53" s="1684">
        <f t="shared" si="5"/>
        <v>0</v>
      </c>
      <c r="H53" s="1684">
        <f t="shared" si="5"/>
        <v>6355</v>
      </c>
      <c r="I53" s="1684">
        <f t="shared" si="5"/>
        <v>25835</v>
      </c>
      <c r="J53" s="1684">
        <f t="shared" si="5"/>
        <v>0</v>
      </c>
      <c r="K53" s="1684">
        <f t="shared" si="5"/>
        <v>819011</v>
      </c>
      <c r="L53" s="1684">
        <f t="shared" si="5"/>
        <v>734014</v>
      </c>
    </row>
    <row r="54" spans="1:14" ht="15.75" customHeight="1" thickTop="1" x14ac:dyDescent="0.2">
      <c r="A54" s="625" t="s">
        <v>632</v>
      </c>
      <c r="B54" s="626"/>
      <c r="C54" s="627"/>
      <c r="D54" s="627"/>
      <c r="E54" s="627"/>
      <c r="F54" s="627"/>
      <c r="G54" s="627"/>
      <c r="H54" s="627"/>
      <c r="I54" s="617"/>
      <c r="J54" s="617"/>
      <c r="K54" s="627"/>
      <c r="L54" s="627"/>
    </row>
    <row r="55" spans="1:14" x14ac:dyDescent="0.2">
      <c r="A55" s="1519" t="s">
        <v>1127</v>
      </c>
      <c r="B55" s="615">
        <v>2410</v>
      </c>
      <c r="C55" s="481">
        <v>1194125</v>
      </c>
      <c r="D55" s="481">
        <v>254203</v>
      </c>
      <c r="E55" s="481">
        <v>5490</v>
      </c>
      <c r="F55" s="481">
        <v>24418</v>
      </c>
      <c r="G55" s="481">
        <v>0</v>
      </c>
      <c r="H55" s="481">
        <v>2400</v>
      </c>
      <c r="I55" s="467">
        <v>0</v>
      </c>
      <c r="J55" s="467">
        <v>0</v>
      </c>
      <c r="K55" s="1686">
        <f>SUM(C55:J55)</f>
        <v>1480636</v>
      </c>
      <c r="L55" s="481">
        <v>1360396</v>
      </c>
    </row>
    <row r="56" spans="1:14" ht="12.75" customHeight="1" x14ac:dyDescent="0.2">
      <c r="A56" s="1523" t="s">
        <v>394</v>
      </c>
      <c r="B56" s="629">
        <v>2490</v>
      </c>
      <c r="C56" s="466">
        <v>0</v>
      </c>
      <c r="D56" s="466">
        <v>0</v>
      </c>
      <c r="E56" s="466">
        <v>0</v>
      </c>
      <c r="F56" s="466">
        <v>0</v>
      </c>
      <c r="G56" s="466">
        <v>0</v>
      </c>
      <c r="H56" s="466">
        <v>0</v>
      </c>
      <c r="I56" s="467">
        <v>0</v>
      </c>
      <c r="J56" s="467">
        <v>0</v>
      </c>
      <c r="K56" s="1686">
        <f>SUM(C56:J56)</f>
        <v>0</v>
      </c>
      <c r="L56" s="466">
        <v>0</v>
      </c>
    </row>
    <row r="57" spans="1:14" s="343" customFormat="1" ht="12.75" customHeight="1" thickBot="1" x14ac:dyDescent="0.25">
      <c r="A57" s="1682" t="s">
        <v>281</v>
      </c>
      <c r="B57" s="1687" t="s">
        <v>34</v>
      </c>
      <c r="C57" s="1688">
        <f>SUM(C55:C56)</f>
        <v>1194125</v>
      </c>
      <c r="D57" s="1688">
        <f t="shared" ref="D57:K57" si="6">SUM(D55:D56)</f>
        <v>254203</v>
      </c>
      <c r="E57" s="1688">
        <f t="shared" si="6"/>
        <v>5490</v>
      </c>
      <c r="F57" s="1688">
        <f t="shared" si="6"/>
        <v>24418</v>
      </c>
      <c r="G57" s="1688">
        <f t="shared" si="6"/>
        <v>0</v>
      </c>
      <c r="H57" s="1688">
        <f t="shared" si="6"/>
        <v>2400</v>
      </c>
      <c r="I57" s="1688">
        <f t="shared" si="6"/>
        <v>0</v>
      </c>
      <c r="J57" s="1688">
        <f t="shared" si="6"/>
        <v>0</v>
      </c>
      <c r="K57" s="1688">
        <f t="shared" si="6"/>
        <v>1480636</v>
      </c>
      <c r="L57" s="1684">
        <f>SUM(L55:L56)</f>
        <v>1360396</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19" t="s">
        <v>1128</v>
      </c>
      <c r="B59" s="615">
        <v>2510</v>
      </c>
      <c r="C59" s="481">
        <v>177872</v>
      </c>
      <c r="D59" s="481">
        <v>20905</v>
      </c>
      <c r="E59" s="481">
        <v>35885</v>
      </c>
      <c r="F59" s="481">
        <v>5167</v>
      </c>
      <c r="G59" s="481">
        <v>0</v>
      </c>
      <c r="H59" s="481">
        <v>19552</v>
      </c>
      <c r="I59" s="467">
        <v>0</v>
      </c>
      <c r="J59" s="467">
        <v>0</v>
      </c>
      <c r="K59" s="1686">
        <f t="shared" ref="K59:K64" si="7">SUM(C59:J59)</f>
        <v>259381</v>
      </c>
      <c r="L59" s="481">
        <v>219200</v>
      </c>
      <c r="M59" s="610"/>
      <c r="N59" s="610"/>
    </row>
    <row r="60" spans="1:14" s="343" customFormat="1" x14ac:dyDescent="0.2">
      <c r="A60" s="1519" t="s">
        <v>483</v>
      </c>
      <c r="B60" s="615">
        <v>2520</v>
      </c>
      <c r="C60" s="466">
        <v>152077</v>
      </c>
      <c r="D60" s="466">
        <v>25429</v>
      </c>
      <c r="E60" s="466">
        <v>0</v>
      </c>
      <c r="F60" s="466">
        <v>0</v>
      </c>
      <c r="G60" s="466">
        <v>0</v>
      </c>
      <c r="H60" s="466">
        <v>0</v>
      </c>
      <c r="I60" s="467">
        <v>0</v>
      </c>
      <c r="J60" s="467">
        <v>0</v>
      </c>
      <c r="K60" s="1686">
        <f t="shared" si="7"/>
        <v>177506</v>
      </c>
      <c r="L60" s="466">
        <v>149105</v>
      </c>
      <c r="M60" s="610"/>
      <c r="N60" s="610"/>
    </row>
    <row r="61" spans="1:14" s="343" customFormat="1" x14ac:dyDescent="0.2">
      <c r="A61" s="1519" t="s">
        <v>206</v>
      </c>
      <c r="B61" s="615">
        <v>2540</v>
      </c>
      <c r="C61" s="466">
        <v>-6149</v>
      </c>
      <c r="D61" s="466">
        <v>0</v>
      </c>
      <c r="E61" s="466">
        <v>0</v>
      </c>
      <c r="F61" s="466">
        <v>0</v>
      </c>
      <c r="G61" s="466">
        <v>0</v>
      </c>
      <c r="H61" s="466">
        <v>0</v>
      </c>
      <c r="I61" s="467">
        <v>0</v>
      </c>
      <c r="J61" s="467">
        <v>0</v>
      </c>
      <c r="K61" s="1686">
        <f t="shared" si="7"/>
        <v>-6149</v>
      </c>
      <c r="L61" s="466">
        <v>0</v>
      </c>
      <c r="M61" s="610"/>
      <c r="N61" s="610"/>
    </row>
    <row r="62" spans="1:14" s="343" customFormat="1" x14ac:dyDescent="0.2">
      <c r="A62" s="1519" t="s">
        <v>1010</v>
      </c>
      <c r="B62" s="615">
        <v>2550</v>
      </c>
      <c r="C62" s="466">
        <v>0</v>
      </c>
      <c r="D62" s="466">
        <v>0</v>
      </c>
      <c r="E62" s="466">
        <v>0</v>
      </c>
      <c r="F62" s="466">
        <v>0</v>
      </c>
      <c r="G62" s="466">
        <v>0</v>
      </c>
      <c r="H62" s="466">
        <v>0</v>
      </c>
      <c r="I62" s="467">
        <v>0</v>
      </c>
      <c r="J62" s="467">
        <v>0</v>
      </c>
      <c r="K62" s="1686">
        <f t="shared" si="7"/>
        <v>0</v>
      </c>
      <c r="L62" s="466">
        <v>0</v>
      </c>
      <c r="M62" s="610"/>
      <c r="N62" s="610"/>
    </row>
    <row r="63" spans="1:14" s="610" customFormat="1" x14ac:dyDescent="0.2">
      <c r="A63" s="1519" t="s">
        <v>102</v>
      </c>
      <c r="B63" s="615">
        <v>2560</v>
      </c>
      <c r="C63" s="466">
        <v>202025</v>
      </c>
      <c r="D63" s="466">
        <v>29789</v>
      </c>
      <c r="E63" s="466">
        <v>4631</v>
      </c>
      <c r="F63" s="466">
        <v>268620</v>
      </c>
      <c r="G63" s="466">
        <v>0</v>
      </c>
      <c r="H63" s="466">
        <v>0</v>
      </c>
      <c r="I63" s="467">
        <v>0</v>
      </c>
      <c r="J63" s="467">
        <v>0</v>
      </c>
      <c r="K63" s="1686">
        <f t="shared" si="7"/>
        <v>505065</v>
      </c>
      <c r="L63" s="466">
        <v>559899</v>
      </c>
    </row>
    <row r="64" spans="1:14" s="610" customFormat="1" x14ac:dyDescent="0.2">
      <c r="A64" s="1524" t="s">
        <v>103</v>
      </c>
      <c r="B64" s="631">
        <v>2570</v>
      </c>
      <c r="C64" s="481">
        <v>11136</v>
      </c>
      <c r="D64" s="481">
        <v>0</v>
      </c>
      <c r="E64" s="481">
        <v>0</v>
      </c>
      <c r="F64" s="481">
        <v>61754</v>
      </c>
      <c r="G64" s="481">
        <v>0</v>
      </c>
      <c r="H64" s="481">
        <v>0</v>
      </c>
      <c r="I64" s="467">
        <v>1650</v>
      </c>
      <c r="J64" s="467">
        <v>0</v>
      </c>
      <c r="K64" s="1686">
        <f t="shared" si="7"/>
        <v>74540</v>
      </c>
      <c r="L64" s="481">
        <v>71000</v>
      </c>
    </row>
    <row r="65" spans="1:14" s="343" customFormat="1" ht="12.75" customHeight="1" thickBot="1" x14ac:dyDescent="0.25">
      <c r="A65" s="1682" t="s">
        <v>743</v>
      </c>
      <c r="B65" s="1683" t="s">
        <v>35</v>
      </c>
      <c r="C65" s="1684">
        <f>SUM(C59:C64)</f>
        <v>536961</v>
      </c>
      <c r="D65" s="1684">
        <f t="shared" ref="D65:L65" si="8">SUM(D59:D64)</f>
        <v>76123</v>
      </c>
      <c r="E65" s="1684">
        <f t="shared" si="8"/>
        <v>40516</v>
      </c>
      <c r="F65" s="1684">
        <f t="shared" si="8"/>
        <v>335541</v>
      </c>
      <c r="G65" s="1684">
        <f t="shared" si="8"/>
        <v>0</v>
      </c>
      <c r="H65" s="1684">
        <f t="shared" si="8"/>
        <v>19552</v>
      </c>
      <c r="I65" s="1684">
        <f t="shared" si="8"/>
        <v>1650</v>
      </c>
      <c r="J65" s="1684">
        <f t="shared" si="8"/>
        <v>0</v>
      </c>
      <c r="K65" s="1684">
        <f t="shared" si="8"/>
        <v>1010343</v>
      </c>
      <c r="L65" s="1684">
        <f t="shared" si="8"/>
        <v>999204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19" t="s">
        <v>1120</v>
      </c>
      <c r="B67" s="615">
        <v>2610</v>
      </c>
      <c r="C67" s="466">
        <v>0</v>
      </c>
      <c r="D67" s="466">
        <v>0</v>
      </c>
      <c r="E67" s="466">
        <v>0</v>
      </c>
      <c r="F67" s="466">
        <v>0</v>
      </c>
      <c r="G67" s="466">
        <v>0</v>
      </c>
      <c r="H67" s="466">
        <v>0</v>
      </c>
      <c r="I67" s="467">
        <v>0</v>
      </c>
      <c r="J67" s="467">
        <v>0</v>
      </c>
      <c r="K67" s="1686">
        <f>SUM(C67:J67)</f>
        <v>0</v>
      </c>
      <c r="L67" s="481">
        <v>0</v>
      </c>
      <c r="M67" s="610"/>
      <c r="N67" s="610"/>
    </row>
    <row r="68" spans="1:14" s="343" customFormat="1" x14ac:dyDescent="0.2">
      <c r="A68" s="1519" t="s">
        <v>628</v>
      </c>
      <c r="B68" s="615">
        <v>2620</v>
      </c>
      <c r="C68" s="466">
        <v>0</v>
      </c>
      <c r="D68" s="466">
        <v>0</v>
      </c>
      <c r="E68" s="466">
        <v>0</v>
      </c>
      <c r="F68" s="466">
        <v>0</v>
      </c>
      <c r="G68" s="466">
        <v>0</v>
      </c>
      <c r="H68" s="466">
        <v>0</v>
      </c>
      <c r="I68" s="467">
        <v>0</v>
      </c>
      <c r="J68" s="467">
        <v>0</v>
      </c>
      <c r="K68" s="1686">
        <f>SUM(C68:J68)</f>
        <v>0</v>
      </c>
      <c r="L68" s="466">
        <v>0</v>
      </c>
      <c r="M68" s="610"/>
      <c r="N68" s="610"/>
    </row>
    <row r="69" spans="1:14" s="343" customFormat="1" x14ac:dyDescent="0.2">
      <c r="A69" s="1519" t="s">
        <v>1121</v>
      </c>
      <c r="B69" s="615">
        <v>2630</v>
      </c>
      <c r="C69" s="466">
        <v>0</v>
      </c>
      <c r="D69" s="466">
        <v>0</v>
      </c>
      <c r="E69" s="466">
        <v>0</v>
      </c>
      <c r="F69" s="466">
        <v>0</v>
      </c>
      <c r="G69" s="466">
        <v>0</v>
      </c>
      <c r="H69" s="466">
        <v>0</v>
      </c>
      <c r="I69" s="467">
        <v>0</v>
      </c>
      <c r="J69" s="467">
        <v>0</v>
      </c>
      <c r="K69" s="1686">
        <f>SUM(C69:J69)</f>
        <v>0</v>
      </c>
      <c r="L69" s="466">
        <v>0</v>
      </c>
      <c r="M69" s="610"/>
      <c r="N69" s="610"/>
    </row>
    <row r="70" spans="1:14" s="343" customFormat="1" x14ac:dyDescent="0.2">
      <c r="A70" s="1519" t="s">
        <v>423</v>
      </c>
      <c r="B70" s="615">
        <v>2640</v>
      </c>
      <c r="C70" s="466">
        <v>0</v>
      </c>
      <c r="D70" s="466">
        <v>0</v>
      </c>
      <c r="E70" s="466">
        <v>0</v>
      </c>
      <c r="F70" s="466">
        <v>0</v>
      </c>
      <c r="G70" s="466">
        <v>0</v>
      </c>
      <c r="H70" s="466">
        <v>0</v>
      </c>
      <c r="I70" s="467">
        <v>0</v>
      </c>
      <c r="J70" s="467">
        <v>0</v>
      </c>
      <c r="K70" s="1686">
        <f>SUM(C70:J70)</f>
        <v>0</v>
      </c>
      <c r="L70" s="466">
        <v>0</v>
      </c>
      <c r="M70" s="610"/>
      <c r="N70" s="610"/>
    </row>
    <row r="71" spans="1:14" s="343" customFormat="1" x14ac:dyDescent="0.2">
      <c r="A71" s="1519" t="s">
        <v>424</v>
      </c>
      <c r="B71" s="615">
        <v>2660</v>
      </c>
      <c r="C71" s="466">
        <v>0</v>
      </c>
      <c r="D71" s="466">
        <v>0</v>
      </c>
      <c r="E71" s="466">
        <v>0</v>
      </c>
      <c r="F71" s="466">
        <v>0</v>
      </c>
      <c r="G71" s="466">
        <v>0</v>
      </c>
      <c r="H71" s="466">
        <v>0</v>
      </c>
      <c r="I71" s="467">
        <v>0</v>
      </c>
      <c r="J71" s="467">
        <v>0</v>
      </c>
      <c r="K71" s="1686">
        <f>SUM(C71:J71)</f>
        <v>0</v>
      </c>
      <c r="L71" s="466">
        <v>0</v>
      </c>
      <c r="M71" s="610"/>
      <c r="N71" s="610"/>
    </row>
    <row r="72" spans="1:14" s="343" customFormat="1" ht="12.75" customHeight="1" thickBot="1" x14ac:dyDescent="0.25">
      <c r="A72" s="1682" t="s">
        <v>37</v>
      </c>
      <c r="B72" s="1689" t="s">
        <v>36</v>
      </c>
      <c r="C72" s="1684">
        <f>SUM(C67:C71)</f>
        <v>0</v>
      </c>
      <c r="D72" s="1684">
        <f t="shared" ref="D72:K72" si="9">SUM(D67:D71)</f>
        <v>0</v>
      </c>
      <c r="E72" s="1684">
        <f t="shared" si="9"/>
        <v>0</v>
      </c>
      <c r="F72" s="1684">
        <f t="shared" si="9"/>
        <v>0</v>
      </c>
      <c r="G72" s="1684">
        <f t="shared" si="9"/>
        <v>0</v>
      </c>
      <c r="H72" s="1684">
        <f t="shared" si="9"/>
        <v>0</v>
      </c>
      <c r="I72" s="1684">
        <f t="shared" si="9"/>
        <v>0</v>
      </c>
      <c r="J72" s="1684">
        <f t="shared" si="9"/>
        <v>0</v>
      </c>
      <c r="K72" s="1684">
        <f t="shared" si="9"/>
        <v>0</v>
      </c>
      <c r="L72" s="1684">
        <f>SUM(L67:L71)</f>
        <v>0</v>
      </c>
      <c r="M72" s="610"/>
      <c r="N72" s="610"/>
    </row>
    <row r="73" spans="1:14" s="343" customFormat="1" ht="14.25" thickTop="1" thickBot="1" x14ac:dyDescent="0.25">
      <c r="A73" s="1525" t="s">
        <v>1037</v>
      </c>
      <c r="B73" s="633" t="s">
        <v>595</v>
      </c>
      <c r="C73" s="573">
        <v>0</v>
      </c>
      <c r="D73" s="573">
        <v>0</v>
      </c>
      <c r="E73" s="573">
        <v>0</v>
      </c>
      <c r="F73" s="573">
        <v>331</v>
      </c>
      <c r="G73" s="573">
        <v>0</v>
      </c>
      <c r="H73" s="573">
        <v>0</v>
      </c>
      <c r="I73" s="531">
        <v>0</v>
      </c>
      <c r="J73" s="531">
        <v>0</v>
      </c>
      <c r="K73" s="1684">
        <f>SUM(C73:J73)</f>
        <v>331</v>
      </c>
      <c r="L73" s="576">
        <v>2240</v>
      </c>
      <c r="M73" s="610"/>
      <c r="N73" s="610"/>
    </row>
    <row r="74" spans="1:14" ht="12.75" customHeight="1" thickTop="1" thickBot="1" x14ac:dyDescent="0.25">
      <c r="A74" s="1682" t="s">
        <v>865</v>
      </c>
      <c r="B74" s="1690">
        <v>2000</v>
      </c>
      <c r="C74" s="1691">
        <f>SUM(C42,C47,C53,C57,C65,C72,C73)</f>
        <v>4995782</v>
      </c>
      <c r="D74" s="1691">
        <f t="shared" ref="D74:K74" si="10">SUM(D42,D47,D53,D57,D65,D72,D73)</f>
        <v>716666</v>
      </c>
      <c r="E74" s="1691">
        <f t="shared" si="10"/>
        <v>814044</v>
      </c>
      <c r="F74" s="1691">
        <f t="shared" si="10"/>
        <v>603903</v>
      </c>
      <c r="G74" s="1691">
        <f t="shared" si="10"/>
        <v>0</v>
      </c>
      <c r="H74" s="1691">
        <f t="shared" si="10"/>
        <v>29725</v>
      </c>
      <c r="I74" s="1691">
        <f t="shared" si="10"/>
        <v>603519</v>
      </c>
      <c r="J74" s="1691">
        <f t="shared" si="10"/>
        <v>0</v>
      </c>
      <c r="K74" s="1691">
        <f t="shared" si="10"/>
        <v>7763639</v>
      </c>
      <c r="L74" s="1691">
        <f>SUM(L42,L47,L53,L57,L65,L72,L73)</f>
        <v>7488347</v>
      </c>
    </row>
    <row r="75" spans="1:14" s="259" customFormat="1" ht="15.75" customHeight="1" thickTop="1" thickBot="1" x14ac:dyDescent="0.25">
      <c r="A75" s="1624" t="s">
        <v>49</v>
      </c>
      <c r="B75" s="1625" t="s">
        <v>596</v>
      </c>
      <c r="C75" s="573">
        <v>105321</v>
      </c>
      <c r="D75" s="573">
        <v>914</v>
      </c>
      <c r="E75" s="573">
        <v>73045</v>
      </c>
      <c r="F75" s="573">
        <v>517</v>
      </c>
      <c r="G75" s="573">
        <v>0</v>
      </c>
      <c r="H75" s="573">
        <v>0</v>
      </c>
      <c r="I75" s="531">
        <v>5745</v>
      </c>
      <c r="J75" s="531">
        <v>0</v>
      </c>
      <c r="K75" s="1684">
        <f>SUM(C75:J75)</f>
        <v>185542</v>
      </c>
      <c r="L75" s="576">
        <v>226159</v>
      </c>
      <c r="M75" s="614"/>
      <c r="N75" s="614"/>
    </row>
    <row r="76" spans="1:14" s="634" customFormat="1" ht="15.75" customHeight="1" thickTop="1" x14ac:dyDescent="0.2">
      <c r="A76" s="1626" t="s">
        <v>383</v>
      </c>
      <c r="B76" s="1623"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19" t="s">
        <v>517</v>
      </c>
      <c r="B78" s="615">
        <v>4110</v>
      </c>
      <c r="C78" s="617"/>
      <c r="D78" s="617"/>
      <c r="E78" s="481">
        <v>0</v>
      </c>
      <c r="F78" s="617"/>
      <c r="G78" s="617"/>
      <c r="H78" s="635">
        <v>0</v>
      </c>
      <c r="I78" s="477"/>
      <c r="J78" s="477"/>
      <c r="K78" s="1685">
        <f t="shared" ref="K78:K83" si="11">SUM(C78:J78)</f>
        <v>0</v>
      </c>
      <c r="L78" s="481">
        <v>0</v>
      </c>
    </row>
    <row r="79" spans="1:14" x14ac:dyDescent="0.2">
      <c r="A79" s="1519" t="s">
        <v>322</v>
      </c>
      <c r="B79" s="615">
        <v>4120</v>
      </c>
      <c r="C79" s="617"/>
      <c r="D79" s="617"/>
      <c r="E79" s="466">
        <v>222952</v>
      </c>
      <c r="F79" s="617"/>
      <c r="G79" s="617"/>
      <c r="H79" s="466">
        <v>1250</v>
      </c>
      <c r="I79" s="477"/>
      <c r="J79" s="477"/>
      <c r="K79" s="1685">
        <f t="shared" si="11"/>
        <v>224202</v>
      </c>
      <c r="L79" s="466">
        <v>211000</v>
      </c>
    </row>
    <row r="80" spans="1:14" x14ac:dyDescent="0.2">
      <c r="A80" s="1519" t="s">
        <v>323</v>
      </c>
      <c r="B80" s="615">
        <v>4130</v>
      </c>
      <c r="C80" s="617"/>
      <c r="D80" s="617"/>
      <c r="E80" s="466">
        <v>0</v>
      </c>
      <c r="F80" s="617"/>
      <c r="G80" s="617"/>
      <c r="H80" s="466">
        <v>0</v>
      </c>
      <c r="I80" s="477"/>
      <c r="J80" s="477"/>
      <c r="K80" s="1685">
        <f t="shared" si="11"/>
        <v>0</v>
      </c>
      <c r="L80" s="466">
        <v>0</v>
      </c>
    </row>
    <row r="81" spans="1:12" x14ac:dyDescent="0.2">
      <c r="A81" s="1519" t="s">
        <v>721</v>
      </c>
      <c r="B81" s="615">
        <v>4140</v>
      </c>
      <c r="C81" s="617"/>
      <c r="D81" s="617"/>
      <c r="E81" s="466">
        <v>0</v>
      </c>
      <c r="F81" s="617"/>
      <c r="G81" s="617"/>
      <c r="H81" s="466">
        <v>0</v>
      </c>
      <c r="I81" s="477"/>
      <c r="J81" s="477"/>
      <c r="K81" s="1685">
        <f t="shared" si="11"/>
        <v>0</v>
      </c>
      <c r="L81" s="466">
        <v>0</v>
      </c>
    </row>
    <row r="82" spans="1:12" x14ac:dyDescent="0.2">
      <c r="A82" s="1519" t="s">
        <v>88</v>
      </c>
      <c r="B82" s="615">
        <v>4170</v>
      </c>
      <c r="C82" s="617"/>
      <c r="D82" s="617"/>
      <c r="E82" s="466">
        <v>0</v>
      </c>
      <c r="F82" s="617"/>
      <c r="G82" s="617"/>
      <c r="H82" s="466">
        <v>0</v>
      </c>
      <c r="I82" s="477"/>
      <c r="J82" s="477"/>
      <c r="K82" s="1685">
        <f t="shared" si="11"/>
        <v>0</v>
      </c>
      <c r="L82" s="466">
        <v>0</v>
      </c>
    </row>
    <row r="83" spans="1:12" x14ac:dyDescent="0.2">
      <c r="A83" s="1523" t="s">
        <v>722</v>
      </c>
      <c r="B83" s="629">
        <v>4190</v>
      </c>
      <c r="C83" s="617"/>
      <c r="D83" s="617"/>
      <c r="E83" s="466">
        <v>0</v>
      </c>
      <c r="F83" s="617"/>
      <c r="G83" s="617"/>
      <c r="H83" s="466">
        <v>0</v>
      </c>
      <c r="I83" s="477"/>
      <c r="J83" s="477"/>
      <c r="K83" s="1685">
        <f t="shared" si="11"/>
        <v>0</v>
      </c>
      <c r="L83" s="466">
        <v>0</v>
      </c>
    </row>
    <row r="84" spans="1:12" ht="13.5" thickBot="1" x14ac:dyDescent="0.25">
      <c r="A84" s="1682" t="s">
        <v>1565</v>
      </c>
      <c r="B84" s="1692">
        <v>4100</v>
      </c>
      <c r="C84" s="617"/>
      <c r="D84" s="617"/>
      <c r="E84" s="1684">
        <f>SUM(E78:E83)</f>
        <v>222952</v>
      </c>
      <c r="F84" s="617"/>
      <c r="G84" s="617"/>
      <c r="H84" s="1684">
        <f>SUM(H78:H83)</f>
        <v>1250</v>
      </c>
      <c r="I84" s="477"/>
      <c r="J84" s="477"/>
      <c r="K84" s="1684">
        <f>SUM(K78:K83)</f>
        <v>224202</v>
      </c>
      <c r="L84" s="1684">
        <f>SUM(L78:L83)</f>
        <v>211000</v>
      </c>
    </row>
    <row r="85" spans="1:12" ht="12.75" customHeight="1" thickTop="1" thickBot="1" x14ac:dyDescent="0.25">
      <c r="A85" s="1526" t="s">
        <v>273</v>
      </c>
      <c r="B85" s="636">
        <v>4210</v>
      </c>
      <c r="C85" s="617"/>
      <c r="D85" s="617"/>
      <c r="E85" s="637"/>
      <c r="F85" s="617"/>
      <c r="G85" s="617"/>
      <c r="H85" s="535">
        <v>0</v>
      </c>
      <c r="I85" s="477"/>
      <c r="J85" s="477"/>
      <c r="K85" s="1691">
        <f>H85</f>
        <v>0</v>
      </c>
      <c r="L85" s="530">
        <v>0</v>
      </c>
    </row>
    <row r="86" spans="1:12" ht="12.75" customHeight="1" thickTop="1" thickBot="1" x14ac:dyDescent="0.25">
      <c r="A86" s="1527" t="s">
        <v>723</v>
      </c>
      <c r="B86" s="638">
        <v>4220</v>
      </c>
      <c r="C86" s="617"/>
      <c r="D86" s="617"/>
      <c r="E86" s="639"/>
      <c r="F86" s="617"/>
      <c r="G86" s="617"/>
      <c r="H86" s="467">
        <v>349059</v>
      </c>
      <c r="I86" s="477"/>
      <c r="J86" s="477"/>
      <c r="K86" s="1691">
        <f t="shared" ref="K86:K98" si="12">H86</f>
        <v>349059</v>
      </c>
      <c r="L86" s="530">
        <v>465834</v>
      </c>
    </row>
    <row r="87" spans="1:12" ht="14.25" thickTop="1" thickBot="1" x14ac:dyDescent="0.25">
      <c r="A87" s="1528" t="s">
        <v>724</v>
      </c>
      <c r="B87" s="640">
        <v>4230</v>
      </c>
      <c r="C87" s="617"/>
      <c r="D87" s="617"/>
      <c r="E87" s="639"/>
      <c r="F87" s="617"/>
      <c r="G87" s="617"/>
      <c r="H87" s="467">
        <v>0</v>
      </c>
      <c r="I87" s="477"/>
      <c r="J87" s="477"/>
      <c r="K87" s="1691">
        <f t="shared" si="12"/>
        <v>0</v>
      </c>
      <c r="L87" s="530">
        <v>0</v>
      </c>
    </row>
    <row r="88" spans="1:12" ht="12.75" customHeight="1" thickTop="1" thickBot="1" x14ac:dyDescent="0.25">
      <c r="A88" s="1528" t="s">
        <v>789</v>
      </c>
      <c r="B88" s="640">
        <v>4240</v>
      </c>
      <c r="C88" s="617"/>
      <c r="D88" s="617"/>
      <c r="E88" s="639"/>
      <c r="F88" s="617"/>
      <c r="G88" s="617"/>
      <c r="H88" s="467">
        <v>0</v>
      </c>
      <c r="I88" s="477"/>
      <c r="J88" s="477"/>
      <c r="K88" s="1691">
        <f t="shared" si="12"/>
        <v>0</v>
      </c>
      <c r="L88" s="530">
        <v>0</v>
      </c>
    </row>
    <row r="89" spans="1:12" ht="12.75" customHeight="1" thickTop="1" thickBot="1" x14ac:dyDescent="0.25">
      <c r="A89" s="1528" t="s">
        <v>725</v>
      </c>
      <c r="B89" s="640">
        <v>4270</v>
      </c>
      <c r="C89" s="617"/>
      <c r="D89" s="617"/>
      <c r="E89" s="639"/>
      <c r="F89" s="617"/>
      <c r="G89" s="617"/>
      <c r="H89" s="467">
        <v>0</v>
      </c>
      <c r="I89" s="477"/>
      <c r="J89" s="477"/>
      <c r="K89" s="1691">
        <f t="shared" si="12"/>
        <v>0</v>
      </c>
      <c r="L89" s="530">
        <v>0</v>
      </c>
    </row>
    <row r="90" spans="1:12" ht="12.75" customHeight="1" thickTop="1" thickBot="1" x14ac:dyDescent="0.25">
      <c r="A90" s="1528" t="s">
        <v>710</v>
      </c>
      <c r="B90" s="640">
        <v>4280</v>
      </c>
      <c r="C90" s="617"/>
      <c r="D90" s="617"/>
      <c r="E90" s="639"/>
      <c r="F90" s="617"/>
      <c r="G90" s="617"/>
      <c r="H90" s="467">
        <v>0</v>
      </c>
      <c r="I90" s="477"/>
      <c r="J90" s="477"/>
      <c r="K90" s="1691">
        <f t="shared" si="12"/>
        <v>0</v>
      </c>
      <c r="L90" s="530">
        <v>0</v>
      </c>
    </row>
    <row r="91" spans="1:12" ht="12.75" customHeight="1" thickTop="1" thickBot="1" x14ac:dyDescent="0.25">
      <c r="A91" s="1528" t="s">
        <v>711</v>
      </c>
      <c r="B91" s="640">
        <v>4290</v>
      </c>
      <c r="C91" s="617"/>
      <c r="D91" s="617"/>
      <c r="E91" s="639"/>
      <c r="F91" s="617"/>
      <c r="G91" s="617"/>
      <c r="H91" s="467">
        <v>0</v>
      </c>
      <c r="I91" s="477"/>
      <c r="J91" s="477"/>
      <c r="K91" s="1691">
        <f t="shared" si="12"/>
        <v>0</v>
      </c>
      <c r="L91" s="530">
        <v>0</v>
      </c>
    </row>
    <row r="92" spans="1:12" ht="14.25" thickTop="1" thickBot="1" x14ac:dyDescent="0.25">
      <c r="A92" s="1694" t="s">
        <v>1641</v>
      </c>
      <c r="B92" s="1692">
        <v>4200</v>
      </c>
      <c r="C92" s="617"/>
      <c r="D92" s="617"/>
      <c r="E92" s="639"/>
      <c r="F92" s="617"/>
      <c r="G92" s="617"/>
      <c r="H92" s="1684">
        <f>SUM(H85:H91)</f>
        <v>349059</v>
      </c>
      <c r="I92" s="477"/>
      <c r="J92" s="477"/>
      <c r="K92" s="1691">
        <f t="shared" si="12"/>
        <v>349059</v>
      </c>
      <c r="L92" s="1684">
        <f>SUM(L85:L91)</f>
        <v>465834</v>
      </c>
    </row>
    <row r="93" spans="1:12" ht="14.25" thickTop="1" thickBot="1" x14ac:dyDescent="0.25">
      <c r="A93" s="1527" t="s">
        <v>712</v>
      </c>
      <c r="B93" s="641">
        <v>4310</v>
      </c>
      <c r="C93" s="617"/>
      <c r="D93" s="617"/>
      <c r="E93" s="639"/>
      <c r="F93" s="617"/>
      <c r="G93" s="617"/>
      <c r="H93" s="642">
        <v>0</v>
      </c>
      <c r="I93" s="477"/>
      <c r="J93" s="477"/>
      <c r="K93" s="1691">
        <f t="shared" si="12"/>
        <v>0</v>
      </c>
      <c r="L93" s="532">
        <v>0</v>
      </c>
    </row>
    <row r="94" spans="1:12" ht="12.75" customHeight="1" thickTop="1" thickBot="1" x14ac:dyDescent="0.25">
      <c r="A94" s="1528" t="s">
        <v>713</v>
      </c>
      <c r="B94" s="640">
        <v>4320</v>
      </c>
      <c r="C94" s="617"/>
      <c r="D94" s="617"/>
      <c r="E94" s="639"/>
      <c r="F94" s="617"/>
      <c r="G94" s="617"/>
      <c r="H94" s="467">
        <v>0</v>
      </c>
      <c r="I94" s="477"/>
      <c r="J94" s="477"/>
      <c r="K94" s="1691">
        <f t="shared" si="12"/>
        <v>0</v>
      </c>
      <c r="L94" s="530">
        <v>0</v>
      </c>
    </row>
    <row r="95" spans="1:12" ht="15" customHeight="1" thickTop="1" thickBot="1" x14ac:dyDescent="0.25">
      <c r="A95" s="1528" t="s">
        <v>1568</v>
      </c>
      <c r="B95" s="640">
        <v>4330</v>
      </c>
      <c r="C95" s="617"/>
      <c r="D95" s="617"/>
      <c r="E95" s="639"/>
      <c r="F95" s="617"/>
      <c r="G95" s="617"/>
      <c r="H95" s="467">
        <v>0</v>
      </c>
      <c r="I95" s="477"/>
      <c r="J95" s="477"/>
      <c r="K95" s="1691">
        <f t="shared" si="12"/>
        <v>0</v>
      </c>
      <c r="L95" s="530">
        <v>0</v>
      </c>
    </row>
    <row r="96" spans="1:12" ht="14.25" thickTop="1" thickBot="1" x14ac:dyDescent="0.25">
      <c r="A96" s="1528" t="s">
        <v>714</v>
      </c>
      <c r="B96" s="640">
        <v>4340</v>
      </c>
      <c r="C96" s="617"/>
      <c r="D96" s="617"/>
      <c r="E96" s="639"/>
      <c r="F96" s="617"/>
      <c r="G96" s="617"/>
      <c r="H96" s="467">
        <v>0</v>
      </c>
      <c r="I96" s="477"/>
      <c r="J96" s="477"/>
      <c r="K96" s="1691">
        <f t="shared" si="12"/>
        <v>0</v>
      </c>
      <c r="L96" s="530">
        <v>0</v>
      </c>
    </row>
    <row r="97" spans="1:14" ht="12.75" customHeight="1" thickTop="1" thickBot="1" x14ac:dyDescent="0.25">
      <c r="A97" s="1528" t="s">
        <v>787</v>
      </c>
      <c r="B97" s="640">
        <v>4370</v>
      </c>
      <c r="C97" s="617"/>
      <c r="D97" s="617"/>
      <c r="E97" s="639"/>
      <c r="F97" s="617"/>
      <c r="G97" s="617"/>
      <c r="H97" s="467">
        <v>0</v>
      </c>
      <c r="I97" s="477"/>
      <c r="J97" s="477"/>
      <c r="K97" s="1691">
        <f t="shared" si="12"/>
        <v>0</v>
      </c>
      <c r="L97" s="530">
        <v>0</v>
      </c>
    </row>
    <row r="98" spans="1:14" ht="14.25" thickTop="1" thickBot="1" x14ac:dyDescent="0.25">
      <c r="A98" s="1528" t="s">
        <v>788</v>
      </c>
      <c r="B98" s="640">
        <v>4380</v>
      </c>
      <c r="C98" s="617"/>
      <c r="D98" s="617"/>
      <c r="E98" s="643"/>
      <c r="F98" s="617"/>
      <c r="G98" s="617"/>
      <c r="H98" s="467">
        <v>0</v>
      </c>
      <c r="I98" s="477"/>
      <c r="J98" s="477"/>
      <c r="K98" s="1691">
        <f t="shared" si="12"/>
        <v>0</v>
      </c>
      <c r="L98" s="530">
        <v>0</v>
      </c>
    </row>
    <row r="99" spans="1:14" ht="14.25" thickTop="1" thickBot="1" x14ac:dyDescent="0.25">
      <c r="A99" s="1528" t="s">
        <v>385</v>
      </c>
      <c r="B99" s="640">
        <v>4390</v>
      </c>
      <c r="C99" s="617"/>
      <c r="D99" s="617"/>
      <c r="E99" s="532">
        <v>0</v>
      </c>
      <c r="F99" s="617"/>
      <c r="G99" s="617"/>
      <c r="H99" s="467">
        <v>0</v>
      </c>
      <c r="I99" s="477"/>
      <c r="J99" s="477"/>
      <c r="K99" s="1691">
        <f>SUM(E99,H99)</f>
        <v>0</v>
      </c>
      <c r="L99" s="530">
        <v>0</v>
      </c>
    </row>
    <row r="100" spans="1:14" ht="14.25" thickTop="1" thickBot="1" x14ac:dyDescent="0.25">
      <c r="A100" s="1694" t="s">
        <v>1566</v>
      </c>
      <c r="B100" s="1695">
        <v>4300</v>
      </c>
      <c r="C100" s="617"/>
      <c r="D100" s="617"/>
      <c r="E100" s="1691">
        <f>SUM(E93:E99)</f>
        <v>0</v>
      </c>
      <c r="F100" s="617"/>
      <c r="G100" s="617"/>
      <c r="H100" s="1691">
        <f>SUM(H93:H99)</f>
        <v>0</v>
      </c>
      <c r="I100" s="477"/>
      <c r="J100" s="477"/>
      <c r="K100" s="1691">
        <f>SUM(K93:K99)</f>
        <v>0</v>
      </c>
      <c r="L100" s="1691">
        <f>SUM(L93:L99)</f>
        <v>0</v>
      </c>
    </row>
    <row r="101" spans="1:14" ht="12.75" customHeight="1" thickTop="1" thickBot="1" x14ac:dyDescent="0.25">
      <c r="A101" s="1525" t="s">
        <v>1569</v>
      </c>
      <c r="B101" s="644" t="s">
        <v>988</v>
      </c>
      <c r="C101" s="617"/>
      <c r="D101" s="617"/>
      <c r="E101" s="531">
        <v>0</v>
      </c>
      <c r="F101" s="617"/>
      <c r="G101" s="617"/>
      <c r="H101" s="531">
        <v>0</v>
      </c>
      <c r="I101" s="477"/>
      <c r="J101" s="477"/>
      <c r="K101" s="1693">
        <f>SUM(C101:J101)</f>
        <v>0</v>
      </c>
      <c r="L101" s="530">
        <v>0</v>
      </c>
    </row>
    <row r="102" spans="1:14" ht="12.75" customHeight="1" thickTop="1" thickBot="1" x14ac:dyDescent="0.25">
      <c r="A102" s="1682" t="s">
        <v>1567</v>
      </c>
      <c r="B102" s="1692">
        <v>4000</v>
      </c>
      <c r="C102" s="617"/>
      <c r="D102" s="617"/>
      <c r="E102" s="1691">
        <f>SUM(E84,E92,E100,E101)</f>
        <v>222952</v>
      </c>
      <c r="F102" s="617"/>
      <c r="G102" s="617"/>
      <c r="H102" s="1691">
        <f>SUM(H84,H92,H100,H101)</f>
        <v>350309</v>
      </c>
      <c r="I102" s="477"/>
      <c r="J102" s="477"/>
      <c r="K102" s="1691">
        <f>SUM(K84,K92,K100,K101)</f>
        <v>573261</v>
      </c>
      <c r="L102" s="1691">
        <f>SUM(L84,L92,L100,L101)</f>
        <v>676834</v>
      </c>
    </row>
    <row r="103" spans="1:14" s="634" customFormat="1" ht="15.75" customHeight="1" thickTop="1" x14ac:dyDescent="0.2">
      <c r="A103" s="1626" t="s">
        <v>534</v>
      </c>
      <c r="B103" s="1623"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19" t="s">
        <v>89</v>
      </c>
      <c r="B105" s="615">
        <v>5110</v>
      </c>
      <c r="C105" s="617"/>
      <c r="D105" s="617"/>
      <c r="E105" s="617"/>
      <c r="F105" s="617"/>
      <c r="G105" s="617"/>
      <c r="H105" s="481">
        <v>0</v>
      </c>
      <c r="I105" s="468"/>
      <c r="J105" s="468"/>
      <c r="K105" s="1685">
        <f>H105</f>
        <v>0</v>
      </c>
      <c r="L105" s="481">
        <v>0</v>
      </c>
      <c r="M105" s="210"/>
      <c r="N105" s="210"/>
    </row>
    <row r="106" spans="1:14" s="598" customFormat="1" x14ac:dyDescent="0.2">
      <c r="A106" s="1519" t="s">
        <v>90</v>
      </c>
      <c r="B106" s="615">
        <v>5120</v>
      </c>
      <c r="C106" s="617"/>
      <c r="D106" s="617"/>
      <c r="E106" s="617"/>
      <c r="F106" s="617"/>
      <c r="G106" s="617"/>
      <c r="H106" s="466">
        <v>0</v>
      </c>
      <c r="I106" s="468"/>
      <c r="J106" s="468"/>
      <c r="K106" s="1685">
        <f>H106</f>
        <v>0</v>
      </c>
      <c r="L106" s="466">
        <v>0</v>
      </c>
      <c r="M106" s="210"/>
      <c r="N106" s="210"/>
    </row>
    <row r="107" spans="1:14" s="598" customFormat="1" ht="12.75" customHeight="1" x14ac:dyDescent="0.2">
      <c r="A107" s="1519" t="s">
        <v>1232</v>
      </c>
      <c r="B107" s="615">
        <v>5130</v>
      </c>
      <c r="C107" s="617"/>
      <c r="D107" s="617"/>
      <c r="E107" s="617"/>
      <c r="F107" s="617"/>
      <c r="G107" s="617"/>
      <c r="H107" s="466">
        <v>0</v>
      </c>
      <c r="I107" s="468"/>
      <c r="J107" s="468"/>
      <c r="K107" s="1685">
        <f>H107</f>
        <v>0</v>
      </c>
      <c r="L107" s="466">
        <v>0</v>
      </c>
      <c r="M107" s="210"/>
      <c r="N107" s="210"/>
    </row>
    <row r="108" spans="1:14" s="598" customFormat="1" x14ac:dyDescent="0.2">
      <c r="A108" s="1519" t="s">
        <v>91</v>
      </c>
      <c r="B108" s="615" t="s">
        <v>610</v>
      </c>
      <c r="C108" s="617"/>
      <c r="D108" s="617"/>
      <c r="E108" s="617"/>
      <c r="F108" s="617"/>
      <c r="G108" s="617"/>
      <c r="H108" s="466">
        <v>0</v>
      </c>
      <c r="I108" s="468"/>
      <c r="J108" s="468"/>
      <c r="K108" s="1685">
        <f>H108</f>
        <v>0</v>
      </c>
      <c r="L108" s="466">
        <v>0</v>
      </c>
      <c r="M108" s="210"/>
      <c r="N108" s="210"/>
    </row>
    <row r="109" spans="1:14" s="598" customFormat="1" x14ac:dyDescent="0.2">
      <c r="A109" s="1519" t="s">
        <v>272</v>
      </c>
      <c r="B109" s="629">
        <v>5150</v>
      </c>
      <c r="C109" s="617"/>
      <c r="D109" s="617"/>
      <c r="E109" s="617"/>
      <c r="F109" s="617"/>
      <c r="G109" s="617"/>
      <c r="H109" s="466">
        <v>0</v>
      </c>
      <c r="I109" s="468"/>
      <c r="J109" s="468"/>
      <c r="K109" s="1685">
        <f>H109</f>
        <v>0</v>
      </c>
      <c r="L109" s="466">
        <v>0</v>
      </c>
      <c r="M109" s="210"/>
      <c r="N109" s="210"/>
    </row>
    <row r="110" spans="1:14" s="598" customFormat="1" ht="12.75" customHeight="1" thickBot="1" x14ac:dyDescent="0.25">
      <c r="A110" s="1682" t="s">
        <v>1164</v>
      </c>
      <c r="B110" s="1689" t="s">
        <v>742</v>
      </c>
      <c r="C110" s="617"/>
      <c r="D110" s="617"/>
      <c r="E110" s="617"/>
      <c r="F110" s="617"/>
      <c r="G110" s="617"/>
      <c r="H110" s="1684">
        <f>SUM(H105:H109)</f>
        <v>0</v>
      </c>
      <c r="I110" s="468"/>
      <c r="J110" s="468"/>
      <c r="K110" s="1684">
        <f>SUM(K105:K109)</f>
        <v>0</v>
      </c>
      <c r="L110" s="1684">
        <f>SUM(L105:L109)</f>
        <v>0</v>
      </c>
      <c r="M110" s="210"/>
      <c r="N110" s="210"/>
    </row>
    <row r="111" spans="1:14" s="598" customFormat="1" ht="12.75" customHeight="1" thickTop="1" thickBot="1" x14ac:dyDescent="0.25">
      <c r="A111" s="1529" t="s">
        <v>386</v>
      </c>
      <c r="B111" s="648" t="s">
        <v>38</v>
      </c>
      <c r="C111" s="617"/>
      <c r="D111" s="617"/>
      <c r="E111" s="617"/>
      <c r="F111" s="617"/>
      <c r="G111" s="617"/>
      <c r="H111" s="535">
        <v>0</v>
      </c>
      <c r="I111" s="468"/>
      <c r="J111" s="468"/>
      <c r="K111" s="1697">
        <f>H111</f>
        <v>0</v>
      </c>
      <c r="L111" s="532">
        <v>0</v>
      </c>
      <c r="M111" s="210"/>
      <c r="N111" s="210"/>
    </row>
    <row r="112" spans="1:14" s="598" customFormat="1" ht="12.75" customHeight="1" thickTop="1" thickBot="1" x14ac:dyDescent="0.25">
      <c r="A112" s="1682" t="s">
        <v>659</v>
      </c>
      <c r="B112" s="1683" t="s">
        <v>513</v>
      </c>
      <c r="C112" s="617"/>
      <c r="D112" s="617"/>
      <c r="E112" s="617"/>
      <c r="F112" s="617"/>
      <c r="G112" s="617"/>
      <c r="H112" s="1684">
        <f>SUM(H110:H111)</f>
        <v>0</v>
      </c>
      <c r="I112" s="468"/>
      <c r="J112" s="468"/>
      <c r="K112" s="1684">
        <f>SUM(K110:K111)</f>
        <v>0</v>
      </c>
      <c r="L112" s="1691">
        <f>SUM(L110,L111)</f>
        <v>0</v>
      </c>
      <c r="M112" s="210"/>
      <c r="N112" s="210"/>
    </row>
    <row r="113" spans="1:14" s="259" customFormat="1" ht="15.75" customHeight="1" thickTop="1" thickBot="1" x14ac:dyDescent="0.25">
      <c r="A113" s="1620" t="s">
        <v>535</v>
      </c>
      <c r="B113" s="1627" t="s">
        <v>916</v>
      </c>
      <c r="C113" s="624"/>
      <c r="D113" s="624"/>
      <c r="E113" s="617"/>
      <c r="F113" s="617"/>
      <c r="G113" s="617"/>
      <c r="H113" s="624"/>
      <c r="I113" s="468"/>
      <c r="J113" s="468"/>
      <c r="K113" s="624"/>
      <c r="L113" s="531">
        <v>0</v>
      </c>
      <c r="M113" s="614"/>
      <c r="N113" s="614"/>
    </row>
    <row r="114" spans="1:14" ht="12.75" customHeight="1" thickTop="1" thickBot="1" x14ac:dyDescent="0.25">
      <c r="A114" s="1682" t="s">
        <v>50</v>
      </c>
      <c r="B114" s="1696"/>
      <c r="C114" s="1684">
        <f>SUM(C33,C74,C75,C102,C112,C113)</f>
        <v>17104688</v>
      </c>
      <c r="D114" s="1684">
        <f t="shared" ref="D114:K114" si="13">SUM(D33,D74,D75,D102,D112,D113)</f>
        <v>3124928</v>
      </c>
      <c r="E114" s="1684">
        <f t="shared" si="13"/>
        <v>1415919</v>
      </c>
      <c r="F114" s="1684">
        <f t="shared" si="13"/>
        <v>1064469</v>
      </c>
      <c r="G114" s="1684">
        <f t="shared" si="13"/>
        <v>39957</v>
      </c>
      <c r="H114" s="1684">
        <f>SUM(H33,H74,H75,H102,H112,H113)</f>
        <v>1958284</v>
      </c>
      <c r="I114" s="1684">
        <f t="shared" si="13"/>
        <v>765975</v>
      </c>
      <c r="J114" s="1684">
        <f t="shared" si="13"/>
        <v>0</v>
      </c>
      <c r="K114" s="1684">
        <f t="shared" si="13"/>
        <v>25474220</v>
      </c>
      <c r="L114" s="1684">
        <f>SUM(L33,L74,L75,L102,L112,L113)</f>
        <v>25741450</v>
      </c>
    </row>
    <row r="115" spans="1:14" ht="13.5" thickTop="1" x14ac:dyDescent="0.2">
      <c r="A115" s="2232" t="s">
        <v>1053</v>
      </c>
      <c r="B115" s="2233"/>
      <c r="C115" s="619"/>
      <c r="D115" s="619"/>
      <c r="E115" s="619"/>
      <c r="F115" s="619"/>
      <c r="G115" s="619"/>
      <c r="H115" s="619"/>
      <c r="I115" s="619"/>
      <c r="J115" s="619"/>
      <c r="K115" s="1698">
        <f>'Revenues 9-14'!C275-'Expenditures 15-22'!K114</f>
        <v>3804568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37" t="s">
        <v>314</v>
      </c>
      <c r="B117" s="2238"/>
      <c r="C117" s="1640"/>
      <c r="D117" s="1641"/>
      <c r="E117" s="1641"/>
      <c r="F117" s="1641"/>
      <c r="G117" s="1641"/>
      <c r="H117" s="1641"/>
      <c r="I117" s="1641"/>
      <c r="J117" s="1641"/>
      <c r="K117" s="1641"/>
      <c r="L117" s="1642"/>
      <c r="M117" s="175"/>
      <c r="N117" s="175"/>
    </row>
    <row r="118" spans="1:14" ht="15.75" customHeight="1" x14ac:dyDescent="0.2">
      <c r="A118" s="1628" t="s">
        <v>1095</v>
      </c>
      <c r="B118" s="1629"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3" t="s">
        <v>167</v>
      </c>
      <c r="B120" s="629">
        <v>2190</v>
      </c>
      <c r="C120" s="466">
        <v>0</v>
      </c>
      <c r="D120" s="466">
        <v>0</v>
      </c>
      <c r="E120" s="466">
        <v>0</v>
      </c>
      <c r="F120" s="466">
        <v>0</v>
      </c>
      <c r="G120" s="466">
        <v>0</v>
      </c>
      <c r="H120" s="466">
        <v>0</v>
      </c>
      <c r="I120" s="467">
        <v>0</v>
      </c>
      <c r="J120" s="467">
        <v>0</v>
      </c>
      <c r="K120" s="1685">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19" t="s">
        <v>1128</v>
      </c>
      <c r="B122" s="615">
        <v>2510</v>
      </c>
      <c r="C122" s="466">
        <v>0</v>
      </c>
      <c r="D122" s="466">
        <v>0</v>
      </c>
      <c r="E122" s="466">
        <v>0</v>
      </c>
      <c r="F122" s="466">
        <v>0</v>
      </c>
      <c r="G122" s="466">
        <v>0</v>
      </c>
      <c r="H122" s="466">
        <v>0</v>
      </c>
      <c r="I122" s="467">
        <v>0</v>
      </c>
      <c r="J122" s="467">
        <v>0</v>
      </c>
      <c r="K122" s="1684">
        <f>SUM(C122:J122)</f>
        <v>0</v>
      </c>
      <c r="L122" s="466">
        <v>0</v>
      </c>
    </row>
    <row r="123" spans="1:14" ht="14.25" thickTop="1" thickBot="1" x14ac:dyDescent="0.25">
      <c r="A123" s="1519" t="s">
        <v>4</v>
      </c>
      <c r="B123" s="615">
        <v>2530</v>
      </c>
      <c r="C123" s="466">
        <v>0</v>
      </c>
      <c r="D123" s="466">
        <v>0</v>
      </c>
      <c r="E123" s="466">
        <v>86495</v>
      </c>
      <c r="F123" s="466">
        <v>0</v>
      </c>
      <c r="G123" s="466">
        <v>694862</v>
      </c>
      <c r="H123" s="466">
        <v>0</v>
      </c>
      <c r="I123" s="467">
        <v>0</v>
      </c>
      <c r="J123" s="467">
        <v>0</v>
      </c>
      <c r="K123" s="1684">
        <f>SUM(C123:J123)</f>
        <v>781357</v>
      </c>
      <c r="L123" s="466">
        <v>900000</v>
      </c>
    </row>
    <row r="124" spans="1:14" ht="14.25" thickTop="1" thickBot="1" x14ac:dyDescent="0.25">
      <c r="A124" s="1519" t="s">
        <v>206</v>
      </c>
      <c r="B124" s="615">
        <v>2540</v>
      </c>
      <c r="C124" s="466">
        <v>660521</v>
      </c>
      <c r="D124" s="466">
        <v>122816</v>
      </c>
      <c r="E124" s="466">
        <v>1291534</v>
      </c>
      <c r="F124" s="466">
        <v>934013</v>
      </c>
      <c r="G124" s="466">
        <v>76936</v>
      </c>
      <c r="H124" s="466">
        <v>0</v>
      </c>
      <c r="I124" s="467">
        <v>269502</v>
      </c>
      <c r="J124" s="467">
        <v>0</v>
      </c>
      <c r="K124" s="1684">
        <f>SUM(C124:J124)</f>
        <v>3355322</v>
      </c>
      <c r="L124" s="466">
        <v>2944189</v>
      </c>
    </row>
    <row r="125" spans="1:14" ht="14.25" thickTop="1" thickBot="1" x14ac:dyDescent="0.25">
      <c r="A125" s="1519" t="s">
        <v>1010</v>
      </c>
      <c r="B125" s="615">
        <v>2550</v>
      </c>
      <c r="C125" s="466">
        <v>0</v>
      </c>
      <c r="D125" s="466">
        <v>0</v>
      </c>
      <c r="E125" s="466">
        <v>0</v>
      </c>
      <c r="F125" s="466">
        <v>0</v>
      </c>
      <c r="G125" s="466">
        <v>0</v>
      </c>
      <c r="H125" s="466">
        <v>0</v>
      </c>
      <c r="I125" s="467">
        <v>0</v>
      </c>
      <c r="J125" s="467">
        <v>0</v>
      </c>
      <c r="K125" s="1684">
        <f>SUM(C125:J125)</f>
        <v>0</v>
      </c>
      <c r="L125" s="466">
        <v>0</v>
      </c>
    </row>
    <row r="126" spans="1:14" ht="14.25" thickTop="1" thickBot="1" x14ac:dyDescent="0.25">
      <c r="A126" s="1519" t="s">
        <v>102</v>
      </c>
      <c r="B126" s="615">
        <v>2560</v>
      </c>
      <c r="C126" s="655"/>
      <c r="D126" s="655"/>
      <c r="E126" s="655"/>
      <c r="F126" s="655"/>
      <c r="G126" s="466">
        <v>0</v>
      </c>
      <c r="H126" s="655"/>
      <c r="I126" s="474">
        <v>0</v>
      </c>
      <c r="J126" s="617"/>
      <c r="K126" s="1684">
        <f>SUM(C126:J126)</f>
        <v>0</v>
      </c>
      <c r="L126" s="466">
        <v>0</v>
      </c>
    </row>
    <row r="127" spans="1:14" ht="12.75" customHeight="1" thickTop="1" thickBot="1" x14ac:dyDescent="0.25">
      <c r="A127" s="1682" t="s">
        <v>743</v>
      </c>
      <c r="B127" s="1683" t="s">
        <v>35</v>
      </c>
      <c r="C127" s="1684">
        <f>SUM(C122:C126)</f>
        <v>660521</v>
      </c>
      <c r="D127" s="1684">
        <f t="shared" ref="D127:L127" si="14">SUM(D122:D126)</f>
        <v>122816</v>
      </c>
      <c r="E127" s="1684">
        <f t="shared" si="14"/>
        <v>1378029</v>
      </c>
      <c r="F127" s="1684">
        <f t="shared" si="14"/>
        <v>934013</v>
      </c>
      <c r="G127" s="1684">
        <f t="shared" si="14"/>
        <v>771798</v>
      </c>
      <c r="H127" s="1684">
        <f t="shared" si="14"/>
        <v>0</v>
      </c>
      <c r="I127" s="1684">
        <f t="shared" si="14"/>
        <v>269502</v>
      </c>
      <c r="J127" s="1684">
        <f t="shared" si="14"/>
        <v>0</v>
      </c>
      <c r="K127" s="1684">
        <f t="shared" si="14"/>
        <v>4136679</v>
      </c>
      <c r="L127" s="1684">
        <f t="shared" si="14"/>
        <v>3844189</v>
      </c>
    </row>
    <row r="128" spans="1:14" ht="12.75" customHeight="1" thickTop="1" x14ac:dyDescent="0.2">
      <c r="A128" s="1526" t="s">
        <v>1037</v>
      </c>
      <c r="B128" s="656" t="s">
        <v>595</v>
      </c>
      <c r="C128" s="657">
        <v>0</v>
      </c>
      <c r="D128" s="657">
        <v>0</v>
      </c>
      <c r="E128" s="657">
        <v>0</v>
      </c>
      <c r="F128" s="657">
        <v>0</v>
      </c>
      <c r="G128" s="657">
        <v>0</v>
      </c>
      <c r="H128" s="657">
        <v>0</v>
      </c>
      <c r="I128" s="535">
        <v>0</v>
      </c>
      <c r="J128" s="535">
        <v>0</v>
      </c>
      <c r="K128" s="1699">
        <f>SUM(C128:J128)</f>
        <v>0</v>
      </c>
      <c r="L128" s="657">
        <v>0</v>
      </c>
    </row>
    <row r="129" spans="1:14" ht="12.75" customHeight="1" thickBot="1" x14ac:dyDescent="0.25">
      <c r="A129" s="1700" t="s">
        <v>865</v>
      </c>
      <c r="B129" s="1701" t="s">
        <v>590</v>
      </c>
      <c r="C129" s="1691">
        <f>SUM(C120,C127,C128)</f>
        <v>660521</v>
      </c>
      <c r="D129" s="1691">
        <f t="shared" ref="D129:L129" si="15">SUM(D120,D127,D128)</f>
        <v>122816</v>
      </c>
      <c r="E129" s="1691">
        <f t="shared" si="15"/>
        <v>1378029</v>
      </c>
      <c r="F129" s="1691">
        <f t="shared" si="15"/>
        <v>934013</v>
      </c>
      <c r="G129" s="1691">
        <f t="shared" si="15"/>
        <v>771798</v>
      </c>
      <c r="H129" s="1691">
        <f t="shared" si="15"/>
        <v>0</v>
      </c>
      <c r="I129" s="1691">
        <f t="shared" si="15"/>
        <v>269502</v>
      </c>
      <c r="J129" s="1691">
        <f t="shared" si="15"/>
        <v>0</v>
      </c>
      <c r="K129" s="1691">
        <f t="shared" si="15"/>
        <v>4136679</v>
      </c>
      <c r="L129" s="1691">
        <f t="shared" si="15"/>
        <v>3844189</v>
      </c>
    </row>
    <row r="130" spans="1:14" ht="15.75" customHeight="1" thickTop="1" thickBot="1" x14ac:dyDescent="0.25">
      <c r="A130" s="1624" t="s">
        <v>1096</v>
      </c>
      <c r="B130" s="1625" t="s">
        <v>596</v>
      </c>
      <c r="C130" s="576">
        <v>0</v>
      </c>
      <c r="D130" s="576">
        <v>0</v>
      </c>
      <c r="E130" s="576">
        <v>0</v>
      </c>
      <c r="F130" s="576">
        <v>0</v>
      </c>
      <c r="G130" s="576">
        <v>0</v>
      </c>
      <c r="H130" s="576">
        <v>0</v>
      </c>
      <c r="I130" s="531">
        <v>0</v>
      </c>
      <c r="J130" s="531">
        <v>0</v>
      </c>
      <c r="K130" s="1684">
        <f>SUM(C130:J130)</f>
        <v>0</v>
      </c>
      <c r="L130" s="576">
        <v>0</v>
      </c>
    </row>
    <row r="131" spans="1:14" ht="15.75" customHeight="1" thickTop="1" x14ac:dyDescent="0.2">
      <c r="A131" s="1630" t="s">
        <v>637</v>
      </c>
      <c r="B131" s="1623"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5" t="s">
        <v>517</v>
      </c>
      <c r="B133" s="1856" t="s">
        <v>1954</v>
      </c>
      <c r="C133" s="468"/>
      <c r="D133" s="468"/>
      <c r="E133" s="642">
        <v>0</v>
      </c>
      <c r="F133" s="468"/>
      <c r="G133" s="468"/>
      <c r="H133" s="642">
        <v>0</v>
      </c>
      <c r="I133" s="468"/>
      <c r="J133" s="468"/>
      <c r="K133" s="1836">
        <f>SUM(E133,H133)</f>
        <v>0</v>
      </c>
      <c r="L133" s="642">
        <v>0</v>
      </c>
      <c r="M133" s="206"/>
      <c r="N133" s="206"/>
    </row>
    <row r="134" spans="1:14" x14ac:dyDescent="0.2">
      <c r="A134" s="1519" t="s">
        <v>322</v>
      </c>
      <c r="B134" s="615">
        <v>4120</v>
      </c>
      <c r="C134" s="617"/>
      <c r="D134" s="617"/>
      <c r="E134" s="478">
        <v>0</v>
      </c>
      <c r="F134" s="617"/>
      <c r="G134" s="617"/>
      <c r="H134" s="481">
        <v>0</v>
      </c>
      <c r="I134" s="477"/>
      <c r="J134" s="617"/>
      <c r="K134" s="1686">
        <f>SUM(E134,H134)</f>
        <v>0</v>
      </c>
      <c r="L134" s="481">
        <v>0</v>
      </c>
    </row>
    <row r="135" spans="1:14" x14ac:dyDescent="0.2">
      <c r="A135" s="1519" t="s">
        <v>721</v>
      </c>
      <c r="B135" s="615">
        <v>4140</v>
      </c>
      <c r="C135" s="617"/>
      <c r="D135" s="617"/>
      <c r="E135" s="467">
        <v>0</v>
      </c>
      <c r="F135" s="617"/>
      <c r="G135" s="617"/>
      <c r="H135" s="466">
        <v>0</v>
      </c>
      <c r="I135" s="477"/>
      <c r="J135" s="617"/>
      <c r="K135" s="1686">
        <f>SUM(E135,H135)</f>
        <v>0</v>
      </c>
      <c r="L135" s="466">
        <v>0</v>
      </c>
    </row>
    <row r="136" spans="1:14" x14ac:dyDescent="0.2">
      <c r="A136" s="1523" t="s">
        <v>722</v>
      </c>
      <c r="B136" s="629">
        <v>4190</v>
      </c>
      <c r="C136" s="617"/>
      <c r="D136" s="617"/>
      <c r="E136" s="467">
        <v>0</v>
      </c>
      <c r="F136" s="617"/>
      <c r="G136" s="617"/>
      <c r="H136" s="466">
        <v>0</v>
      </c>
      <c r="I136" s="477"/>
      <c r="J136" s="617"/>
      <c r="K136" s="1686">
        <f>SUM(E136,H136)</f>
        <v>0</v>
      </c>
      <c r="L136" s="466">
        <v>0</v>
      </c>
    </row>
    <row r="137" spans="1:14" ht="12.75" customHeight="1" thickBot="1" x14ac:dyDescent="0.25">
      <c r="A137" s="1682" t="s">
        <v>501</v>
      </c>
      <c r="B137" s="1692">
        <v>4100</v>
      </c>
      <c r="C137" s="617"/>
      <c r="D137" s="617"/>
      <c r="E137" s="1684">
        <f>SUM(E133:E136)</f>
        <v>0</v>
      </c>
      <c r="F137" s="617"/>
      <c r="G137" s="617"/>
      <c r="H137" s="1684">
        <f>SUM(H133:H136)</f>
        <v>0</v>
      </c>
      <c r="I137" s="477"/>
      <c r="J137" s="617"/>
      <c r="K137" s="1684">
        <f>SUM(K133:K136)</f>
        <v>0</v>
      </c>
      <c r="L137" s="1684">
        <f>SUM(L133:L136)</f>
        <v>0</v>
      </c>
    </row>
    <row r="138" spans="1:14" ht="12.75" customHeight="1" thickTop="1" thickBot="1" x14ac:dyDescent="0.25">
      <c r="A138" s="1525" t="s">
        <v>98</v>
      </c>
      <c r="B138" s="644" t="s">
        <v>988</v>
      </c>
      <c r="C138" s="617"/>
      <c r="D138" s="617"/>
      <c r="E138" s="479"/>
      <c r="F138" s="617"/>
      <c r="G138" s="617"/>
      <c r="H138" s="576">
        <v>0</v>
      </c>
      <c r="I138" s="477"/>
      <c r="J138" s="617"/>
      <c r="K138" s="1686">
        <f>SUM(E138,H138)</f>
        <v>0</v>
      </c>
      <c r="L138" s="576">
        <v>0</v>
      </c>
    </row>
    <row r="139" spans="1:14" ht="12.75" customHeight="1" thickTop="1" thickBot="1" x14ac:dyDescent="0.25">
      <c r="A139" s="1682" t="s">
        <v>1567</v>
      </c>
      <c r="B139" s="1692">
        <v>4000</v>
      </c>
      <c r="C139" s="617"/>
      <c r="D139" s="617"/>
      <c r="E139" s="1684">
        <f>SUM(E137,E138)</f>
        <v>0</v>
      </c>
      <c r="F139" s="617"/>
      <c r="G139" s="617"/>
      <c r="H139" s="1693">
        <f>SUM(H137:H138)</f>
        <v>0</v>
      </c>
      <c r="I139" s="477"/>
      <c r="J139" s="617"/>
      <c r="K139" s="1686">
        <f>SUM(K137,K138)</f>
        <v>0</v>
      </c>
      <c r="L139" s="1693">
        <f>SUM(L137,L138)</f>
        <v>0</v>
      </c>
    </row>
    <row r="140" spans="1:14" ht="15.75" customHeight="1" thickTop="1" x14ac:dyDescent="0.2">
      <c r="A140" s="1626" t="s">
        <v>1097</v>
      </c>
      <c r="B140" s="1627"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19" t="s">
        <v>89</v>
      </c>
      <c r="B142" s="615">
        <v>5110</v>
      </c>
      <c r="C142" s="617"/>
      <c r="D142" s="617"/>
      <c r="E142" s="617"/>
      <c r="F142" s="617"/>
      <c r="G142" s="617"/>
      <c r="H142" s="481">
        <v>0</v>
      </c>
      <c r="I142" s="468"/>
      <c r="J142" s="617"/>
      <c r="K142" s="1686">
        <f>SUM(H142)</f>
        <v>0</v>
      </c>
      <c r="L142" s="481">
        <v>0</v>
      </c>
    </row>
    <row r="143" spans="1:14" x14ac:dyDescent="0.2">
      <c r="A143" s="1519" t="s">
        <v>90</v>
      </c>
      <c r="B143" s="615">
        <v>5120</v>
      </c>
      <c r="C143" s="617"/>
      <c r="D143" s="617"/>
      <c r="E143" s="617"/>
      <c r="F143" s="617"/>
      <c r="G143" s="617"/>
      <c r="H143" s="466">
        <v>0</v>
      </c>
      <c r="I143" s="468"/>
      <c r="J143" s="617"/>
      <c r="K143" s="1686">
        <f>SUM(H143)</f>
        <v>0</v>
      </c>
      <c r="L143" s="466">
        <v>0</v>
      </c>
    </row>
    <row r="144" spans="1:14" ht="12.75" customHeight="1" x14ac:dyDescent="0.2">
      <c r="A144" s="1519" t="s">
        <v>1232</v>
      </c>
      <c r="B144" s="629" t="s">
        <v>638</v>
      </c>
      <c r="C144" s="617"/>
      <c r="D144" s="617"/>
      <c r="E144" s="617"/>
      <c r="F144" s="617"/>
      <c r="G144" s="617"/>
      <c r="H144" s="466">
        <v>0</v>
      </c>
      <c r="I144" s="468"/>
      <c r="J144" s="617"/>
      <c r="K144" s="1686">
        <f>SUM(H144)</f>
        <v>0</v>
      </c>
      <c r="L144" s="466">
        <v>0</v>
      </c>
    </row>
    <row r="145" spans="1:14" x14ac:dyDescent="0.2">
      <c r="A145" s="1519" t="s">
        <v>91</v>
      </c>
      <c r="B145" s="615" t="s">
        <v>610</v>
      </c>
      <c r="C145" s="617"/>
      <c r="D145" s="617"/>
      <c r="E145" s="617"/>
      <c r="F145" s="617"/>
      <c r="G145" s="617"/>
      <c r="H145" s="466">
        <v>0</v>
      </c>
      <c r="I145" s="468"/>
      <c r="J145" s="617"/>
      <c r="K145" s="1686">
        <f>SUM(H145)</f>
        <v>0</v>
      </c>
      <c r="L145" s="466">
        <v>0</v>
      </c>
    </row>
    <row r="146" spans="1:14" ht="12.75" customHeight="1" x14ac:dyDescent="0.2">
      <c r="A146" s="1519" t="s">
        <v>640</v>
      </c>
      <c r="B146" s="615" t="s">
        <v>639</v>
      </c>
      <c r="C146" s="617"/>
      <c r="D146" s="617"/>
      <c r="E146" s="617"/>
      <c r="F146" s="617"/>
      <c r="G146" s="617"/>
      <c r="H146" s="466">
        <v>0</v>
      </c>
      <c r="I146" s="468"/>
      <c r="J146" s="617"/>
      <c r="K146" s="1686">
        <f>SUM(H146)</f>
        <v>0</v>
      </c>
      <c r="L146" s="466">
        <v>0</v>
      </c>
    </row>
    <row r="147" spans="1:14" ht="12.75" customHeight="1" thickBot="1" x14ac:dyDescent="0.25">
      <c r="A147" s="1530" t="s">
        <v>647</v>
      </c>
      <c r="B147" s="660" t="s">
        <v>742</v>
      </c>
      <c r="C147" s="617"/>
      <c r="D147" s="617"/>
      <c r="E147" s="617"/>
      <c r="F147" s="617"/>
      <c r="G147" s="617"/>
      <c r="H147" s="1702">
        <f>SUM(H142:H146)</f>
        <v>0</v>
      </c>
      <c r="I147" s="468"/>
      <c r="J147" s="617"/>
      <c r="K147" s="1684">
        <f>SUM(K142:K146)</f>
        <v>0</v>
      </c>
      <c r="L147" s="1702">
        <f>SUM(L142:L146)</f>
        <v>0</v>
      </c>
    </row>
    <row r="148" spans="1:14" ht="15.75" customHeight="1" thickTop="1" x14ac:dyDescent="0.2">
      <c r="A148" s="661" t="s">
        <v>1165</v>
      </c>
      <c r="B148" s="662" t="s">
        <v>38</v>
      </c>
      <c r="C148" s="617"/>
      <c r="D148" s="617"/>
      <c r="E148" s="617"/>
      <c r="F148" s="617"/>
      <c r="G148" s="617"/>
      <c r="H148" s="479">
        <v>0</v>
      </c>
      <c r="I148" s="468"/>
      <c r="J148" s="617"/>
      <c r="K148" s="1686">
        <f>SUM(H148)</f>
        <v>0</v>
      </c>
      <c r="L148" s="492">
        <v>0</v>
      </c>
    </row>
    <row r="149" spans="1:14" ht="12.75" customHeight="1" thickBot="1" x14ac:dyDescent="0.25">
      <c r="A149" s="1522" t="s">
        <v>659</v>
      </c>
      <c r="B149" s="618" t="s">
        <v>513</v>
      </c>
      <c r="C149" s="617"/>
      <c r="D149" s="617"/>
      <c r="E149" s="617"/>
      <c r="F149" s="617"/>
      <c r="G149" s="617"/>
      <c r="H149" s="1684">
        <f>SUM(H147,H148)</f>
        <v>0</v>
      </c>
      <c r="I149" s="468"/>
      <c r="J149" s="617"/>
      <c r="K149" s="1684">
        <f>SUM(K147:K148)</f>
        <v>0</v>
      </c>
      <c r="L149" s="1684">
        <f>SUM(L142:L146,L148)</f>
        <v>0</v>
      </c>
    </row>
    <row r="150" spans="1:14" ht="15.75" customHeight="1" thickTop="1" thickBot="1" x14ac:dyDescent="0.25">
      <c r="A150" s="1620" t="s">
        <v>1098</v>
      </c>
      <c r="B150" s="1627" t="s">
        <v>916</v>
      </c>
      <c r="C150" s="617"/>
      <c r="D150" s="617"/>
      <c r="E150" s="617"/>
      <c r="F150" s="617"/>
      <c r="G150" s="617"/>
      <c r="H150" s="663"/>
      <c r="I150" s="521"/>
      <c r="J150" s="617"/>
      <c r="K150" s="624"/>
      <c r="L150" s="573">
        <v>0</v>
      </c>
    </row>
    <row r="151" spans="1:14" ht="12.75" customHeight="1" thickTop="1" thickBot="1" x14ac:dyDescent="0.25">
      <c r="A151" s="2249" t="s">
        <v>641</v>
      </c>
      <c r="B151" s="2229"/>
      <c r="C151" s="1684">
        <f>SUM(C129,C130,C139,C149,C150)</f>
        <v>660521</v>
      </c>
      <c r="D151" s="1684">
        <f t="shared" ref="D151:K151" si="16">SUM(D129,D130,D139,D149,D150)</f>
        <v>122816</v>
      </c>
      <c r="E151" s="1684">
        <f t="shared" si="16"/>
        <v>1378029</v>
      </c>
      <c r="F151" s="1684">
        <f t="shared" si="16"/>
        <v>934013</v>
      </c>
      <c r="G151" s="1684">
        <f t="shared" si="16"/>
        <v>771798</v>
      </c>
      <c r="H151" s="1684">
        <f t="shared" si="16"/>
        <v>0</v>
      </c>
      <c r="I151" s="1684">
        <f t="shared" si="16"/>
        <v>269502</v>
      </c>
      <c r="J151" s="1684">
        <f t="shared" si="16"/>
        <v>0</v>
      </c>
      <c r="K151" s="1684">
        <f t="shared" si="16"/>
        <v>4136679</v>
      </c>
      <c r="L151" s="1684">
        <f>SUM(L129,L130,L139,L149,L150)</f>
        <v>3844189</v>
      </c>
    </row>
    <row r="152" spans="1:14" ht="12.75" customHeight="1" thickTop="1" x14ac:dyDescent="0.2">
      <c r="A152" s="2252" t="s">
        <v>1240</v>
      </c>
      <c r="B152" s="2253"/>
      <c r="C152" s="619"/>
      <c r="D152" s="619"/>
      <c r="E152" s="619"/>
      <c r="F152" s="619"/>
      <c r="G152" s="619"/>
      <c r="H152" s="619"/>
      <c r="I152" s="619"/>
      <c r="J152" s="617"/>
      <c r="K152" s="1698">
        <f>'Revenues 9-14'!D275-'Expenditures 15-22'!K151</f>
        <v>-1558488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37" t="s">
        <v>642</v>
      </c>
      <c r="B154" s="2239"/>
      <c r="C154" s="1640"/>
      <c r="D154" s="1641"/>
      <c r="E154" s="1641"/>
      <c r="F154" s="1641"/>
      <c r="G154" s="1641"/>
      <c r="H154" s="1641"/>
      <c r="I154" s="1641"/>
      <c r="J154" s="1641"/>
      <c r="K154" s="1641"/>
      <c r="L154" s="1642"/>
      <c r="M154" s="668"/>
      <c r="N154" s="668"/>
    </row>
    <row r="155" spans="1:14" s="621" customFormat="1" ht="15.75" customHeight="1" thickBot="1" x14ac:dyDescent="0.25">
      <c r="A155" s="1631" t="s">
        <v>83</v>
      </c>
      <c r="B155" s="1632" t="s">
        <v>915</v>
      </c>
      <c r="C155" s="617"/>
      <c r="D155" s="617"/>
      <c r="E155" s="617"/>
      <c r="F155" s="617"/>
      <c r="G155" s="617"/>
      <c r="H155" s="1857"/>
      <c r="I155" s="617"/>
      <c r="J155" s="617"/>
      <c r="K155" s="1840"/>
      <c r="L155" s="1857"/>
      <c r="M155" s="620"/>
      <c r="N155" s="620"/>
    </row>
    <row r="156" spans="1:14" s="621" customFormat="1" ht="15.75" customHeight="1" thickTop="1" x14ac:dyDescent="0.2">
      <c r="A156" s="1837" t="s">
        <v>1955</v>
      </c>
      <c r="B156" s="1838"/>
      <c r="C156" s="617"/>
      <c r="D156" s="617"/>
      <c r="E156" s="617"/>
      <c r="F156" s="617"/>
      <c r="G156" s="617"/>
      <c r="H156" s="1858"/>
      <c r="I156" s="617"/>
      <c r="J156" s="617"/>
      <c r="K156" s="1839"/>
      <c r="L156" s="1858"/>
      <c r="M156" s="620"/>
      <c r="N156" s="620"/>
    </row>
    <row r="157" spans="1:14" s="621" customFormat="1" ht="12" x14ac:dyDescent="0.2">
      <c r="A157" s="1841" t="s">
        <v>517</v>
      </c>
      <c r="B157" s="1842" t="s">
        <v>1954</v>
      </c>
      <c r="C157" s="617"/>
      <c r="D157" s="617"/>
      <c r="E157" s="617"/>
      <c r="F157" s="617"/>
      <c r="G157" s="617"/>
      <c r="H157" s="642">
        <v>0</v>
      </c>
      <c r="I157" s="617"/>
      <c r="J157" s="617"/>
      <c r="K157" s="1685">
        <f>H157</f>
        <v>0</v>
      </c>
      <c r="L157" s="467">
        <v>0</v>
      </c>
      <c r="M157" s="620"/>
      <c r="N157" s="620"/>
    </row>
    <row r="158" spans="1:14" s="621" customFormat="1" ht="12" x14ac:dyDescent="0.2">
      <c r="A158" s="1841" t="s">
        <v>322</v>
      </c>
      <c r="B158" s="1842" t="s">
        <v>1956</v>
      </c>
      <c r="C158" s="617"/>
      <c r="D158" s="617"/>
      <c r="E158" s="617"/>
      <c r="F158" s="617"/>
      <c r="G158" s="617"/>
      <c r="H158" s="467">
        <v>0</v>
      </c>
      <c r="I158" s="617"/>
      <c r="J158" s="617"/>
      <c r="K158" s="1685">
        <f>H158</f>
        <v>0</v>
      </c>
      <c r="L158" s="467">
        <v>0</v>
      </c>
      <c r="M158" s="620"/>
      <c r="N158" s="620"/>
    </row>
    <row r="159" spans="1:14" s="621" customFormat="1" ht="12" x14ac:dyDescent="0.2">
      <c r="A159" s="1841" t="s">
        <v>1957</v>
      </c>
      <c r="B159" s="1842" t="s">
        <v>579</v>
      </c>
      <c r="C159" s="617"/>
      <c r="D159" s="617"/>
      <c r="E159" s="617"/>
      <c r="F159" s="617"/>
      <c r="G159" s="617"/>
      <c r="H159" s="467">
        <v>0</v>
      </c>
      <c r="I159" s="617"/>
      <c r="J159" s="617"/>
      <c r="K159" s="1685">
        <f>H159</f>
        <v>0</v>
      </c>
      <c r="L159" s="467">
        <v>0</v>
      </c>
      <c r="M159" s="620"/>
      <c r="N159" s="620"/>
    </row>
    <row r="160" spans="1:14" s="621" customFormat="1" ht="15.75" customHeight="1" thickBot="1" x14ac:dyDescent="0.25">
      <c r="A160" s="1843" t="s">
        <v>1958</v>
      </c>
      <c r="B160" s="1844" t="s">
        <v>915</v>
      </c>
      <c r="C160" s="617"/>
      <c r="D160" s="617"/>
      <c r="E160" s="617"/>
      <c r="F160" s="617"/>
      <c r="G160" s="617"/>
      <c r="H160" s="1702">
        <f>SUM(H157:H159)</f>
        <v>0</v>
      </c>
      <c r="I160" s="617"/>
      <c r="J160" s="617"/>
      <c r="K160" s="1684">
        <f>SUM(K157:K159)</f>
        <v>0</v>
      </c>
      <c r="L160" s="1702">
        <f>SUM(L157:L159)</f>
        <v>0</v>
      </c>
      <c r="M160" s="620"/>
      <c r="N160" s="620"/>
    </row>
    <row r="161" spans="1:14" s="259" customFormat="1" ht="15.75" customHeight="1" thickTop="1" x14ac:dyDescent="0.2">
      <c r="A161" s="1626" t="s">
        <v>84</v>
      </c>
      <c r="B161" s="1627"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19" t="s">
        <v>89</v>
      </c>
      <c r="B163" s="615">
        <v>5110</v>
      </c>
      <c r="C163" s="617"/>
      <c r="D163" s="617"/>
      <c r="E163" s="617"/>
      <c r="F163" s="617"/>
      <c r="G163" s="617"/>
      <c r="H163" s="466">
        <v>0</v>
      </c>
      <c r="I163" s="617"/>
      <c r="J163" s="617"/>
      <c r="K163" s="1685">
        <f>SUM(C163:J163)</f>
        <v>0</v>
      </c>
      <c r="L163" s="466">
        <v>0</v>
      </c>
    </row>
    <row r="164" spans="1:14" x14ac:dyDescent="0.2">
      <c r="A164" s="1519" t="s">
        <v>90</v>
      </c>
      <c r="B164" s="615">
        <v>5120</v>
      </c>
      <c r="C164" s="617"/>
      <c r="D164" s="617"/>
      <c r="E164" s="617"/>
      <c r="F164" s="617"/>
      <c r="G164" s="617"/>
      <c r="H164" s="466">
        <v>0</v>
      </c>
      <c r="I164" s="617"/>
      <c r="J164" s="617"/>
      <c r="K164" s="1685">
        <f>SUM(C164:J164)</f>
        <v>0</v>
      </c>
      <c r="L164" s="466">
        <v>0</v>
      </c>
    </row>
    <row r="165" spans="1:14" ht="12.75" customHeight="1" x14ac:dyDescent="0.2">
      <c r="A165" s="1519" t="s">
        <v>1232</v>
      </c>
      <c r="B165" s="615" t="s">
        <v>638</v>
      </c>
      <c r="C165" s="617"/>
      <c r="D165" s="617"/>
      <c r="E165" s="617"/>
      <c r="F165" s="617"/>
      <c r="G165" s="617"/>
      <c r="H165" s="466">
        <v>0</v>
      </c>
      <c r="I165" s="617"/>
      <c r="J165" s="617"/>
      <c r="K165" s="1685">
        <f>SUM(C165:J165)</f>
        <v>0</v>
      </c>
      <c r="L165" s="466">
        <v>0</v>
      </c>
    </row>
    <row r="166" spans="1:14" x14ac:dyDescent="0.2">
      <c r="A166" s="1519" t="s">
        <v>91</v>
      </c>
      <c r="B166" s="629" t="s">
        <v>610</v>
      </c>
      <c r="C166" s="617"/>
      <c r="D166" s="617"/>
      <c r="E166" s="617"/>
      <c r="F166" s="617"/>
      <c r="G166" s="617"/>
      <c r="H166" s="466">
        <v>0</v>
      </c>
      <c r="I166" s="617"/>
      <c r="J166" s="617"/>
      <c r="K166" s="1685">
        <f>SUM(C166:J166)</f>
        <v>0</v>
      </c>
      <c r="L166" s="466">
        <v>0</v>
      </c>
    </row>
    <row r="167" spans="1:14" ht="12.75" customHeight="1" x14ac:dyDescent="0.2">
      <c r="A167" s="1519" t="s">
        <v>640</v>
      </c>
      <c r="B167" s="615" t="s">
        <v>639</v>
      </c>
      <c r="C167" s="617"/>
      <c r="D167" s="617"/>
      <c r="E167" s="617"/>
      <c r="F167" s="617"/>
      <c r="G167" s="617"/>
      <c r="H167" s="466">
        <v>0</v>
      </c>
      <c r="I167" s="617"/>
      <c r="J167" s="617"/>
      <c r="K167" s="1685">
        <f>SUM(C167:J167)</f>
        <v>0</v>
      </c>
      <c r="L167" s="466">
        <v>0</v>
      </c>
    </row>
    <row r="168" spans="1:14" ht="13.5" thickBot="1" x14ac:dyDescent="0.25">
      <c r="A168" s="1682" t="s">
        <v>294</v>
      </c>
      <c r="B168" s="1689" t="s">
        <v>742</v>
      </c>
      <c r="C168" s="617"/>
      <c r="D168" s="617"/>
      <c r="E168" s="617"/>
      <c r="F168" s="617"/>
      <c r="G168" s="617"/>
      <c r="H168" s="1684">
        <f>SUM(H163:H167)</f>
        <v>0</v>
      </c>
      <c r="I168" s="617"/>
      <c r="J168" s="617"/>
      <c r="K168" s="1684">
        <f>SUM(K163:K167)</f>
        <v>0</v>
      </c>
      <c r="L168" s="1684">
        <f>SUM(L163:L167)</f>
        <v>0</v>
      </c>
    </row>
    <row r="169" spans="1:14" ht="15.75" customHeight="1" thickTop="1" x14ac:dyDescent="0.2">
      <c r="A169" s="670" t="s">
        <v>85</v>
      </c>
      <c r="B169" s="671" t="s">
        <v>38</v>
      </c>
      <c r="C169" s="617"/>
      <c r="D169" s="617"/>
      <c r="E169" s="617"/>
      <c r="F169" s="617"/>
      <c r="G169" s="617"/>
      <c r="H169" s="657">
        <v>285325</v>
      </c>
      <c r="I169" s="617"/>
      <c r="J169" s="617"/>
      <c r="K169" s="1685">
        <f>SUM(C169:H169)</f>
        <v>285325</v>
      </c>
      <c r="L169" s="657">
        <v>285325</v>
      </c>
    </row>
    <row r="170" spans="1:14" ht="33.75" customHeight="1" x14ac:dyDescent="0.2">
      <c r="A170" s="670" t="s">
        <v>1769</v>
      </c>
      <c r="B170" s="672" t="s">
        <v>31</v>
      </c>
      <c r="C170" s="617"/>
      <c r="D170" s="617"/>
      <c r="E170" s="617"/>
      <c r="F170" s="617"/>
      <c r="G170" s="617"/>
      <c r="H170" s="569">
        <v>3635000</v>
      </c>
      <c r="I170" s="617"/>
      <c r="J170" s="617"/>
      <c r="K170" s="1685">
        <f>SUM(C170:J170)</f>
        <v>3635000</v>
      </c>
      <c r="L170" s="569">
        <v>3635000</v>
      </c>
    </row>
    <row r="171" spans="1:14" ht="15.75" customHeight="1" x14ac:dyDescent="0.2">
      <c r="A171" s="622" t="s">
        <v>790</v>
      </c>
      <c r="B171" s="673" t="s">
        <v>86</v>
      </c>
      <c r="C171" s="617"/>
      <c r="D171" s="617"/>
      <c r="E171" s="466">
        <v>0</v>
      </c>
      <c r="F171" s="617"/>
      <c r="G171" s="617"/>
      <c r="H171" s="569">
        <v>488</v>
      </c>
      <c r="I171" s="477"/>
      <c r="J171" s="617"/>
      <c r="K171" s="1685">
        <f>SUM(C171:J171)</f>
        <v>488</v>
      </c>
      <c r="L171" s="569">
        <v>1000</v>
      </c>
    </row>
    <row r="172" spans="1:14" ht="12.75" customHeight="1" thickBot="1" x14ac:dyDescent="0.25">
      <c r="A172" s="1682" t="s">
        <v>659</v>
      </c>
      <c r="B172" s="1683" t="s">
        <v>513</v>
      </c>
      <c r="C172" s="617"/>
      <c r="D172" s="617"/>
      <c r="E172" s="1691">
        <f>SUM(E168,E169,E170,E171)</f>
        <v>0</v>
      </c>
      <c r="F172" s="617"/>
      <c r="G172" s="617"/>
      <c r="H172" s="1691">
        <f>SUM(H168,H169,H170,H171)</f>
        <v>3920813</v>
      </c>
      <c r="I172" s="639"/>
      <c r="J172" s="617"/>
      <c r="K172" s="1691">
        <f>SUM(K168,K169,K170,K171)</f>
        <v>3920813</v>
      </c>
      <c r="L172" s="1691">
        <f>SUM(L168,L169,L170,L171)</f>
        <v>3921325</v>
      </c>
    </row>
    <row r="173" spans="1:14" ht="15.75" customHeight="1" thickTop="1" thickBot="1" x14ac:dyDescent="0.25">
      <c r="A173" s="1633" t="s">
        <v>87</v>
      </c>
      <c r="B173" s="1625" t="s">
        <v>916</v>
      </c>
      <c r="C173" s="617"/>
      <c r="D173" s="617"/>
      <c r="E173" s="624"/>
      <c r="F173" s="617"/>
      <c r="G173" s="617"/>
      <c r="H173" s="627"/>
      <c r="I173" s="639"/>
      <c r="J173" s="617"/>
      <c r="K173" s="624"/>
      <c r="L173" s="576">
        <v>0</v>
      </c>
    </row>
    <row r="174" spans="1:14" ht="12.75" customHeight="1" thickTop="1" thickBot="1" x14ac:dyDescent="0.25">
      <c r="A174" s="1703" t="s">
        <v>92</v>
      </c>
      <c r="B174" s="1704"/>
      <c r="C174" s="617"/>
      <c r="D174" s="617"/>
      <c r="E174" s="1691">
        <f>SUM(E155,E172,E173)</f>
        <v>0</v>
      </c>
      <c r="F174" s="617"/>
      <c r="G174" s="617"/>
      <c r="H174" s="1691">
        <f>SUM(H160,H172,H173)</f>
        <v>3920813</v>
      </c>
      <c r="I174" s="639"/>
      <c r="J174" s="617"/>
      <c r="K174" s="1691">
        <f>SUM(K160,K172,K173)</f>
        <v>3920813</v>
      </c>
      <c r="L174" s="1691">
        <f>SUM(L160,L172,L173)</f>
        <v>3921325</v>
      </c>
    </row>
    <row r="175" spans="1:14" ht="13.5" thickTop="1" x14ac:dyDescent="0.2">
      <c r="A175" s="2232" t="s">
        <v>1053</v>
      </c>
      <c r="B175" s="2233"/>
      <c r="C175" s="617"/>
      <c r="D175" s="617"/>
      <c r="E175" s="617"/>
      <c r="F175" s="617"/>
      <c r="G175" s="617"/>
      <c r="H175" s="619"/>
      <c r="I175" s="617"/>
      <c r="J175" s="617"/>
      <c r="K175" s="1698">
        <f>'Revenues 9-14'!E275-'Expenditures 15-22'!K174</f>
        <v>451947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8" t="s">
        <v>994</v>
      </c>
      <c r="B177" s="1569"/>
      <c r="C177" s="1565"/>
      <c r="D177" s="1566"/>
      <c r="E177" s="1566"/>
      <c r="F177" s="1566"/>
      <c r="G177" s="1566"/>
      <c r="H177" s="1566"/>
      <c r="I177" s="1566"/>
      <c r="J177" s="1566"/>
      <c r="K177" s="1566"/>
      <c r="L177" s="1567"/>
      <c r="M177" s="610"/>
      <c r="N177" s="610"/>
    </row>
    <row r="178" spans="1:14" s="675" customFormat="1" ht="15.75" customHeight="1" x14ac:dyDescent="0.2">
      <c r="A178" s="1634" t="s">
        <v>995</v>
      </c>
      <c r="B178" s="1635"/>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19" t="s">
        <v>167</v>
      </c>
      <c r="B180" s="615">
        <v>2190</v>
      </c>
      <c r="C180" s="466">
        <v>0</v>
      </c>
      <c r="D180" s="466">
        <v>0</v>
      </c>
      <c r="E180" s="466">
        <v>0</v>
      </c>
      <c r="F180" s="466">
        <v>0</v>
      </c>
      <c r="G180" s="466">
        <v>0</v>
      </c>
      <c r="H180" s="466">
        <v>0</v>
      </c>
      <c r="I180" s="467">
        <v>0</v>
      </c>
      <c r="J180" s="467">
        <v>0</v>
      </c>
      <c r="K180" s="1685">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19" t="s">
        <v>1010</v>
      </c>
      <c r="B182" s="615">
        <v>2550</v>
      </c>
      <c r="C182" s="466">
        <v>671107</v>
      </c>
      <c r="D182" s="466">
        <v>23191</v>
      </c>
      <c r="E182" s="466">
        <v>547150</v>
      </c>
      <c r="F182" s="466">
        <v>160310</v>
      </c>
      <c r="G182" s="466">
        <v>0</v>
      </c>
      <c r="H182" s="466">
        <v>0</v>
      </c>
      <c r="I182" s="467">
        <v>0</v>
      </c>
      <c r="J182" s="467">
        <v>0</v>
      </c>
      <c r="K182" s="1685">
        <f>SUM(C182:J182)</f>
        <v>1401758</v>
      </c>
      <c r="L182" s="466">
        <v>1509890</v>
      </c>
    </row>
    <row r="183" spans="1:14" ht="12.75" customHeight="1" thickBot="1" x14ac:dyDescent="0.25">
      <c r="A183" s="1524" t="s">
        <v>1037</v>
      </c>
      <c r="B183" s="678">
        <v>2900</v>
      </c>
      <c r="C183" s="573">
        <v>0</v>
      </c>
      <c r="D183" s="573">
        <v>0</v>
      </c>
      <c r="E183" s="573">
        <v>0</v>
      </c>
      <c r="F183" s="573">
        <v>0</v>
      </c>
      <c r="G183" s="573">
        <v>0</v>
      </c>
      <c r="H183" s="573">
        <v>0</v>
      </c>
      <c r="I183" s="532">
        <v>0</v>
      </c>
      <c r="J183" s="532">
        <v>0</v>
      </c>
      <c r="K183" s="1691">
        <f>SUM(C183:J183)</f>
        <v>0</v>
      </c>
      <c r="L183" s="573">
        <v>0</v>
      </c>
    </row>
    <row r="184" spans="1:14" ht="12.75" customHeight="1" thickTop="1" thickBot="1" x14ac:dyDescent="0.25">
      <c r="A184" s="1705" t="s">
        <v>865</v>
      </c>
      <c r="B184" s="1683" t="s">
        <v>590</v>
      </c>
      <c r="C184" s="1691">
        <f>SUM(C180,C182,C183)</f>
        <v>671107</v>
      </c>
      <c r="D184" s="1691">
        <f t="shared" ref="D184:J184" si="17">SUM(D180,D182,D183)</f>
        <v>23191</v>
      </c>
      <c r="E184" s="1691">
        <f t="shared" si="17"/>
        <v>547150</v>
      </c>
      <c r="F184" s="1691">
        <f t="shared" si="17"/>
        <v>160310</v>
      </c>
      <c r="G184" s="1691">
        <f t="shared" si="17"/>
        <v>0</v>
      </c>
      <c r="H184" s="1691">
        <f t="shared" si="17"/>
        <v>0</v>
      </c>
      <c r="I184" s="1691">
        <f t="shared" si="17"/>
        <v>0</v>
      </c>
      <c r="J184" s="1691">
        <f t="shared" si="17"/>
        <v>0</v>
      </c>
      <c r="K184" s="1691">
        <f>SUM(K180,K182,K183)</f>
        <v>1401758</v>
      </c>
      <c r="L184" s="1691">
        <f>SUM(L180, L182:L183)</f>
        <v>1509890</v>
      </c>
    </row>
    <row r="185" spans="1:14" ht="15.75" customHeight="1" thickTop="1" thickBot="1" x14ac:dyDescent="0.25">
      <c r="A185" s="1636" t="s">
        <v>996</v>
      </c>
      <c r="B185" s="1625">
        <v>3000</v>
      </c>
      <c r="C185" s="576">
        <v>0</v>
      </c>
      <c r="D185" s="576">
        <v>0</v>
      </c>
      <c r="E185" s="576">
        <v>0</v>
      </c>
      <c r="F185" s="576">
        <v>0</v>
      </c>
      <c r="G185" s="576">
        <v>0</v>
      </c>
      <c r="H185" s="576">
        <v>0</v>
      </c>
      <c r="I185" s="531">
        <v>0</v>
      </c>
      <c r="J185" s="531">
        <v>0</v>
      </c>
      <c r="K185" s="1684">
        <f>SUM(C185:J185)</f>
        <v>0</v>
      </c>
      <c r="L185" s="576">
        <v>0</v>
      </c>
    </row>
    <row r="186" spans="1:14" s="675" customFormat="1" ht="15.75" customHeight="1" thickTop="1" x14ac:dyDescent="0.2">
      <c r="A186" s="1620" t="s">
        <v>93</v>
      </c>
      <c r="B186" s="1623"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19" t="s">
        <v>517</v>
      </c>
      <c r="B188" s="615">
        <v>4110</v>
      </c>
      <c r="C188" s="617"/>
      <c r="D188" s="617"/>
      <c r="E188" s="466">
        <v>0</v>
      </c>
      <c r="F188" s="617"/>
      <c r="G188" s="617"/>
      <c r="H188" s="466">
        <v>0</v>
      </c>
      <c r="I188" s="477"/>
      <c r="J188" s="617"/>
      <c r="K188" s="1685">
        <f t="shared" ref="K188:K193" si="18">SUM(E188,H188)</f>
        <v>0</v>
      </c>
      <c r="L188" s="466">
        <v>0</v>
      </c>
    </row>
    <row r="189" spans="1:14" x14ac:dyDescent="0.2">
      <c r="A189" s="1519" t="s">
        <v>322</v>
      </c>
      <c r="B189" s="615">
        <v>4120</v>
      </c>
      <c r="C189" s="617"/>
      <c r="D189" s="617"/>
      <c r="E189" s="466">
        <v>0</v>
      </c>
      <c r="F189" s="617"/>
      <c r="G189" s="617"/>
      <c r="H189" s="466">
        <v>0</v>
      </c>
      <c r="I189" s="477"/>
      <c r="J189" s="617"/>
      <c r="K189" s="1685">
        <f t="shared" si="18"/>
        <v>0</v>
      </c>
      <c r="L189" s="466">
        <v>0</v>
      </c>
    </row>
    <row r="190" spans="1:14" x14ac:dyDescent="0.2">
      <c r="A190" s="1519" t="s">
        <v>323</v>
      </c>
      <c r="B190" s="629">
        <v>4130</v>
      </c>
      <c r="C190" s="617"/>
      <c r="D190" s="617"/>
      <c r="E190" s="466">
        <v>0</v>
      </c>
      <c r="F190" s="617"/>
      <c r="G190" s="617"/>
      <c r="H190" s="466">
        <v>0</v>
      </c>
      <c r="I190" s="477"/>
      <c r="J190" s="617"/>
      <c r="K190" s="1685">
        <f t="shared" si="18"/>
        <v>0</v>
      </c>
      <c r="L190" s="466">
        <v>0</v>
      </c>
    </row>
    <row r="191" spans="1:14" x14ac:dyDescent="0.2">
      <c r="A191" s="1519" t="s">
        <v>721</v>
      </c>
      <c r="B191" s="615">
        <v>4140</v>
      </c>
      <c r="C191" s="617"/>
      <c r="D191" s="617"/>
      <c r="E191" s="466">
        <v>0</v>
      </c>
      <c r="F191" s="617"/>
      <c r="G191" s="617"/>
      <c r="H191" s="466">
        <v>0</v>
      </c>
      <c r="I191" s="477"/>
      <c r="J191" s="617"/>
      <c r="K191" s="1685">
        <f t="shared" si="18"/>
        <v>0</v>
      </c>
      <c r="L191" s="466">
        <v>0</v>
      </c>
    </row>
    <row r="192" spans="1:14" x14ac:dyDescent="0.2">
      <c r="A192" s="1519" t="s">
        <v>88</v>
      </c>
      <c r="B192" s="615">
        <v>4170</v>
      </c>
      <c r="C192" s="617"/>
      <c r="D192" s="617"/>
      <c r="E192" s="466">
        <v>0</v>
      </c>
      <c r="F192" s="617"/>
      <c r="G192" s="617"/>
      <c r="H192" s="466">
        <v>0</v>
      </c>
      <c r="I192" s="477"/>
      <c r="J192" s="617"/>
      <c r="K192" s="1685">
        <f t="shared" si="18"/>
        <v>0</v>
      </c>
      <c r="L192" s="466">
        <v>0</v>
      </c>
    </row>
    <row r="193" spans="1:14" x14ac:dyDescent="0.2">
      <c r="A193" s="1523" t="s">
        <v>722</v>
      </c>
      <c r="B193" s="629">
        <v>4190</v>
      </c>
      <c r="C193" s="617"/>
      <c r="D193" s="617"/>
      <c r="E193" s="466">
        <v>0</v>
      </c>
      <c r="F193" s="617"/>
      <c r="G193" s="617"/>
      <c r="H193" s="466">
        <v>0</v>
      </c>
      <c r="I193" s="477"/>
      <c r="J193" s="617"/>
      <c r="K193" s="1685">
        <f t="shared" si="18"/>
        <v>0</v>
      </c>
      <c r="L193" s="466">
        <v>0</v>
      </c>
    </row>
    <row r="194" spans="1:14" ht="12.75" customHeight="1" thickBot="1" x14ac:dyDescent="0.25">
      <c r="A194" s="1682" t="s">
        <v>1202</v>
      </c>
      <c r="B194" s="1683" t="s">
        <v>580</v>
      </c>
      <c r="C194" s="617"/>
      <c r="D194" s="617"/>
      <c r="E194" s="1684">
        <f>SUM(E188:E193)</f>
        <v>0</v>
      </c>
      <c r="F194" s="617"/>
      <c r="G194" s="617"/>
      <c r="H194" s="1684">
        <f>SUM(H188:H193)</f>
        <v>0</v>
      </c>
      <c r="I194" s="477"/>
      <c r="J194" s="617"/>
      <c r="K194" s="1684">
        <f>SUM(K188:K193)</f>
        <v>0</v>
      </c>
      <c r="L194" s="1684">
        <f>SUM(L188:L193)</f>
        <v>0</v>
      </c>
    </row>
    <row r="195" spans="1:14" ht="15.75" customHeight="1" thickTop="1" x14ac:dyDescent="0.2">
      <c r="A195" s="670" t="s">
        <v>94</v>
      </c>
      <c r="B195" s="679" t="s">
        <v>988</v>
      </c>
      <c r="C195" s="617"/>
      <c r="D195" s="617"/>
      <c r="E195" s="657">
        <v>0</v>
      </c>
      <c r="F195" s="617"/>
      <c r="G195" s="617"/>
      <c r="H195" s="657">
        <v>0</v>
      </c>
      <c r="I195" s="477"/>
      <c r="J195" s="617"/>
      <c r="K195" s="1699">
        <f>SUM(E195,H195)</f>
        <v>0</v>
      </c>
      <c r="L195" s="657">
        <v>0</v>
      </c>
    </row>
    <row r="196" spans="1:14" ht="12.75" customHeight="1" thickBot="1" x14ac:dyDescent="0.25">
      <c r="A196" s="1682" t="s">
        <v>1567</v>
      </c>
      <c r="B196" s="1683" t="s">
        <v>915</v>
      </c>
      <c r="C196" s="617"/>
      <c r="D196" s="617"/>
      <c r="E196" s="1691">
        <f>SUM(E194,E195)</f>
        <v>0</v>
      </c>
      <c r="F196" s="617"/>
      <c r="G196" s="617"/>
      <c r="H196" s="1691">
        <f>SUM(H194,H195)</f>
        <v>0</v>
      </c>
      <c r="I196" s="477"/>
      <c r="J196" s="617"/>
      <c r="K196" s="1691">
        <f>SUM(K194,K195)</f>
        <v>0</v>
      </c>
      <c r="L196" s="1691">
        <f>SUM(L194,L195)</f>
        <v>0</v>
      </c>
    </row>
    <row r="197" spans="1:14" s="675" customFormat="1" ht="15.75" customHeight="1" thickTop="1" x14ac:dyDescent="0.2">
      <c r="A197" s="1626" t="s">
        <v>997</v>
      </c>
      <c r="B197" s="1623"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9" t="s">
        <v>89</v>
      </c>
      <c r="B199" s="615">
        <v>5110</v>
      </c>
      <c r="C199" s="617"/>
      <c r="D199" s="617"/>
      <c r="E199" s="617"/>
      <c r="F199" s="617"/>
      <c r="G199" s="617"/>
      <c r="H199" s="466">
        <v>0</v>
      </c>
      <c r="I199" s="617"/>
      <c r="J199" s="617"/>
      <c r="K199" s="1685">
        <f>SUM(H199)</f>
        <v>0</v>
      </c>
      <c r="L199" s="466">
        <v>0</v>
      </c>
    </row>
    <row r="200" spans="1:14" x14ac:dyDescent="0.2">
      <c r="A200" s="1519" t="s">
        <v>90</v>
      </c>
      <c r="B200" s="615">
        <v>5120</v>
      </c>
      <c r="C200" s="617"/>
      <c r="D200" s="617"/>
      <c r="E200" s="617"/>
      <c r="F200" s="617"/>
      <c r="G200" s="617"/>
      <c r="H200" s="466">
        <v>0</v>
      </c>
      <c r="I200" s="617"/>
      <c r="J200" s="617"/>
      <c r="K200" s="1685">
        <f>SUM(H200)</f>
        <v>0</v>
      </c>
      <c r="L200" s="466">
        <v>0</v>
      </c>
    </row>
    <row r="201" spans="1:14" ht="12.75" customHeight="1" x14ac:dyDescent="0.2">
      <c r="A201" s="1519" t="s">
        <v>1232</v>
      </c>
      <c r="B201" s="629" t="s">
        <v>638</v>
      </c>
      <c r="C201" s="617"/>
      <c r="D201" s="617"/>
      <c r="E201" s="617"/>
      <c r="F201" s="617"/>
      <c r="G201" s="617"/>
      <c r="H201" s="466">
        <v>0</v>
      </c>
      <c r="I201" s="617"/>
      <c r="J201" s="617"/>
      <c r="K201" s="1685">
        <f>SUM(H201)</f>
        <v>0</v>
      </c>
      <c r="L201" s="466">
        <v>0</v>
      </c>
    </row>
    <row r="202" spans="1:14" x14ac:dyDescent="0.2">
      <c r="A202" s="1519" t="s">
        <v>91</v>
      </c>
      <c r="B202" s="615" t="s">
        <v>610</v>
      </c>
      <c r="C202" s="617"/>
      <c r="D202" s="617"/>
      <c r="E202" s="617"/>
      <c r="F202" s="617"/>
      <c r="G202" s="617"/>
      <c r="H202" s="466">
        <v>0</v>
      </c>
      <c r="I202" s="617"/>
      <c r="J202" s="617"/>
      <c r="K202" s="1685">
        <f>SUM(H202)</f>
        <v>0</v>
      </c>
      <c r="L202" s="466">
        <v>0</v>
      </c>
    </row>
    <row r="203" spans="1:14" x14ac:dyDescent="0.2">
      <c r="A203" s="1531" t="s">
        <v>640</v>
      </c>
      <c r="B203" s="615" t="s">
        <v>639</v>
      </c>
      <c r="C203" s="617"/>
      <c r="D203" s="617"/>
      <c r="E203" s="617"/>
      <c r="F203" s="617"/>
      <c r="G203" s="617"/>
      <c r="H203" s="471">
        <v>0</v>
      </c>
      <c r="I203" s="617"/>
      <c r="J203" s="617"/>
      <c r="K203" s="1685">
        <f>SUM(H203)</f>
        <v>0</v>
      </c>
      <c r="L203" s="471">
        <v>0</v>
      </c>
    </row>
    <row r="204" spans="1:14" ht="13.5" thickBot="1" x14ac:dyDescent="0.25">
      <c r="A204" s="1682" t="s">
        <v>294</v>
      </c>
      <c r="B204" s="1683" t="s">
        <v>742</v>
      </c>
      <c r="C204" s="617"/>
      <c r="D204" s="617"/>
      <c r="E204" s="617"/>
      <c r="F204" s="617"/>
      <c r="G204" s="617"/>
      <c r="H204" s="1684">
        <f>SUM(H199:H203)</f>
        <v>0</v>
      </c>
      <c r="I204" s="617"/>
      <c r="J204" s="617"/>
      <c r="K204" s="1684">
        <f>SUM(K199:K203)</f>
        <v>0</v>
      </c>
      <c r="L204" s="1684">
        <f>SUM(L199:L203)</f>
        <v>0</v>
      </c>
    </row>
    <row r="205" spans="1:14" ht="15.75" customHeight="1" thickTop="1" x14ac:dyDescent="0.2">
      <c r="A205" s="680" t="s">
        <v>85</v>
      </c>
      <c r="B205" s="681" t="s">
        <v>38</v>
      </c>
      <c r="C205" s="617"/>
      <c r="D205" s="617"/>
      <c r="E205" s="617"/>
      <c r="F205" s="617"/>
      <c r="G205" s="617"/>
      <c r="H205" s="535">
        <v>0</v>
      </c>
      <c r="I205" s="617"/>
      <c r="J205" s="617"/>
      <c r="K205" s="1699">
        <f>SUM(H205)</f>
        <v>0</v>
      </c>
      <c r="L205" s="535">
        <v>0</v>
      </c>
    </row>
    <row r="206" spans="1:14" ht="30" customHeight="1" x14ac:dyDescent="0.2">
      <c r="A206" s="682" t="s">
        <v>1770</v>
      </c>
      <c r="B206" s="673" t="s">
        <v>31</v>
      </c>
      <c r="C206" s="617"/>
      <c r="D206" s="617"/>
      <c r="E206" s="617"/>
      <c r="F206" s="617"/>
      <c r="G206" s="617"/>
      <c r="H206" s="466">
        <v>0</v>
      </c>
      <c r="I206" s="617"/>
      <c r="J206" s="617"/>
      <c r="K206" s="1685">
        <f>SUM(H206)</f>
        <v>0</v>
      </c>
      <c r="L206" s="466">
        <v>0</v>
      </c>
    </row>
    <row r="207" spans="1:14" ht="15.75" customHeight="1" x14ac:dyDescent="0.2">
      <c r="A207" s="622" t="s">
        <v>790</v>
      </c>
      <c r="B207" s="673" t="s">
        <v>86</v>
      </c>
      <c r="C207" s="617"/>
      <c r="D207" s="617"/>
      <c r="E207" s="617"/>
      <c r="F207" s="617"/>
      <c r="G207" s="617"/>
      <c r="H207" s="467">
        <v>0</v>
      </c>
      <c r="I207" s="617"/>
      <c r="J207" s="617"/>
      <c r="K207" s="1685">
        <f>H207</f>
        <v>0</v>
      </c>
      <c r="L207" s="466">
        <v>0</v>
      </c>
    </row>
    <row r="208" spans="1:14" ht="12.75" customHeight="1" thickBot="1" x14ac:dyDescent="0.25">
      <c r="A208" s="1700" t="s">
        <v>659</v>
      </c>
      <c r="B208" s="1701" t="s">
        <v>513</v>
      </c>
      <c r="C208" s="617"/>
      <c r="D208" s="617"/>
      <c r="E208" s="617"/>
      <c r="F208" s="617"/>
      <c r="G208" s="617"/>
      <c r="H208" s="1691">
        <f>SUM(H204,H205,H206,H207)</f>
        <v>0</v>
      </c>
      <c r="I208" s="617"/>
      <c r="J208" s="617"/>
      <c r="K208" s="1691">
        <f>SUM(K204,K205,K206,K207)</f>
        <v>0</v>
      </c>
      <c r="L208" s="1691">
        <f>SUM(L204,L205,L206,L207)</f>
        <v>0</v>
      </c>
    </row>
    <row r="209" spans="1:14" ht="15.75" customHeight="1" thickTop="1" thickBot="1" x14ac:dyDescent="0.25">
      <c r="A209" s="1620" t="s">
        <v>927</v>
      </c>
      <c r="B209" s="1627" t="s">
        <v>916</v>
      </c>
      <c r="C209" s="624"/>
      <c r="D209" s="624"/>
      <c r="E209" s="624"/>
      <c r="F209" s="624"/>
      <c r="G209" s="624"/>
      <c r="H209" s="624"/>
      <c r="I209" s="617"/>
      <c r="J209" s="617"/>
      <c r="K209" s="624"/>
      <c r="L209" s="576">
        <v>0</v>
      </c>
    </row>
    <row r="210" spans="1:14" ht="12.75" customHeight="1" thickTop="1" thickBot="1" x14ac:dyDescent="0.25">
      <c r="A210" s="1706" t="s">
        <v>295</v>
      </c>
      <c r="B210" s="1707"/>
      <c r="C210" s="1684">
        <f>SUM(C184,C185)</f>
        <v>671107</v>
      </c>
      <c r="D210" s="1684">
        <f>SUM(D184,D185)</f>
        <v>23191</v>
      </c>
      <c r="E210" s="1684">
        <f>SUM(E184,E185,E196)</f>
        <v>547150</v>
      </c>
      <c r="F210" s="1684">
        <f>SUM(F184,F185)</f>
        <v>160310</v>
      </c>
      <c r="G210" s="1684">
        <f>SUM(G184,G185)</f>
        <v>0</v>
      </c>
      <c r="H210" s="1684">
        <f>SUM(H184,H185,H196,H208,H209)</f>
        <v>0</v>
      </c>
      <c r="I210" s="1684">
        <f>SUM(I184,I185)</f>
        <v>0</v>
      </c>
      <c r="J210" s="1684">
        <f>SUM(J184,J185)</f>
        <v>0</v>
      </c>
      <c r="K210" s="1685">
        <f>SUM(K184,K185,K196,K208,K209)</f>
        <v>1401758</v>
      </c>
      <c r="L210" s="1684">
        <f>SUM(L184,L185,L196,L208,L209)</f>
        <v>1509890</v>
      </c>
    </row>
    <row r="211" spans="1:14" ht="13.5" thickTop="1" x14ac:dyDescent="0.2">
      <c r="A211" s="2232" t="s">
        <v>1053</v>
      </c>
      <c r="B211" s="2233"/>
      <c r="C211" s="619"/>
      <c r="D211" s="619"/>
      <c r="E211" s="619"/>
      <c r="F211" s="619"/>
      <c r="G211" s="619"/>
      <c r="H211" s="619"/>
      <c r="I211" s="617"/>
      <c r="J211" s="617"/>
      <c r="K211" s="1698">
        <f>'Revenues 9-14'!F275-'Expenditures 15-22'!K210</f>
        <v>88759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54" t="s">
        <v>1022</v>
      </c>
      <c r="B213" s="2255"/>
      <c r="C213" s="1565"/>
      <c r="D213" s="1566"/>
      <c r="E213" s="1566"/>
      <c r="F213" s="1566"/>
      <c r="G213" s="1566"/>
      <c r="H213" s="1566"/>
      <c r="I213" s="1566"/>
      <c r="J213" s="1566"/>
      <c r="K213" s="1566"/>
      <c r="L213" s="1567"/>
      <c r="M213" s="610"/>
      <c r="N213" s="610"/>
    </row>
    <row r="214" spans="1:14" s="675" customFormat="1" ht="15.75" customHeight="1" x14ac:dyDescent="0.2">
      <c r="A214" s="1637" t="s">
        <v>928</v>
      </c>
      <c r="B214" s="1629" t="s">
        <v>591</v>
      </c>
      <c r="C214" s="617"/>
      <c r="D214" s="624"/>
      <c r="E214" s="617"/>
      <c r="F214" s="617"/>
      <c r="G214" s="617"/>
      <c r="H214" s="617"/>
      <c r="I214" s="617"/>
      <c r="J214" s="617"/>
      <c r="K214" s="624"/>
      <c r="L214" s="624"/>
      <c r="M214" s="666"/>
      <c r="N214" s="666"/>
    </row>
    <row r="215" spans="1:14" x14ac:dyDescent="0.2">
      <c r="A215" s="1519" t="s">
        <v>1018</v>
      </c>
      <c r="B215" s="615">
        <v>1100</v>
      </c>
      <c r="C215" s="617"/>
      <c r="D215" s="466">
        <v>142409</v>
      </c>
      <c r="E215" s="617"/>
      <c r="F215" s="617"/>
      <c r="G215" s="617"/>
      <c r="H215" s="617"/>
      <c r="I215" s="617"/>
      <c r="J215" s="617"/>
      <c r="K215" s="1685">
        <f>D215</f>
        <v>142409</v>
      </c>
      <c r="L215" s="466">
        <v>0</v>
      </c>
    </row>
    <row r="216" spans="1:14" x14ac:dyDescent="0.2">
      <c r="A216" s="1519" t="s">
        <v>165</v>
      </c>
      <c r="B216" s="615" t="s">
        <v>1024</v>
      </c>
      <c r="C216" s="617"/>
      <c r="D216" s="467">
        <v>0</v>
      </c>
      <c r="E216" s="617"/>
      <c r="F216" s="617"/>
      <c r="G216" s="617"/>
      <c r="H216" s="617"/>
      <c r="I216" s="617"/>
      <c r="J216" s="617"/>
      <c r="K216" s="1685">
        <f t="shared" ref="K216:K228" si="19">D216</f>
        <v>0</v>
      </c>
      <c r="L216" s="466">
        <v>130131</v>
      </c>
    </row>
    <row r="217" spans="1:14" x14ac:dyDescent="0.2">
      <c r="A217" s="1519" t="s">
        <v>166</v>
      </c>
      <c r="B217" s="615">
        <v>1200</v>
      </c>
      <c r="C217" s="617"/>
      <c r="D217" s="466">
        <v>113195</v>
      </c>
      <c r="E217" s="617"/>
      <c r="F217" s="617"/>
      <c r="G217" s="617"/>
      <c r="H217" s="617"/>
      <c r="I217" s="617"/>
      <c r="J217" s="617"/>
      <c r="K217" s="1685">
        <f t="shared" si="19"/>
        <v>113195</v>
      </c>
      <c r="L217" s="466">
        <v>130617</v>
      </c>
    </row>
    <row r="218" spans="1:14" x14ac:dyDescent="0.2">
      <c r="A218" s="1519" t="s">
        <v>296</v>
      </c>
      <c r="B218" s="615" t="s">
        <v>1025</v>
      </c>
      <c r="C218" s="617"/>
      <c r="D218" s="467">
        <v>0</v>
      </c>
      <c r="E218" s="617"/>
      <c r="F218" s="617"/>
      <c r="G218" s="617"/>
      <c r="H218" s="617"/>
      <c r="I218" s="617"/>
      <c r="J218" s="617"/>
      <c r="K218" s="1685">
        <f t="shared" si="19"/>
        <v>0</v>
      </c>
      <c r="L218" s="466">
        <v>0</v>
      </c>
    </row>
    <row r="219" spans="1:14" x14ac:dyDescent="0.2">
      <c r="A219" s="1519" t="s">
        <v>297</v>
      </c>
      <c r="B219" s="615">
        <v>1250</v>
      </c>
      <c r="C219" s="617"/>
      <c r="D219" s="466">
        <v>7977</v>
      </c>
      <c r="E219" s="617"/>
      <c r="F219" s="617"/>
      <c r="G219" s="617"/>
      <c r="H219" s="617"/>
      <c r="I219" s="617"/>
      <c r="J219" s="617"/>
      <c r="K219" s="1685">
        <f t="shared" si="19"/>
        <v>7977</v>
      </c>
      <c r="L219" s="466">
        <v>10109</v>
      </c>
    </row>
    <row r="220" spans="1:14" x14ac:dyDescent="0.2">
      <c r="A220" s="1519" t="s">
        <v>298</v>
      </c>
      <c r="B220" s="615" t="s">
        <v>163</v>
      </c>
      <c r="C220" s="617"/>
      <c r="D220" s="467">
        <v>0</v>
      </c>
      <c r="E220" s="617"/>
      <c r="F220" s="617"/>
      <c r="G220" s="617"/>
      <c r="H220" s="617"/>
      <c r="I220" s="617"/>
      <c r="J220" s="617"/>
      <c r="K220" s="1685">
        <f t="shared" si="19"/>
        <v>0</v>
      </c>
      <c r="L220" s="466">
        <v>0</v>
      </c>
    </row>
    <row r="221" spans="1:14" x14ac:dyDescent="0.2">
      <c r="A221" s="1519" t="s">
        <v>1019</v>
      </c>
      <c r="B221" s="615">
        <v>1300</v>
      </c>
      <c r="C221" s="617"/>
      <c r="D221" s="466">
        <v>0</v>
      </c>
      <c r="E221" s="617"/>
      <c r="F221" s="617"/>
      <c r="G221" s="617"/>
      <c r="H221" s="617"/>
      <c r="I221" s="617"/>
      <c r="J221" s="617"/>
      <c r="K221" s="1685">
        <f t="shared" si="19"/>
        <v>0</v>
      </c>
      <c r="L221" s="466">
        <v>0</v>
      </c>
    </row>
    <row r="222" spans="1:14" x14ac:dyDescent="0.2">
      <c r="A222" s="1519" t="s">
        <v>747</v>
      </c>
      <c r="B222" s="615">
        <v>1400</v>
      </c>
      <c r="C222" s="617"/>
      <c r="D222" s="466">
        <v>484</v>
      </c>
      <c r="E222" s="617"/>
      <c r="F222" s="617"/>
      <c r="G222" s="617"/>
      <c r="H222" s="617"/>
      <c r="I222" s="617"/>
      <c r="J222" s="617"/>
      <c r="K222" s="1685">
        <f t="shared" si="19"/>
        <v>484</v>
      </c>
      <c r="L222" s="466">
        <v>79</v>
      </c>
    </row>
    <row r="223" spans="1:14" x14ac:dyDescent="0.2">
      <c r="A223" s="1519" t="s">
        <v>1020</v>
      </c>
      <c r="B223" s="615">
        <v>1500</v>
      </c>
      <c r="C223" s="617"/>
      <c r="D223" s="466">
        <v>20947</v>
      </c>
      <c r="E223" s="617"/>
      <c r="F223" s="617"/>
      <c r="G223" s="617"/>
      <c r="H223" s="617"/>
      <c r="I223" s="617"/>
      <c r="J223" s="617"/>
      <c r="K223" s="1685">
        <f t="shared" si="19"/>
        <v>20947</v>
      </c>
      <c r="L223" s="466">
        <v>20600</v>
      </c>
    </row>
    <row r="224" spans="1:14" x14ac:dyDescent="0.2">
      <c r="A224" s="1519" t="s">
        <v>1021</v>
      </c>
      <c r="B224" s="615">
        <v>1600</v>
      </c>
      <c r="C224" s="617"/>
      <c r="D224" s="466">
        <v>1635</v>
      </c>
      <c r="E224" s="617"/>
      <c r="F224" s="617"/>
      <c r="G224" s="617"/>
      <c r="H224" s="617"/>
      <c r="I224" s="617"/>
      <c r="J224" s="617"/>
      <c r="K224" s="1685">
        <f t="shared" si="19"/>
        <v>1635</v>
      </c>
      <c r="L224" s="466">
        <v>1472</v>
      </c>
    </row>
    <row r="225" spans="1:12" x14ac:dyDescent="0.2">
      <c r="A225" s="1519" t="s">
        <v>1044</v>
      </c>
      <c r="B225" s="615">
        <v>1650</v>
      </c>
      <c r="C225" s="617"/>
      <c r="D225" s="466">
        <v>0</v>
      </c>
      <c r="E225" s="617"/>
      <c r="F225" s="617"/>
      <c r="G225" s="617"/>
      <c r="H225" s="617"/>
      <c r="I225" s="617"/>
      <c r="J225" s="617"/>
      <c r="K225" s="1685">
        <f t="shared" si="19"/>
        <v>0</v>
      </c>
      <c r="L225" s="466">
        <v>0</v>
      </c>
    </row>
    <row r="226" spans="1:12" x14ac:dyDescent="0.2">
      <c r="A226" s="1519" t="s">
        <v>748</v>
      </c>
      <c r="B226" s="615" t="s">
        <v>164</v>
      </c>
      <c r="C226" s="617"/>
      <c r="D226" s="467">
        <v>3603</v>
      </c>
      <c r="E226" s="617"/>
      <c r="F226" s="617"/>
      <c r="G226" s="617"/>
      <c r="H226" s="617"/>
      <c r="I226" s="617"/>
      <c r="J226" s="617"/>
      <c r="K226" s="1685">
        <f t="shared" si="19"/>
        <v>3603</v>
      </c>
      <c r="L226" s="466">
        <v>4156</v>
      </c>
    </row>
    <row r="227" spans="1:12" x14ac:dyDescent="0.2">
      <c r="A227" s="1519" t="s">
        <v>1148</v>
      </c>
      <c r="B227" s="615">
        <v>1800</v>
      </c>
      <c r="C227" s="617"/>
      <c r="D227" s="466">
        <v>0</v>
      </c>
      <c r="E227" s="617"/>
      <c r="F227" s="617"/>
      <c r="G227" s="617"/>
      <c r="H227" s="617"/>
      <c r="I227" s="617"/>
      <c r="J227" s="617"/>
      <c r="K227" s="1685">
        <f t="shared" si="19"/>
        <v>0</v>
      </c>
      <c r="L227" s="466">
        <v>0</v>
      </c>
    </row>
    <row r="228" spans="1:12" x14ac:dyDescent="0.2">
      <c r="A228" s="1519" t="s">
        <v>1149</v>
      </c>
      <c r="B228" s="615">
        <v>1900</v>
      </c>
      <c r="C228" s="617"/>
      <c r="D228" s="466">
        <v>0</v>
      </c>
      <c r="E228" s="617"/>
      <c r="F228" s="617"/>
      <c r="G228" s="617"/>
      <c r="H228" s="617"/>
      <c r="I228" s="617"/>
      <c r="J228" s="617"/>
      <c r="K228" s="1685">
        <f t="shared" si="19"/>
        <v>0</v>
      </c>
      <c r="L228" s="466">
        <v>0</v>
      </c>
    </row>
    <row r="229" spans="1:12" ht="12.75" customHeight="1" thickBot="1" x14ac:dyDescent="0.25">
      <c r="A229" s="1682" t="s">
        <v>739</v>
      </c>
      <c r="B229" s="1689" t="s">
        <v>591</v>
      </c>
      <c r="C229" s="617"/>
      <c r="D229" s="1684">
        <f>SUM(D215:D228)</f>
        <v>290250</v>
      </c>
      <c r="E229" s="617"/>
      <c r="F229" s="617"/>
      <c r="G229" s="617"/>
      <c r="H229" s="617"/>
      <c r="I229" s="617"/>
      <c r="J229" s="617"/>
      <c r="K229" s="1684">
        <f>SUM(K215:K228)</f>
        <v>290250</v>
      </c>
      <c r="L229" s="1684">
        <f>SUM(L215:L228)</f>
        <v>297164</v>
      </c>
    </row>
    <row r="230" spans="1:12" ht="15.75" customHeight="1" thickTop="1" x14ac:dyDescent="0.2">
      <c r="A230" s="1626" t="s">
        <v>929</v>
      </c>
      <c r="B230" s="1627"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19" t="s">
        <v>1150</v>
      </c>
      <c r="B232" s="615">
        <v>2110</v>
      </c>
      <c r="C232" s="617"/>
      <c r="D232" s="466">
        <v>3829</v>
      </c>
      <c r="E232" s="617"/>
      <c r="F232" s="617"/>
      <c r="G232" s="617"/>
      <c r="H232" s="617"/>
      <c r="I232" s="617"/>
      <c r="J232" s="617"/>
      <c r="K232" s="1685">
        <f t="shared" ref="K232:K237" si="20">D232</f>
        <v>3829</v>
      </c>
      <c r="L232" s="466">
        <v>3831</v>
      </c>
    </row>
    <row r="233" spans="1:12" x14ac:dyDescent="0.2">
      <c r="A233" s="1519" t="s">
        <v>1151</v>
      </c>
      <c r="B233" s="615">
        <v>2120</v>
      </c>
      <c r="C233" s="617"/>
      <c r="D233" s="466">
        <v>14460</v>
      </c>
      <c r="E233" s="617"/>
      <c r="F233" s="617"/>
      <c r="G233" s="617"/>
      <c r="H233" s="617"/>
      <c r="I233" s="617"/>
      <c r="J233" s="617"/>
      <c r="K233" s="1685">
        <f t="shared" si="20"/>
        <v>14460</v>
      </c>
      <c r="L233" s="466">
        <v>18384</v>
      </c>
    </row>
    <row r="234" spans="1:12" x14ac:dyDescent="0.2">
      <c r="A234" s="1519" t="s">
        <v>207</v>
      </c>
      <c r="B234" s="615">
        <v>2130</v>
      </c>
      <c r="C234" s="617"/>
      <c r="D234" s="466">
        <v>3672</v>
      </c>
      <c r="E234" s="617"/>
      <c r="F234" s="617"/>
      <c r="G234" s="617"/>
      <c r="H234" s="617"/>
      <c r="I234" s="617"/>
      <c r="J234" s="617"/>
      <c r="K234" s="1685">
        <f t="shared" si="20"/>
        <v>3672</v>
      </c>
      <c r="L234" s="466">
        <v>8418</v>
      </c>
    </row>
    <row r="235" spans="1:12" x14ac:dyDescent="0.2">
      <c r="A235" s="1519" t="s">
        <v>208</v>
      </c>
      <c r="B235" s="615">
        <v>2140</v>
      </c>
      <c r="C235" s="617"/>
      <c r="D235" s="466">
        <v>3293</v>
      </c>
      <c r="E235" s="617"/>
      <c r="F235" s="617"/>
      <c r="G235" s="617"/>
      <c r="H235" s="617"/>
      <c r="I235" s="617"/>
      <c r="J235" s="617"/>
      <c r="K235" s="1685">
        <f t="shared" si="20"/>
        <v>3293</v>
      </c>
      <c r="L235" s="466">
        <v>1346</v>
      </c>
    </row>
    <row r="236" spans="1:12" x14ac:dyDescent="0.2">
      <c r="A236" s="1519" t="s">
        <v>209</v>
      </c>
      <c r="B236" s="615">
        <v>2150</v>
      </c>
      <c r="C236" s="617"/>
      <c r="D236" s="466">
        <v>0</v>
      </c>
      <c r="E236" s="617"/>
      <c r="F236" s="617"/>
      <c r="G236" s="617"/>
      <c r="H236" s="617"/>
      <c r="I236" s="617"/>
      <c r="J236" s="617"/>
      <c r="K236" s="1685">
        <f t="shared" si="20"/>
        <v>0</v>
      </c>
      <c r="L236" s="466">
        <v>0</v>
      </c>
    </row>
    <row r="237" spans="1:12" x14ac:dyDescent="0.2">
      <c r="A237" s="1519" t="s">
        <v>167</v>
      </c>
      <c r="B237" s="615">
        <v>2190</v>
      </c>
      <c r="C237" s="617"/>
      <c r="D237" s="466">
        <v>24135</v>
      </c>
      <c r="E237" s="617"/>
      <c r="F237" s="617"/>
      <c r="G237" s="617"/>
      <c r="H237" s="617"/>
      <c r="I237" s="617"/>
      <c r="J237" s="617"/>
      <c r="K237" s="1685">
        <f t="shared" si="20"/>
        <v>24135</v>
      </c>
      <c r="L237" s="466">
        <v>16549</v>
      </c>
    </row>
    <row r="238" spans="1:12" ht="12.75" customHeight="1" thickBot="1" x14ac:dyDescent="0.25">
      <c r="A238" s="1682" t="s">
        <v>581</v>
      </c>
      <c r="B238" s="1689" t="s">
        <v>740</v>
      </c>
      <c r="C238" s="617"/>
      <c r="D238" s="1684">
        <f>SUM(D232:D237)</f>
        <v>49389</v>
      </c>
      <c r="E238" s="617"/>
      <c r="F238" s="617"/>
      <c r="G238" s="617"/>
      <c r="H238" s="617"/>
      <c r="I238" s="617"/>
      <c r="J238" s="617"/>
      <c r="K238" s="1684">
        <f>SUM(K232:K237)</f>
        <v>49389</v>
      </c>
      <c r="L238" s="1684">
        <f>SUM(L232:L237)</f>
        <v>48528</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19" t="s">
        <v>868</v>
      </c>
      <c r="B240" s="615">
        <v>2210</v>
      </c>
      <c r="C240" s="617"/>
      <c r="D240" s="481">
        <v>12380</v>
      </c>
      <c r="E240" s="617"/>
      <c r="F240" s="617"/>
      <c r="G240" s="617"/>
      <c r="H240" s="617"/>
      <c r="I240" s="617"/>
      <c r="J240" s="617"/>
      <c r="K240" s="1686">
        <f>D240</f>
        <v>12380</v>
      </c>
      <c r="L240" s="481">
        <v>14335</v>
      </c>
    </row>
    <row r="241" spans="1:12" x14ac:dyDescent="0.2">
      <c r="A241" s="1519" t="s">
        <v>869</v>
      </c>
      <c r="B241" s="615">
        <v>2220</v>
      </c>
      <c r="C241" s="617"/>
      <c r="D241" s="466">
        <v>80155</v>
      </c>
      <c r="E241" s="617"/>
      <c r="F241" s="617"/>
      <c r="G241" s="617"/>
      <c r="H241" s="617"/>
      <c r="I241" s="617"/>
      <c r="J241" s="617"/>
      <c r="K241" s="1686">
        <f>D241</f>
        <v>80155</v>
      </c>
      <c r="L241" s="466">
        <v>70633</v>
      </c>
    </row>
    <row r="242" spans="1:12" x14ac:dyDescent="0.2">
      <c r="A242" s="1519" t="s">
        <v>870</v>
      </c>
      <c r="B242" s="615">
        <v>2230</v>
      </c>
      <c r="C242" s="617"/>
      <c r="D242" s="466">
        <v>0</v>
      </c>
      <c r="E242" s="617"/>
      <c r="F242" s="617"/>
      <c r="G242" s="617"/>
      <c r="H242" s="617"/>
      <c r="I242" s="617"/>
      <c r="J242" s="617"/>
      <c r="K242" s="1686">
        <f>D242</f>
        <v>0</v>
      </c>
      <c r="L242" s="466">
        <v>0</v>
      </c>
    </row>
    <row r="243" spans="1:12" ht="12.75" customHeight="1" thickBot="1" x14ac:dyDescent="0.25">
      <c r="A243" s="1708" t="s">
        <v>582</v>
      </c>
      <c r="B243" s="1709">
        <v>2200</v>
      </c>
      <c r="C243" s="617"/>
      <c r="D243" s="1684">
        <f>SUM(D240:D242)</f>
        <v>92535</v>
      </c>
      <c r="E243" s="617"/>
      <c r="F243" s="617"/>
      <c r="G243" s="617"/>
      <c r="H243" s="617"/>
      <c r="I243" s="617"/>
      <c r="J243" s="617"/>
      <c r="K243" s="1684">
        <f>SUM(K240:K242)</f>
        <v>92535</v>
      </c>
      <c r="L243" s="1684">
        <f>SUM(L240:L242)</f>
        <v>84968</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19" t="s">
        <v>871</v>
      </c>
      <c r="B245" s="615">
        <v>2310</v>
      </c>
      <c r="C245" s="617"/>
      <c r="D245" s="481">
        <v>10870</v>
      </c>
      <c r="E245" s="617"/>
      <c r="F245" s="617"/>
      <c r="G245" s="617"/>
      <c r="H245" s="617"/>
      <c r="I245" s="617"/>
      <c r="J245" s="617"/>
      <c r="K245" s="1686">
        <f>D245</f>
        <v>10870</v>
      </c>
      <c r="L245" s="481">
        <v>9433</v>
      </c>
    </row>
    <row r="246" spans="1:12" x14ac:dyDescent="0.2">
      <c r="A246" s="1519" t="s">
        <v>872</v>
      </c>
      <c r="B246" s="615">
        <v>2320</v>
      </c>
      <c r="C246" s="617"/>
      <c r="D246" s="466">
        <v>12305</v>
      </c>
      <c r="E246" s="617"/>
      <c r="F246" s="617"/>
      <c r="G246" s="617"/>
      <c r="H246" s="617"/>
      <c r="I246" s="617"/>
      <c r="J246" s="617"/>
      <c r="K246" s="1686">
        <f t="shared" ref="K246:K256" si="21">D246</f>
        <v>12305</v>
      </c>
      <c r="L246" s="466">
        <v>10901</v>
      </c>
    </row>
    <row r="247" spans="1:12" x14ac:dyDescent="0.2">
      <c r="A247" s="1519" t="s">
        <v>873</v>
      </c>
      <c r="B247" s="615">
        <v>2330</v>
      </c>
      <c r="C247" s="617"/>
      <c r="D247" s="466">
        <v>0</v>
      </c>
      <c r="E247" s="617"/>
      <c r="F247" s="617"/>
      <c r="G247" s="617"/>
      <c r="H247" s="617"/>
      <c r="I247" s="617"/>
      <c r="J247" s="617"/>
      <c r="K247" s="1686">
        <f t="shared" si="21"/>
        <v>0</v>
      </c>
      <c r="L247" s="466">
        <v>0</v>
      </c>
    </row>
    <row r="248" spans="1:12" x14ac:dyDescent="0.2">
      <c r="A248" s="1520" t="s">
        <v>317</v>
      </c>
      <c r="B248" s="603" t="s">
        <v>299</v>
      </c>
      <c r="C248" s="617"/>
      <c r="D248" s="474">
        <v>0</v>
      </c>
      <c r="E248" s="617"/>
      <c r="F248" s="617"/>
      <c r="G248" s="617"/>
      <c r="H248" s="617"/>
      <c r="I248" s="617"/>
      <c r="J248" s="617"/>
      <c r="K248" s="1686">
        <f t="shared" si="21"/>
        <v>0</v>
      </c>
      <c r="L248" s="466">
        <v>0</v>
      </c>
    </row>
    <row r="249" spans="1:12" x14ac:dyDescent="0.2">
      <c r="A249" s="1521" t="s">
        <v>1905</v>
      </c>
      <c r="B249" s="684" t="s">
        <v>300</v>
      </c>
      <c r="C249" s="617"/>
      <c r="D249" s="474">
        <v>0</v>
      </c>
      <c r="E249" s="617"/>
      <c r="F249" s="617"/>
      <c r="G249" s="617"/>
      <c r="H249" s="617"/>
      <c r="I249" s="617"/>
      <c r="J249" s="617"/>
      <c r="K249" s="1686">
        <f t="shared" si="21"/>
        <v>0</v>
      </c>
      <c r="L249" s="466">
        <v>0</v>
      </c>
    </row>
    <row r="250" spans="1:12" x14ac:dyDescent="0.2">
      <c r="A250" s="1520" t="s">
        <v>1906</v>
      </c>
      <c r="B250" s="603" t="s">
        <v>301</v>
      </c>
      <c r="C250" s="617"/>
      <c r="D250" s="474">
        <v>0</v>
      </c>
      <c r="E250" s="617"/>
      <c r="F250" s="617"/>
      <c r="G250" s="617"/>
      <c r="H250" s="617"/>
      <c r="I250" s="617"/>
      <c r="J250" s="617"/>
      <c r="K250" s="1686">
        <f t="shared" si="21"/>
        <v>0</v>
      </c>
      <c r="L250" s="466">
        <v>0</v>
      </c>
    </row>
    <row r="251" spans="1:12" x14ac:dyDescent="0.2">
      <c r="A251" s="1520" t="s">
        <v>256</v>
      </c>
      <c r="B251" s="603" t="s">
        <v>302</v>
      </c>
      <c r="C251" s="617"/>
      <c r="D251" s="474">
        <v>0</v>
      </c>
      <c r="E251" s="617"/>
      <c r="F251" s="617"/>
      <c r="G251" s="617"/>
      <c r="H251" s="617"/>
      <c r="I251" s="617"/>
      <c r="J251" s="617"/>
      <c r="K251" s="1686">
        <f t="shared" si="21"/>
        <v>0</v>
      </c>
      <c r="L251" s="466">
        <v>0</v>
      </c>
    </row>
    <row r="252" spans="1:12" x14ac:dyDescent="0.2">
      <c r="A252" s="1520" t="s">
        <v>726</v>
      </c>
      <c r="B252" s="603" t="s">
        <v>303</v>
      </c>
      <c r="C252" s="617"/>
      <c r="D252" s="474">
        <v>0</v>
      </c>
      <c r="E252" s="617"/>
      <c r="F252" s="617"/>
      <c r="G252" s="617"/>
      <c r="H252" s="617"/>
      <c r="I252" s="617"/>
      <c r="J252" s="617"/>
      <c r="K252" s="1686">
        <f t="shared" si="21"/>
        <v>0</v>
      </c>
      <c r="L252" s="466">
        <v>0</v>
      </c>
    </row>
    <row r="253" spans="1:12" x14ac:dyDescent="0.2">
      <c r="A253" s="1520" t="s">
        <v>257</v>
      </c>
      <c r="B253" s="603" t="s">
        <v>304</v>
      </c>
      <c r="C253" s="617"/>
      <c r="D253" s="474">
        <v>0</v>
      </c>
      <c r="E253" s="617"/>
      <c r="F253" s="617"/>
      <c r="G253" s="617"/>
      <c r="H253" s="617"/>
      <c r="I253" s="617"/>
      <c r="J253" s="617"/>
      <c r="K253" s="1686">
        <f t="shared" si="21"/>
        <v>0</v>
      </c>
      <c r="L253" s="466">
        <v>0</v>
      </c>
    </row>
    <row r="254" spans="1:12" ht="22.5" x14ac:dyDescent="0.2">
      <c r="A254" s="1520" t="s">
        <v>1087</v>
      </c>
      <c r="B254" s="684" t="s">
        <v>305</v>
      </c>
      <c r="C254" s="617"/>
      <c r="D254" s="474">
        <v>0</v>
      </c>
      <c r="E254" s="617"/>
      <c r="F254" s="617"/>
      <c r="G254" s="617"/>
      <c r="H254" s="617"/>
      <c r="I254" s="617"/>
      <c r="J254" s="617"/>
      <c r="K254" s="1686">
        <f t="shared" si="21"/>
        <v>0</v>
      </c>
      <c r="L254" s="466">
        <v>0</v>
      </c>
    </row>
    <row r="255" spans="1:12" x14ac:dyDescent="0.2">
      <c r="A255" s="1520" t="s">
        <v>1088</v>
      </c>
      <c r="B255" s="603" t="s">
        <v>306</v>
      </c>
      <c r="C255" s="617"/>
      <c r="D255" s="474">
        <v>0</v>
      </c>
      <c r="E255" s="617"/>
      <c r="F255" s="617"/>
      <c r="G255" s="617"/>
      <c r="H255" s="617"/>
      <c r="I255" s="617"/>
      <c r="J255" s="617"/>
      <c r="K255" s="1686">
        <f t="shared" si="21"/>
        <v>0</v>
      </c>
      <c r="L255" s="466">
        <v>0</v>
      </c>
    </row>
    <row r="256" spans="1:12" x14ac:dyDescent="0.2">
      <c r="A256" s="1520" t="s">
        <v>1028</v>
      </c>
      <c r="B256" s="615" t="s">
        <v>307</v>
      </c>
      <c r="C256" s="617"/>
      <c r="D256" s="474">
        <v>0</v>
      </c>
      <c r="E256" s="617"/>
      <c r="F256" s="617"/>
      <c r="G256" s="617"/>
      <c r="H256" s="617"/>
      <c r="I256" s="617"/>
      <c r="J256" s="617"/>
      <c r="K256" s="1686">
        <f t="shared" si="21"/>
        <v>0</v>
      </c>
      <c r="L256" s="466">
        <v>0</v>
      </c>
    </row>
    <row r="257" spans="1:14" ht="12.75" customHeight="1" thickBot="1" x14ac:dyDescent="0.25">
      <c r="A257" s="1682" t="s">
        <v>741</v>
      </c>
      <c r="B257" s="1710">
        <v>2300</v>
      </c>
      <c r="C257" s="617"/>
      <c r="D257" s="1684">
        <f>SUM(D245:D256)</f>
        <v>23175</v>
      </c>
      <c r="E257" s="617"/>
      <c r="F257" s="617"/>
      <c r="G257" s="617"/>
      <c r="H257" s="617"/>
      <c r="I257" s="617"/>
      <c r="J257" s="617"/>
      <c r="K257" s="1684">
        <f>SUM(K245:K256)</f>
        <v>23175</v>
      </c>
      <c r="L257" s="1684">
        <f>SUM(L245:L256)</f>
        <v>20334</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19" t="s">
        <v>1127</v>
      </c>
      <c r="B259" s="686">
        <v>2410</v>
      </c>
      <c r="C259" s="617"/>
      <c r="D259" s="481">
        <v>83794</v>
      </c>
      <c r="E259" s="617"/>
      <c r="F259" s="617"/>
      <c r="G259" s="617"/>
      <c r="H259" s="617"/>
      <c r="I259" s="617"/>
      <c r="J259" s="617"/>
      <c r="K259" s="1686">
        <f>D259</f>
        <v>83794</v>
      </c>
      <c r="L259" s="481">
        <v>64307</v>
      </c>
    </row>
    <row r="260" spans="1:14" s="598" customFormat="1" x14ac:dyDescent="0.2">
      <c r="A260" s="1537" t="s">
        <v>1904</v>
      </c>
      <c r="B260" s="629">
        <v>2490</v>
      </c>
      <c r="C260" s="617"/>
      <c r="D260" s="466">
        <v>0</v>
      </c>
      <c r="E260" s="617"/>
      <c r="F260" s="617"/>
      <c r="G260" s="617"/>
      <c r="H260" s="617"/>
      <c r="I260" s="617"/>
      <c r="J260" s="617"/>
      <c r="K260" s="1686">
        <f>D260</f>
        <v>0</v>
      </c>
      <c r="L260" s="466">
        <v>0</v>
      </c>
      <c r="M260" s="210"/>
      <c r="N260" s="210"/>
    </row>
    <row r="261" spans="1:14" ht="12.75" customHeight="1" thickBot="1" x14ac:dyDescent="0.25">
      <c r="A261" s="1706" t="s">
        <v>281</v>
      </c>
      <c r="B261" s="1711" t="s">
        <v>34</v>
      </c>
      <c r="C261" s="617"/>
      <c r="D261" s="1684">
        <f>SUM(D259:D260)</f>
        <v>83794</v>
      </c>
      <c r="E261" s="617"/>
      <c r="F261" s="617"/>
      <c r="G261" s="617"/>
      <c r="H261" s="617"/>
      <c r="I261" s="617"/>
      <c r="J261" s="617"/>
      <c r="K261" s="1684">
        <f>SUM(K259:K260)</f>
        <v>83794</v>
      </c>
      <c r="L261" s="1684">
        <f>SUM(L259:L260)</f>
        <v>64307</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19" t="s">
        <v>1128</v>
      </c>
      <c r="B263" s="686">
        <v>2510</v>
      </c>
      <c r="C263" s="617"/>
      <c r="D263" s="466">
        <v>2490</v>
      </c>
      <c r="E263" s="617"/>
      <c r="F263" s="617"/>
      <c r="G263" s="617"/>
      <c r="H263" s="617"/>
      <c r="I263" s="617"/>
      <c r="J263" s="617"/>
      <c r="K263" s="1686">
        <f>D263</f>
        <v>2490</v>
      </c>
      <c r="L263" s="481">
        <v>2401</v>
      </c>
    </row>
    <row r="264" spans="1:14" x14ac:dyDescent="0.2">
      <c r="A264" s="1519" t="s">
        <v>483</v>
      </c>
      <c r="B264" s="686">
        <v>2520</v>
      </c>
      <c r="C264" s="617"/>
      <c r="D264" s="466">
        <v>25658</v>
      </c>
      <c r="E264" s="617"/>
      <c r="F264" s="617"/>
      <c r="G264" s="617"/>
      <c r="H264" s="617"/>
      <c r="I264" s="617"/>
      <c r="J264" s="617"/>
      <c r="K264" s="1686">
        <f t="shared" ref="K264:K269" si="22">D264</f>
        <v>25658</v>
      </c>
      <c r="L264" s="466">
        <v>32096</v>
      </c>
    </row>
    <row r="265" spans="1:14" x14ac:dyDescent="0.2">
      <c r="A265" s="1519" t="s">
        <v>4</v>
      </c>
      <c r="B265" s="615">
        <v>2530</v>
      </c>
      <c r="C265" s="617"/>
      <c r="D265" s="466">
        <v>0</v>
      </c>
      <c r="E265" s="617"/>
      <c r="F265" s="617"/>
      <c r="G265" s="617"/>
      <c r="H265" s="617"/>
      <c r="I265" s="617"/>
      <c r="J265" s="617"/>
      <c r="K265" s="1686">
        <f t="shared" si="22"/>
        <v>0</v>
      </c>
      <c r="L265" s="466">
        <v>0</v>
      </c>
    </row>
    <row r="266" spans="1:14" x14ac:dyDescent="0.2">
      <c r="A266" s="1519" t="s">
        <v>206</v>
      </c>
      <c r="B266" s="615">
        <v>2540</v>
      </c>
      <c r="C266" s="617"/>
      <c r="D266" s="466">
        <v>113744</v>
      </c>
      <c r="E266" s="617"/>
      <c r="F266" s="617"/>
      <c r="G266" s="617"/>
      <c r="H266" s="617"/>
      <c r="I266" s="617"/>
      <c r="J266" s="617"/>
      <c r="K266" s="1686">
        <f t="shared" si="22"/>
        <v>113744</v>
      </c>
      <c r="L266" s="466">
        <v>105557</v>
      </c>
    </row>
    <row r="267" spans="1:14" x14ac:dyDescent="0.2">
      <c r="A267" s="1519" t="s">
        <v>1010</v>
      </c>
      <c r="B267" s="615">
        <v>2550</v>
      </c>
      <c r="C267" s="617"/>
      <c r="D267" s="466">
        <v>120973</v>
      </c>
      <c r="E267" s="617"/>
      <c r="F267" s="617"/>
      <c r="G267" s="617"/>
      <c r="H267" s="617"/>
      <c r="I267" s="617"/>
      <c r="J267" s="617"/>
      <c r="K267" s="1686">
        <f t="shared" si="22"/>
        <v>120973</v>
      </c>
      <c r="L267" s="466">
        <v>131834</v>
      </c>
    </row>
    <row r="268" spans="1:14" x14ac:dyDescent="0.2">
      <c r="A268" s="1519" t="s">
        <v>102</v>
      </c>
      <c r="B268" s="615">
        <v>2560</v>
      </c>
      <c r="C268" s="617"/>
      <c r="D268" s="466">
        <v>34466</v>
      </c>
      <c r="E268" s="617"/>
      <c r="F268" s="617"/>
      <c r="G268" s="617"/>
      <c r="H268" s="617"/>
      <c r="I268" s="617"/>
      <c r="J268" s="617"/>
      <c r="K268" s="1686">
        <f t="shared" si="22"/>
        <v>34466</v>
      </c>
      <c r="L268" s="466">
        <v>35234</v>
      </c>
    </row>
    <row r="269" spans="1:14" x14ac:dyDescent="0.2">
      <c r="A269" s="1519" t="s">
        <v>103</v>
      </c>
      <c r="B269" s="615">
        <v>2570</v>
      </c>
      <c r="C269" s="617"/>
      <c r="D269" s="466">
        <v>646</v>
      </c>
      <c r="E269" s="617"/>
      <c r="F269" s="617"/>
      <c r="G269" s="617"/>
      <c r="H269" s="617"/>
      <c r="I269" s="617"/>
      <c r="J269" s="617"/>
      <c r="K269" s="1686">
        <f t="shared" si="22"/>
        <v>646</v>
      </c>
      <c r="L269" s="466">
        <v>1071</v>
      </c>
    </row>
    <row r="270" spans="1:14" ht="12.75" customHeight="1" thickBot="1" x14ac:dyDescent="0.25">
      <c r="A270" s="1682" t="s">
        <v>743</v>
      </c>
      <c r="B270" s="1689" t="s">
        <v>35</v>
      </c>
      <c r="C270" s="617"/>
      <c r="D270" s="1684">
        <f>SUM(D263:D269)</f>
        <v>297977</v>
      </c>
      <c r="E270" s="617"/>
      <c r="F270" s="617"/>
      <c r="G270" s="617"/>
      <c r="H270" s="617"/>
      <c r="I270" s="617"/>
      <c r="J270" s="617"/>
      <c r="K270" s="1684">
        <f>SUM(K263:K269)</f>
        <v>297977</v>
      </c>
      <c r="L270" s="1684">
        <f>SUM(L263:L269)</f>
        <v>308193</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19" t="s">
        <v>1120</v>
      </c>
      <c r="B272" s="615">
        <v>2610</v>
      </c>
      <c r="C272" s="617"/>
      <c r="D272" s="481">
        <v>0</v>
      </c>
      <c r="E272" s="617"/>
      <c r="F272" s="617"/>
      <c r="G272" s="617"/>
      <c r="H272" s="617"/>
      <c r="I272" s="617"/>
      <c r="J272" s="617"/>
      <c r="K272" s="1686">
        <f>D272</f>
        <v>0</v>
      </c>
      <c r="L272" s="481">
        <v>0</v>
      </c>
    </row>
    <row r="273" spans="1:12" x14ac:dyDescent="0.2">
      <c r="A273" s="1519" t="s">
        <v>628</v>
      </c>
      <c r="B273" s="629">
        <v>2620</v>
      </c>
      <c r="C273" s="617"/>
      <c r="D273" s="466">
        <v>0</v>
      </c>
      <c r="E273" s="617"/>
      <c r="F273" s="617"/>
      <c r="G273" s="617"/>
      <c r="H273" s="617"/>
      <c r="I273" s="617"/>
      <c r="J273" s="617"/>
      <c r="K273" s="1686">
        <f>D273</f>
        <v>0</v>
      </c>
      <c r="L273" s="466">
        <v>0</v>
      </c>
    </row>
    <row r="274" spans="1:12" ht="12" customHeight="1" x14ac:dyDescent="0.2">
      <c r="A274" s="1519" t="s">
        <v>1121</v>
      </c>
      <c r="B274" s="615">
        <v>2630</v>
      </c>
      <c r="C274" s="617"/>
      <c r="D274" s="466">
        <v>0</v>
      </c>
      <c r="E274" s="617"/>
      <c r="F274" s="617"/>
      <c r="G274" s="617"/>
      <c r="H274" s="617"/>
      <c r="I274" s="617"/>
      <c r="J274" s="617"/>
      <c r="K274" s="1686">
        <f>D274</f>
        <v>0</v>
      </c>
      <c r="L274" s="466">
        <v>0</v>
      </c>
    </row>
    <row r="275" spans="1:12" x14ac:dyDescent="0.2">
      <c r="A275" s="1519" t="s">
        <v>423</v>
      </c>
      <c r="B275" s="615">
        <v>2640</v>
      </c>
      <c r="C275" s="617"/>
      <c r="D275" s="466">
        <v>0</v>
      </c>
      <c r="E275" s="617"/>
      <c r="F275" s="617"/>
      <c r="G275" s="617"/>
      <c r="H275" s="617"/>
      <c r="I275" s="617"/>
      <c r="J275" s="617"/>
      <c r="K275" s="1686">
        <f>D275</f>
        <v>0</v>
      </c>
      <c r="L275" s="466">
        <v>0</v>
      </c>
    </row>
    <row r="276" spans="1:12" x14ac:dyDescent="0.2">
      <c r="A276" s="1519" t="s">
        <v>424</v>
      </c>
      <c r="B276" s="615">
        <v>2660</v>
      </c>
      <c r="C276" s="617"/>
      <c r="D276" s="466">
        <v>0</v>
      </c>
      <c r="E276" s="617"/>
      <c r="F276" s="617"/>
      <c r="G276" s="617"/>
      <c r="H276" s="617"/>
      <c r="I276" s="617"/>
      <c r="J276" s="617"/>
      <c r="K276" s="1686">
        <f>D276</f>
        <v>0</v>
      </c>
      <c r="L276" s="466">
        <v>0</v>
      </c>
    </row>
    <row r="277" spans="1:12" ht="12.75" customHeight="1" thickBot="1" x14ac:dyDescent="0.25">
      <c r="A277" s="1705" t="s">
        <v>37</v>
      </c>
      <c r="B277" s="1683" t="s">
        <v>36</v>
      </c>
      <c r="C277" s="617"/>
      <c r="D277" s="1684">
        <f>SUM(D272:D276)</f>
        <v>0</v>
      </c>
      <c r="E277" s="617"/>
      <c r="F277" s="617"/>
      <c r="G277" s="617"/>
      <c r="H277" s="617"/>
      <c r="I277" s="617"/>
      <c r="J277" s="617"/>
      <c r="K277" s="1684">
        <f>SUM(K272:K276)</f>
        <v>0</v>
      </c>
      <c r="L277" s="1684">
        <f>SUM(L272:L276)</f>
        <v>0</v>
      </c>
    </row>
    <row r="278" spans="1:12" ht="13.5" customHeight="1" thickTop="1" x14ac:dyDescent="0.2">
      <c r="A278" s="1525" t="s">
        <v>1037</v>
      </c>
      <c r="B278" s="656" t="s">
        <v>595</v>
      </c>
      <c r="C278" s="617"/>
      <c r="D278" s="657">
        <v>0</v>
      </c>
      <c r="E278" s="617"/>
      <c r="F278" s="617"/>
      <c r="G278" s="617"/>
      <c r="H278" s="617"/>
      <c r="I278" s="617"/>
      <c r="J278" s="617"/>
      <c r="K278" s="1699">
        <f>D278</f>
        <v>0</v>
      </c>
      <c r="L278" s="657">
        <v>0</v>
      </c>
    </row>
    <row r="279" spans="1:12" ht="12.75" customHeight="1" thickBot="1" x14ac:dyDescent="0.25">
      <c r="A279" s="1712" t="s">
        <v>865</v>
      </c>
      <c r="B279" s="1695">
        <v>2000</v>
      </c>
      <c r="C279" s="617"/>
      <c r="D279" s="1691">
        <f>SUM(D238,D243,D257,D261,D270,D277,D278)</f>
        <v>546870</v>
      </c>
      <c r="E279" s="617"/>
      <c r="F279" s="617"/>
      <c r="G279" s="617"/>
      <c r="H279" s="617"/>
      <c r="I279" s="617"/>
      <c r="J279" s="617"/>
      <c r="K279" s="1691">
        <f>SUM(K238,K243,K257,K261,K270,K277,K278)</f>
        <v>546870</v>
      </c>
      <c r="L279" s="1691">
        <f>SUM(L238,L243,L257,L261,L270,L277,L278)</f>
        <v>526330</v>
      </c>
    </row>
    <row r="280" spans="1:12" ht="15.75" customHeight="1" thickTop="1" thickBot="1" x14ac:dyDescent="0.25">
      <c r="A280" s="1638" t="s">
        <v>930</v>
      </c>
      <c r="B280" s="1627">
        <v>3000</v>
      </c>
      <c r="C280" s="617"/>
      <c r="D280" s="576">
        <v>8302</v>
      </c>
      <c r="E280" s="617"/>
      <c r="F280" s="617"/>
      <c r="G280" s="617"/>
      <c r="H280" s="617"/>
      <c r="I280" s="617"/>
      <c r="J280" s="617"/>
      <c r="K280" s="1693">
        <f>D280</f>
        <v>8302</v>
      </c>
      <c r="L280" s="576">
        <v>7456</v>
      </c>
    </row>
    <row r="281" spans="1:12" ht="15.75" customHeight="1" thickTop="1" x14ac:dyDescent="0.2">
      <c r="A281" s="1628" t="s">
        <v>144</v>
      </c>
      <c r="B281" s="1629" t="s">
        <v>915</v>
      </c>
      <c r="C281" s="617"/>
      <c r="D281" s="566"/>
      <c r="E281" s="617"/>
      <c r="F281" s="617"/>
      <c r="G281" s="617"/>
      <c r="H281" s="617"/>
      <c r="I281" s="617"/>
      <c r="J281" s="617"/>
      <c r="K281" s="617"/>
      <c r="L281" s="617"/>
    </row>
    <row r="282" spans="1:12" ht="15.75" customHeight="1" x14ac:dyDescent="0.2">
      <c r="A282" s="1845" t="s">
        <v>517</v>
      </c>
      <c r="B282" s="691" t="s">
        <v>1954</v>
      </c>
      <c r="C282" s="617"/>
      <c r="D282" s="467">
        <v>0</v>
      </c>
      <c r="E282" s="617"/>
      <c r="F282" s="617"/>
      <c r="G282" s="617"/>
      <c r="H282" s="617"/>
      <c r="I282" s="617"/>
      <c r="J282" s="617"/>
      <c r="K282" s="1685">
        <f>D282</f>
        <v>0</v>
      </c>
      <c r="L282" s="467">
        <v>0</v>
      </c>
    </row>
    <row r="283" spans="1:12" x14ac:dyDescent="0.2">
      <c r="A283" s="1519" t="s">
        <v>322</v>
      </c>
      <c r="B283" s="615">
        <v>4120</v>
      </c>
      <c r="C283" s="617"/>
      <c r="D283" s="466">
        <v>0</v>
      </c>
      <c r="E283" s="617"/>
      <c r="F283" s="617"/>
      <c r="G283" s="617"/>
      <c r="H283" s="617"/>
      <c r="I283" s="617"/>
      <c r="J283" s="617"/>
      <c r="K283" s="1685">
        <f>D283</f>
        <v>0</v>
      </c>
      <c r="L283" s="466">
        <v>0</v>
      </c>
    </row>
    <row r="284" spans="1:12" x14ac:dyDescent="0.2">
      <c r="A284" s="1519" t="s">
        <v>721</v>
      </c>
      <c r="B284" s="615">
        <v>4140</v>
      </c>
      <c r="C284" s="617"/>
      <c r="D284" s="467">
        <v>0</v>
      </c>
      <c r="E284" s="617"/>
      <c r="F284" s="617"/>
      <c r="G284" s="617"/>
      <c r="H284" s="617"/>
      <c r="I284" s="617"/>
      <c r="J284" s="617"/>
      <c r="K284" s="1685">
        <f>D284</f>
        <v>0</v>
      </c>
      <c r="L284" s="466">
        <v>0</v>
      </c>
    </row>
    <row r="285" spans="1:12" ht="12.75" customHeight="1" thickBot="1" x14ac:dyDescent="0.25">
      <c r="A285" s="1682" t="s">
        <v>1567</v>
      </c>
      <c r="B285" s="1683" t="s">
        <v>915</v>
      </c>
      <c r="C285" s="617"/>
      <c r="D285" s="1684">
        <f>SUM(D282:D284)</f>
        <v>0</v>
      </c>
      <c r="E285" s="617"/>
      <c r="F285" s="617"/>
      <c r="G285" s="617"/>
      <c r="H285" s="617"/>
      <c r="I285" s="617"/>
      <c r="J285" s="617"/>
      <c r="K285" s="1684">
        <f>SUM(K282:K284)</f>
        <v>0</v>
      </c>
      <c r="L285" s="1684">
        <f>SUM(L282:L284)</f>
        <v>0</v>
      </c>
    </row>
    <row r="286" spans="1:12" ht="15.75" customHeight="1" thickTop="1" x14ac:dyDescent="0.2">
      <c r="A286" s="1626" t="s">
        <v>931</v>
      </c>
      <c r="B286" s="1623"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9" t="s">
        <v>89</v>
      </c>
      <c r="B288" s="615">
        <v>5110</v>
      </c>
      <c r="C288" s="617"/>
      <c r="D288" s="617"/>
      <c r="E288" s="617"/>
      <c r="F288" s="617"/>
      <c r="G288" s="617"/>
      <c r="H288" s="466">
        <v>0</v>
      </c>
      <c r="I288" s="617"/>
      <c r="J288" s="617"/>
      <c r="K288" s="1685">
        <f>H288</f>
        <v>0</v>
      </c>
      <c r="L288" s="466">
        <v>0</v>
      </c>
    </row>
    <row r="289" spans="1:14" x14ac:dyDescent="0.2">
      <c r="A289" s="1519" t="s">
        <v>90</v>
      </c>
      <c r="B289" s="615">
        <v>5120</v>
      </c>
      <c r="C289" s="617"/>
      <c r="D289" s="617"/>
      <c r="E289" s="617"/>
      <c r="F289" s="617"/>
      <c r="G289" s="617"/>
      <c r="H289" s="466">
        <v>0</v>
      </c>
      <c r="I289" s="617"/>
      <c r="J289" s="617"/>
      <c r="K289" s="1685">
        <f>H289</f>
        <v>0</v>
      </c>
      <c r="L289" s="466">
        <v>0</v>
      </c>
    </row>
    <row r="290" spans="1:14" ht="12.75" customHeight="1" x14ac:dyDescent="0.2">
      <c r="A290" s="1519" t="s">
        <v>1232</v>
      </c>
      <c r="B290" s="629" t="s">
        <v>638</v>
      </c>
      <c r="C290" s="617"/>
      <c r="D290" s="617"/>
      <c r="E290" s="617"/>
      <c r="F290" s="617"/>
      <c r="G290" s="617"/>
      <c r="H290" s="466">
        <v>0</v>
      </c>
      <c r="I290" s="617"/>
      <c r="J290" s="617"/>
      <c r="K290" s="1685">
        <f>H290</f>
        <v>0</v>
      </c>
      <c r="L290" s="466">
        <v>0</v>
      </c>
    </row>
    <row r="291" spans="1:14" x14ac:dyDescent="0.2">
      <c r="A291" s="1519" t="s">
        <v>91</v>
      </c>
      <c r="B291" s="615" t="s">
        <v>610</v>
      </c>
      <c r="C291" s="617"/>
      <c r="D291" s="617"/>
      <c r="E291" s="617"/>
      <c r="F291" s="617"/>
      <c r="G291" s="617"/>
      <c r="H291" s="466">
        <v>0</v>
      </c>
      <c r="I291" s="617"/>
      <c r="J291" s="617"/>
      <c r="K291" s="1685">
        <f>H291</f>
        <v>0</v>
      </c>
      <c r="L291" s="466">
        <v>0</v>
      </c>
    </row>
    <row r="292" spans="1:14" x14ac:dyDescent="0.2">
      <c r="A292" s="1519" t="s">
        <v>786</v>
      </c>
      <c r="B292" s="615" t="s">
        <v>639</v>
      </c>
      <c r="C292" s="617"/>
      <c r="D292" s="617"/>
      <c r="E292" s="617"/>
      <c r="F292" s="617"/>
      <c r="G292" s="617"/>
      <c r="H292" s="466">
        <v>0</v>
      </c>
      <c r="I292" s="617"/>
      <c r="J292" s="617"/>
      <c r="K292" s="1685">
        <f>H292</f>
        <v>0</v>
      </c>
      <c r="L292" s="466">
        <v>0</v>
      </c>
    </row>
    <row r="293" spans="1:14" ht="12.75" customHeight="1" thickBot="1" x14ac:dyDescent="0.25">
      <c r="A293" s="1682" t="s">
        <v>505</v>
      </c>
      <c r="B293" s="1683" t="s">
        <v>513</v>
      </c>
      <c r="C293" s="617"/>
      <c r="D293" s="617"/>
      <c r="E293" s="617"/>
      <c r="F293" s="617"/>
      <c r="G293" s="617"/>
      <c r="H293" s="1684">
        <f>SUM(H288:H292)</f>
        <v>0</v>
      </c>
      <c r="I293" s="617"/>
      <c r="J293" s="617"/>
      <c r="K293" s="1684">
        <f>SUM(K288:K292)</f>
        <v>0</v>
      </c>
      <c r="L293" s="1684">
        <f>SUM(L288:L292)</f>
        <v>0</v>
      </c>
    </row>
    <row r="294" spans="1:14" ht="15.75" customHeight="1" thickTop="1" thickBot="1" x14ac:dyDescent="0.25">
      <c r="A294" s="1639" t="s">
        <v>932</v>
      </c>
      <c r="B294" s="1627" t="s">
        <v>916</v>
      </c>
      <c r="C294" s="617"/>
      <c r="D294" s="624"/>
      <c r="E294" s="617"/>
      <c r="F294" s="617"/>
      <c r="G294" s="617"/>
      <c r="H294" s="687"/>
      <c r="I294" s="617"/>
      <c r="J294" s="617"/>
      <c r="K294" s="687"/>
      <c r="L294" s="578">
        <v>0</v>
      </c>
    </row>
    <row r="295" spans="1:14" ht="12.75" customHeight="1" thickTop="1" thickBot="1" x14ac:dyDescent="0.25">
      <c r="A295" s="2250" t="s">
        <v>526</v>
      </c>
      <c r="B295" s="2251"/>
      <c r="C295" s="617"/>
      <c r="D295" s="1684">
        <f>SUM(D229,D279,D280,D285)</f>
        <v>845422</v>
      </c>
      <c r="E295" s="617"/>
      <c r="F295" s="617"/>
      <c r="G295" s="617"/>
      <c r="H295" s="1684">
        <f>H293</f>
        <v>0</v>
      </c>
      <c r="I295" s="617"/>
      <c r="J295" s="617"/>
      <c r="K295" s="1684">
        <f>SUM(K229,K279,K280,K285,K293,K294)</f>
        <v>845422</v>
      </c>
      <c r="L295" s="1684">
        <f>SUM(L229,L279,L280,L285,L293,L294)</f>
        <v>830950</v>
      </c>
    </row>
    <row r="296" spans="1:14" ht="13.5" thickTop="1" x14ac:dyDescent="0.2">
      <c r="A296" s="2232" t="s">
        <v>1053</v>
      </c>
      <c r="B296" s="2233"/>
      <c r="C296" s="617"/>
      <c r="D296" s="619"/>
      <c r="E296" s="617"/>
      <c r="F296" s="617"/>
      <c r="G296" s="617"/>
      <c r="H296" s="688"/>
      <c r="I296" s="617"/>
      <c r="J296" s="617"/>
      <c r="K296" s="1698">
        <f>'Revenues 9-14'!G275-'Expenditures 15-22'!K295</f>
        <v>51254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42" t="s">
        <v>145</v>
      </c>
      <c r="B298" s="2236"/>
      <c r="C298" s="1565"/>
      <c r="D298" s="1566"/>
      <c r="E298" s="1566"/>
      <c r="F298" s="1566"/>
      <c r="G298" s="1566"/>
      <c r="H298" s="1566"/>
      <c r="I298" s="1566"/>
      <c r="J298" s="1566"/>
      <c r="K298" s="1566"/>
      <c r="L298" s="1567"/>
    </row>
    <row r="299" spans="1:14" ht="15.75" customHeight="1" x14ac:dyDescent="0.2">
      <c r="A299" s="1626" t="s">
        <v>146</v>
      </c>
      <c r="B299" s="1629"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2" t="s">
        <v>629</v>
      </c>
      <c r="B301" s="690">
        <v>2530</v>
      </c>
      <c r="C301" s="466">
        <v>0</v>
      </c>
      <c r="D301" s="466">
        <v>0</v>
      </c>
      <c r="E301" s="466">
        <v>0</v>
      </c>
      <c r="F301" s="466">
        <v>0</v>
      </c>
      <c r="G301" s="466">
        <v>0</v>
      </c>
      <c r="H301" s="466">
        <v>0</v>
      </c>
      <c r="I301" s="467">
        <v>0</v>
      </c>
      <c r="J301" s="467">
        <v>0</v>
      </c>
      <c r="K301" s="1685">
        <f>SUM(C301:J301)</f>
        <v>0</v>
      </c>
      <c r="L301" s="467">
        <v>0</v>
      </c>
    </row>
    <row r="302" spans="1:14" ht="13.5" customHeight="1" x14ac:dyDescent="0.2">
      <c r="A302" s="1532" t="s">
        <v>1037</v>
      </c>
      <c r="B302" s="615" t="s">
        <v>595</v>
      </c>
      <c r="C302" s="466">
        <v>0</v>
      </c>
      <c r="D302" s="466">
        <v>0</v>
      </c>
      <c r="E302" s="466">
        <v>0</v>
      </c>
      <c r="F302" s="466">
        <v>0</v>
      </c>
      <c r="G302" s="466">
        <v>0</v>
      </c>
      <c r="H302" s="466">
        <v>0</v>
      </c>
      <c r="I302" s="467">
        <v>0</v>
      </c>
      <c r="J302" s="467">
        <v>0</v>
      </c>
      <c r="K302" s="1685">
        <f>SUM(C302:J302)</f>
        <v>0</v>
      </c>
      <c r="L302" s="466">
        <v>0</v>
      </c>
    </row>
    <row r="303" spans="1:14" ht="12.75" customHeight="1" thickBot="1" x14ac:dyDescent="0.25">
      <c r="A303" s="1682" t="s">
        <v>865</v>
      </c>
      <c r="B303" s="1683" t="s">
        <v>590</v>
      </c>
      <c r="C303" s="1691">
        <f>SUM(C301:C302)</f>
        <v>0</v>
      </c>
      <c r="D303" s="1691">
        <f t="shared" ref="D303:L303" si="23">SUM(D301:D302)</f>
        <v>0</v>
      </c>
      <c r="E303" s="1691">
        <f t="shared" si="23"/>
        <v>0</v>
      </c>
      <c r="F303" s="1691">
        <f t="shared" si="23"/>
        <v>0</v>
      </c>
      <c r="G303" s="1691">
        <f t="shared" si="23"/>
        <v>0</v>
      </c>
      <c r="H303" s="1691">
        <f t="shared" si="23"/>
        <v>0</v>
      </c>
      <c r="I303" s="1691">
        <f t="shared" si="23"/>
        <v>0</v>
      </c>
      <c r="J303" s="1691">
        <f t="shared" si="23"/>
        <v>0</v>
      </c>
      <c r="K303" s="1691">
        <f t="shared" si="23"/>
        <v>0</v>
      </c>
      <c r="L303" s="1691">
        <f t="shared" si="23"/>
        <v>0</v>
      </c>
    </row>
    <row r="304" spans="1:14" ht="15.75" customHeight="1" thickTop="1" x14ac:dyDescent="0.2">
      <c r="A304" s="1626" t="s">
        <v>147</v>
      </c>
      <c r="B304" s="1627"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3" t="s">
        <v>1959</v>
      </c>
      <c r="B306" s="691" t="s">
        <v>1954</v>
      </c>
      <c r="C306" s="617"/>
      <c r="D306" s="617"/>
      <c r="E306" s="467">
        <v>0</v>
      </c>
      <c r="F306" s="617"/>
      <c r="G306" s="617"/>
      <c r="H306" s="467">
        <v>0</v>
      </c>
      <c r="I306" s="617"/>
      <c r="J306" s="617"/>
      <c r="K306" s="1685">
        <f>SUM(E306,H306)</f>
        <v>0</v>
      </c>
      <c r="L306" s="467">
        <v>0</v>
      </c>
    </row>
    <row r="307" spans="1:14" x14ac:dyDescent="0.2">
      <c r="A307" s="1519" t="s">
        <v>322</v>
      </c>
      <c r="B307" s="615">
        <v>4120</v>
      </c>
      <c r="C307" s="617"/>
      <c r="D307" s="617"/>
      <c r="E307" s="467">
        <v>0</v>
      </c>
      <c r="F307" s="617"/>
      <c r="G307" s="617"/>
      <c r="H307" s="467">
        <v>0</v>
      </c>
      <c r="I307" s="477"/>
      <c r="J307" s="617"/>
      <c r="K307" s="1685">
        <f>SUM(E307,H307)</f>
        <v>0</v>
      </c>
      <c r="L307" s="466">
        <v>0</v>
      </c>
    </row>
    <row r="308" spans="1:14" x14ac:dyDescent="0.2">
      <c r="A308" s="1519" t="s">
        <v>721</v>
      </c>
      <c r="B308" s="615">
        <v>4140</v>
      </c>
      <c r="C308" s="617"/>
      <c r="D308" s="617"/>
      <c r="E308" s="467">
        <v>0</v>
      </c>
      <c r="F308" s="617"/>
      <c r="G308" s="617"/>
      <c r="H308" s="467">
        <v>0</v>
      </c>
      <c r="I308" s="477"/>
      <c r="J308" s="617"/>
      <c r="K308" s="1685">
        <f>SUM(E308,H308)</f>
        <v>0</v>
      </c>
      <c r="L308" s="466">
        <v>0</v>
      </c>
    </row>
    <row r="309" spans="1:14" ht="12.75" customHeight="1" x14ac:dyDescent="0.2">
      <c r="A309" s="1523" t="s">
        <v>722</v>
      </c>
      <c r="B309" s="629">
        <v>4190</v>
      </c>
      <c r="C309" s="617"/>
      <c r="D309" s="617"/>
      <c r="E309" s="467">
        <v>0</v>
      </c>
      <c r="F309" s="617"/>
      <c r="G309" s="617"/>
      <c r="H309" s="467">
        <v>0</v>
      </c>
      <c r="I309" s="477"/>
      <c r="J309" s="617"/>
      <c r="K309" s="1685">
        <f>SUM(E309,H309)</f>
        <v>0</v>
      </c>
      <c r="L309" s="466">
        <v>0</v>
      </c>
    </row>
    <row r="310" spans="1:14" ht="12.75" customHeight="1" thickBot="1" x14ac:dyDescent="0.25">
      <c r="A310" s="1682" t="s">
        <v>1567</v>
      </c>
      <c r="B310" s="1689" t="s">
        <v>915</v>
      </c>
      <c r="C310" s="617"/>
      <c r="D310" s="617"/>
      <c r="E310" s="1684">
        <f>SUM(E306:E309)</f>
        <v>0</v>
      </c>
      <c r="F310" s="617"/>
      <c r="G310" s="617"/>
      <c r="H310" s="1684">
        <f>SUM(H306:H309)</f>
        <v>0</v>
      </c>
      <c r="I310" s="477"/>
      <c r="J310" s="617"/>
      <c r="K310" s="1684">
        <f>SUM(K306:K309)</f>
        <v>0</v>
      </c>
      <c r="L310" s="1691">
        <f>SUM(L306:L309)</f>
        <v>0</v>
      </c>
    </row>
    <row r="311" spans="1:14" ht="15.75" customHeight="1" thickTop="1" thickBot="1" x14ac:dyDescent="0.25">
      <c r="A311" s="1633" t="s">
        <v>951</v>
      </c>
      <c r="B311" s="1625" t="s">
        <v>916</v>
      </c>
      <c r="C311" s="624"/>
      <c r="D311" s="624"/>
      <c r="E311" s="624"/>
      <c r="F311" s="624"/>
      <c r="G311" s="624"/>
      <c r="H311" s="624"/>
      <c r="I311" s="624"/>
      <c r="J311" s="617"/>
      <c r="K311" s="624"/>
      <c r="L311" s="576">
        <v>0</v>
      </c>
    </row>
    <row r="312" spans="1:14" s="675" customFormat="1" ht="12.75" customHeight="1" thickTop="1" thickBot="1" x14ac:dyDescent="0.25">
      <c r="A312" s="2247" t="s">
        <v>295</v>
      </c>
      <c r="B312" s="2248"/>
      <c r="C312" s="1684">
        <f>SUM(C303)</f>
        <v>0</v>
      </c>
      <c r="D312" s="1684">
        <f>SUM(D303)</f>
        <v>0</v>
      </c>
      <c r="E312" s="1684">
        <f>SUM(E303,E310)</f>
        <v>0</v>
      </c>
      <c r="F312" s="1684">
        <f>SUM(F303)</f>
        <v>0</v>
      </c>
      <c r="G312" s="1684">
        <f>SUM(G303)</f>
        <v>0</v>
      </c>
      <c r="H312" s="1684">
        <f>SUM(H303,H310)</f>
        <v>0</v>
      </c>
      <c r="I312" s="1684">
        <f>SUM(I303)</f>
        <v>0</v>
      </c>
      <c r="J312" s="1684">
        <f>SUM(J303)</f>
        <v>0</v>
      </c>
      <c r="K312" s="1684">
        <f>SUM(K303,K310,K311)</f>
        <v>0</v>
      </c>
      <c r="L312" s="1684">
        <f>SUM(L303,L310,L311)</f>
        <v>0</v>
      </c>
      <c r="M312" s="666"/>
      <c r="N312" s="666"/>
    </row>
    <row r="313" spans="1:14" ht="13.5" thickTop="1" x14ac:dyDescent="0.2">
      <c r="A313" s="2243" t="s">
        <v>1053</v>
      </c>
      <c r="B313" s="2244"/>
      <c r="C313" s="627"/>
      <c r="D313" s="627"/>
      <c r="E313" s="627"/>
      <c r="F313" s="627"/>
      <c r="G313" s="627"/>
      <c r="H313" s="627"/>
      <c r="I313" s="627"/>
      <c r="J313" s="627"/>
      <c r="K313" s="1699">
        <f>'Revenues 9-14'!H275-'Expenditures 15-22'!K312</f>
        <v>112534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56" t="s">
        <v>151</v>
      </c>
      <c r="B315" s="2257"/>
      <c r="C315" s="1570"/>
      <c r="D315" s="1571"/>
      <c r="E315" s="1571"/>
      <c r="F315" s="1571"/>
      <c r="G315" s="1571"/>
      <c r="H315" s="1571"/>
      <c r="I315" s="1571"/>
      <c r="J315" s="1571"/>
      <c r="K315" s="1571"/>
      <c r="L315" s="1572"/>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58" t="s">
        <v>954</v>
      </c>
      <c r="B317" s="2257"/>
      <c r="C317" s="1570"/>
      <c r="D317" s="1571"/>
      <c r="E317" s="1571"/>
      <c r="F317" s="1571"/>
      <c r="G317" s="1571"/>
      <c r="H317" s="1571"/>
      <c r="I317" s="1571"/>
      <c r="J317" s="1571"/>
      <c r="K317" s="1571"/>
      <c r="L317" s="1572"/>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4" t="s">
        <v>317</v>
      </c>
      <c r="B319" s="698" t="s">
        <v>299</v>
      </c>
      <c r="C319" s="467">
        <v>0</v>
      </c>
      <c r="D319" s="467">
        <v>0</v>
      </c>
      <c r="E319" s="467">
        <v>0</v>
      </c>
      <c r="F319" s="467">
        <v>0</v>
      </c>
      <c r="G319" s="467">
        <v>0</v>
      </c>
      <c r="H319" s="467">
        <v>0</v>
      </c>
      <c r="I319" s="467">
        <v>0</v>
      </c>
      <c r="J319" s="467">
        <v>0</v>
      </c>
      <c r="K319" s="1685">
        <f>SUM(C319:J319)</f>
        <v>0</v>
      </c>
      <c r="L319" s="467">
        <v>0</v>
      </c>
      <c r="M319" s="666"/>
      <c r="N319" s="666"/>
    </row>
    <row r="320" spans="1:14" s="675" customFormat="1" x14ac:dyDescent="0.2">
      <c r="A320" s="1538" t="s">
        <v>1905</v>
      </c>
      <c r="B320" s="699" t="s">
        <v>300</v>
      </c>
      <c r="C320" s="467">
        <v>0</v>
      </c>
      <c r="D320" s="467">
        <v>0</v>
      </c>
      <c r="E320" s="467">
        <v>0</v>
      </c>
      <c r="F320" s="467">
        <v>0</v>
      </c>
      <c r="G320" s="467">
        <v>0</v>
      </c>
      <c r="H320" s="467">
        <v>0</v>
      </c>
      <c r="I320" s="467">
        <v>0</v>
      </c>
      <c r="J320" s="467">
        <v>0</v>
      </c>
      <c r="K320" s="1685">
        <f t="shared" ref="K320:K327" si="24">SUM(C320:J320)</f>
        <v>0</v>
      </c>
      <c r="L320" s="467">
        <v>0</v>
      </c>
      <c r="M320" s="666"/>
      <c r="N320" s="666"/>
    </row>
    <row r="321" spans="1:14" s="675" customFormat="1" x14ac:dyDescent="0.2">
      <c r="A321" s="1534" t="s">
        <v>318</v>
      </c>
      <c r="B321" s="698" t="s">
        <v>301</v>
      </c>
      <c r="C321" s="467">
        <v>0</v>
      </c>
      <c r="D321" s="467">
        <v>0</v>
      </c>
      <c r="E321" s="467">
        <v>0</v>
      </c>
      <c r="F321" s="467">
        <v>0</v>
      </c>
      <c r="G321" s="467">
        <v>0</v>
      </c>
      <c r="H321" s="467">
        <v>0</v>
      </c>
      <c r="I321" s="467">
        <v>0</v>
      </c>
      <c r="J321" s="467">
        <v>0</v>
      </c>
      <c r="K321" s="1685">
        <f t="shared" si="24"/>
        <v>0</v>
      </c>
      <c r="L321" s="467">
        <v>0</v>
      </c>
      <c r="M321" s="666"/>
      <c r="N321" s="666"/>
    </row>
    <row r="322" spans="1:14" s="675" customFormat="1" x14ac:dyDescent="0.2">
      <c r="A322" s="1534" t="s">
        <v>256</v>
      </c>
      <c r="B322" s="698" t="s">
        <v>302</v>
      </c>
      <c r="C322" s="467">
        <v>0</v>
      </c>
      <c r="D322" s="467">
        <v>0</v>
      </c>
      <c r="E322" s="467">
        <v>0</v>
      </c>
      <c r="F322" s="467">
        <v>0</v>
      </c>
      <c r="G322" s="467">
        <v>0</v>
      </c>
      <c r="H322" s="467">
        <v>0</v>
      </c>
      <c r="I322" s="467">
        <v>0</v>
      </c>
      <c r="J322" s="467">
        <v>0</v>
      </c>
      <c r="K322" s="1685">
        <f t="shared" si="24"/>
        <v>0</v>
      </c>
      <c r="L322" s="467">
        <v>0</v>
      </c>
      <c r="M322" s="666"/>
      <c r="N322" s="666"/>
    </row>
    <row r="323" spans="1:14" s="675" customFormat="1" x14ac:dyDescent="0.2">
      <c r="A323" s="1534" t="s">
        <v>726</v>
      </c>
      <c r="B323" s="698" t="s">
        <v>303</v>
      </c>
      <c r="C323" s="467">
        <v>0</v>
      </c>
      <c r="D323" s="467">
        <v>0</v>
      </c>
      <c r="E323" s="467">
        <v>140341</v>
      </c>
      <c r="F323" s="467">
        <v>0</v>
      </c>
      <c r="G323" s="467">
        <v>0</v>
      </c>
      <c r="H323" s="467">
        <v>0</v>
      </c>
      <c r="I323" s="467">
        <v>0</v>
      </c>
      <c r="J323" s="467">
        <v>0</v>
      </c>
      <c r="K323" s="1685">
        <f t="shared" si="24"/>
        <v>140341</v>
      </c>
      <c r="L323" s="467">
        <v>138291</v>
      </c>
      <c r="M323" s="666"/>
      <c r="N323" s="666"/>
    </row>
    <row r="324" spans="1:14" s="675" customFormat="1" x14ac:dyDescent="0.2">
      <c r="A324" s="1534" t="s">
        <v>257</v>
      </c>
      <c r="B324" s="698" t="s">
        <v>304</v>
      </c>
      <c r="C324" s="467">
        <v>0</v>
      </c>
      <c r="D324" s="467">
        <v>0</v>
      </c>
      <c r="E324" s="467">
        <v>0</v>
      </c>
      <c r="F324" s="467">
        <v>0</v>
      </c>
      <c r="G324" s="467">
        <v>0</v>
      </c>
      <c r="H324" s="467">
        <v>0</v>
      </c>
      <c r="I324" s="467">
        <v>0</v>
      </c>
      <c r="J324" s="467">
        <v>0</v>
      </c>
      <c r="K324" s="1685">
        <f t="shared" si="24"/>
        <v>0</v>
      </c>
      <c r="L324" s="467">
        <v>0</v>
      </c>
      <c r="M324" s="666"/>
      <c r="N324" s="666"/>
    </row>
    <row r="325" spans="1:14" s="675" customFormat="1" ht="22.5" x14ac:dyDescent="0.2">
      <c r="A325" s="1534" t="s">
        <v>1087</v>
      </c>
      <c r="B325" s="699" t="s">
        <v>305</v>
      </c>
      <c r="C325" s="467">
        <v>0</v>
      </c>
      <c r="D325" s="467">
        <v>0</v>
      </c>
      <c r="E325" s="467">
        <v>0</v>
      </c>
      <c r="F325" s="467">
        <v>0</v>
      </c>
      <c r="G325" s="467">
        <v>0</v>
      </c>
      <c r="H325" s="467">
        <v>0</v>
      </c>
      <c r="I325" s="467">
        <v>0</v>
      </c>
      <c r="J325" s="467">
        <v>0</v>
      </c>
      <c r="K325" s="1685">
        <f t="shared" si="24"/>
        <v>0</v>
      </c>
      <c r="L325" s="467">
        <v>0</v>
      </c>
      <c r="M325" s="666"/>
      <c r="N325" s="666"/>
    </row>
    <row r="326" spans="1:14" s="675" customFormat="1" x14ac:dyDescent="0.2">
      <c r="A326" s="1534" t="s">
        <v>1088</v>
      </c>
      <c r="B326" s="698" t="s">
        <v>306</v>
      </c>
      <c r="C326" s="467">
        <v>0</v>
      </c>
      <c r="D326" s="467">
        <v>0</v>
      </c>
      <c r="E326" s="467">
        <v>0</v>
      </c>
      <c r="F326" s="467">
        <v>0</v>
      </c>
      <c r="G326" s="467">
        <v>0</v>
      </c>
      <c r="H326" s="467">
        <v>0</v>
      </c>
      <c r="I326" s="467">
        <v>0</v>
      </c>
      <c r="J326" s="467">
        <v>0</v>
      </c>
      <c r="K326" s="1685">
        <f t="shared" si="24"/>
        <v>0</v>
      </c>
      <c r="L326" s="467">
        <v>0</v>
      </c>
      <c r="M326" s="666"/>
      <c r="N326" s="666"/>
    </row>
    <row r="327" spans="1:14" s="675" customFormat="1" x14ac:dyDescent="0.2">
      <c r="A327" s="1534" t="s">
        <v>1028</v>
      </c>
      <c r="B327" s="698" t="s">
        <v>307</v>
      </c>
      <c r="C327" s="467">
        <v>0</v>
      </c>
      <c r="D327" s="467">
        <v>0</v>
      </c>
      <c r="E327" s="467">
        <v>0</v>
      </c>
      <c r="F327" s="467">
        <v>0</v>
      </c>
      <c r="G327" s="467">
        <v>0</v>
      </c>
      <c r="H327" s="467">
        <v>0</v>
      </c>
      <c r="I327" s="467">
        <v>0</v>
      </c>
      <c r="J327" s="467">
        <v>0</v>
      </c>
      <c r="K327" s="1685">
        <f t="shared" si="24"/>
        <v>0</v>
      </c>
      <c r="L327" s="467">
        <v>0</v>
      </c>
      <c r="M327" s="666"/>
      <c r="N327" s="666"/>
    </row>
    <row r="328" spans="1:14" s="675" customFormat="1" x14ac:dyDescent="0.2">
      <c r="A328" s="1535" t="s">
        <v>492</v>
      </c>
      <c r="B328" s="691" t="s">
        <v>1194</v>
      </c>
      <c r="C328" s="474">
        <v>0</v>
      </c>
      <c r="D328" s="474">
        <v>0</v>
      </c>
      <c r="E328" s="474">
        <v>30448</v>
      </c>
      <c r="F328" s="474">
        <v>0</v>
      </c>
      <c r="G328" s="474">
        <v>0</v>
      </c>
      <c r="H328" s="474">
        <v>0</v>
      </c>
      <c r="I328" s="474">
        <v>0</v>
      </c>
      <c r="J328" s="474">
        <v>0</v>
      </c>
      <c r="K328" s="1713">
        <f>SUM(C328:J328)</f>
        <v>30448</v>
      </c>
      <c r="L328" s="474">
        <v>30448</v>
      </c>
      <c r="M328" s="666"/>
      <c r="N328" s="666"/>
    </row>
    <row r="329" spans="1:14" s="675" customFormat="1" x14ac:dyDescent="0.2">
      <c r="A329" s="1535" t="s">
        <v>1195</v>
      </c>
      <c r="B329" s="691" t="s">
        <v>1196</v>
      </c>
      <c r="C329" s="474">
        <v>0</v>
      </c>
      <c r="D329" s="474">
        <v>0</v>
      </c>
      <c r="E329" s="474">
        <v>0</v>
      </c>
      <c r="F329" s="474">
        <v>0</v>
      </c>
      <c r="G329" s="474">
        <v>0</v>
      </c>
      <c r="H329" s="474">
        <v>0</v>
      </c>
      <c r="I329" s="474">
        <v>0</v>
      </c>
      <c r="J329" s="474">
        <v>0</v>
      </c>
      <c r="K329" s="1713">
        <f>SUM(C329:J329)</f>
        <v>0</v>
      </c>
      <c r="L329" s="474">
        <v>0</v>
      </c>
      <c r="M329" s="666"/>
      <c r="N329" s="666"/>
    </row>
    <row r="330" spans="1:14" s="675" customFormat="1" ht="12.75" customHeight="1" thickBot="1" x14ac:dyDescent="0.25">
      <c r="A330" s="1714" t="s">
        <v>741</v>
      </c>
      <c r="B330" s="1683" t="s">
        <v>590</v>
      </c>
      <c r="C330" s="1684">
        <f>SUM(C319:C329)</f>
        <v>0</v>
      </c>
      <c r="D330" s="1684">
        <f t="shared" ref="D330:J330" si="25">SUM(D319:D329)</f>
        <v>0</v>
      </c>
      <c r="E330" s="1684">
        <f t="shared" si="25"/>
        <v>170789</v>
      </c>
      <c r="F330" s="1684">
        <f t="shared" si="25"/>
        <v>0</v>
      </c>
      <c r="G330" s="1684">
        <f t="shared" si="25"/>
        <v>0</v>
      </c>
      <c r="H330" s="1684">
        <f t="shared" si="25"/>
        <v>0</v>
      </c>
      <c r="I330" s="1684">
        <f t="shared" si="25"/>
        <v>0</v>
      </c>
      <c r="J330" s="1684">
        <f t="shared" si="25"/>
        <v>0</v>
      </c>
      <c r="K330" s="1684">
        <f>SUM(K319:K329)</f>
        <v>170789</v>
      </c>
      <c r="L330" s="1684">
        <f>SUM(L319:L329)</f>
        <v>168739</v>
      </c>
      <c r="M330" s="666"/>
      <c r="N330" s="666"/>
    </row>
    <row r="331" spans="1:14" s="675" customFormat="1" ht="12.75" customHeight="1" thickTop="1" x14ac:dyDescent="0.2">
      <c r="A331" s="1846" t="s">
        <v>1960</v>
      </c>
      <c r="B331" s="648" t="s">
        <v>915</v>
      </c>
      <c r="C331" s="1848"/>
      <c r="D331" s="1848"/>
      <c r="E331" s="1848"/>
      <c r="F331" s="1848"/>
      <c r="G331" s="1848"/>
      <c r="H331" s="1848"/>
      <c r="I331" s="1848"/>
      <c r="J331" s="1848"/>
      <c r="K331" s="1848"/>
      <c r="L331" s="1848"/>
      <c r="M331" s="666"/>
      <c r="N331" s="666"/>
    </row>
    <row r="332" spans="1:14" s="675" customFormat="1" ht="12.75" customHeight="1" x14ac:dyDescent="0.2">
      <c r="A332" s="1847" t="s">
        <v>517</v>
      </c>
      <c r="B332" s="1842" t="s">
        <v>1954</v>
      </c>
      <c r="C332" s="1848"/>
      <c r="D332" s="1848"/>
      <c r="E332" s="1848"/>
      <c r="F332" s="1848"/>
      <c r="G332" s="1848"/>
      <c r="H332" s="467">
        <v>0</v>
      </c>
      <c r="I332" s="1848"/>
      <c r="J332" s="1848"/>
      <c r="K332" s="1685">
        <f>H332</f>
        <v>0</v>
      </c>
      <c r="L332" s="467">
        <v>0</v>
      </c>
      <c r="M332" s="666"/>
      <c r="N332" s="666"/>
    </row>
    <row r="333" spans="1:14" s="675" customFormat="1" ht="12.75" customHeight="1" x14ac:dyDescent="0.2">
      <c r="A333" s="1847" t="s">
        <v>322</v>
      </c>
      <c r="B333" s="1842" t="s">
        <v>1956</v>
      </c>
      <c r="C333" s="1848"/>
      <c r="D333" s="1848"/>
      <c r="E333" s="1848"/>
      <c r="F333" s="1848"/>
      <c r="G333" s="1848"/>
      <c r="H333" s="467">
        <v>0</v>
      </c>
      <c r="I333" s="1848"/>
      <c r="J333" s="1848"/>
      <c r="K333" s="1685">
        <f>H333</f>
        <v>0</v>
      </c>
      <c r="L333" s="467">
        <v>0</v>
      </c>
      <c r="M333" s="666"/>
      <c r="N333" s="666"/>
    </row>
    <row r="334" spans="1:14" s="675" customFormat="1" ht="12.75" customHeight="1" thickBot="1" x14ac:dyDescent="0.25">
      <c r="A334" s="1847" t="s">
        <v>1961</v>
      </c>
      <c r="B334" s="1842" t="s">
        <v>915</v>
      </c>
      <c r="C334" s="1848"/>
      <c r="D334" s="1848"/>
      <c r="E334" s="1848"/>
      <c r="F334" s="1848"/>
      <c r="G334" s="1848"/>
      <c r="H334" s="1684">
        <f>SUM(H332:H333)</f>
        <v>0</v>
      </c>
      <c r="I334" s="1848"/>
      <c r="J334" s="1848"/>
      <c r="K334" s="1684">
        <f>SUM(K332:K333)</f>
        <v>0</v>
      </c>
      <c r="L334" s="1684">
        <f>SUM(L332:L333)</f>
        <v>0</v>
      </c>
      <c r="M334" s="666"/>
      <c r="N334" s="666"/>
    </row>
    <row r="335" spans="1:14" ht="15.75" customHeight="1" thickTop="1" x14ac:dyDescent="0.2">
      <c r="A335" s="1630" t="s">
        <v>955</v>
      </c>
      <c r="B335" s="1621"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3" t="s">
        <v>89</v>
      </c>
      <c r="B337" s="691" t="s">
        <v>956</v>
      </c>
      <c r="C337" s="639"/>
      <c r="D337" s="639"/>
      <c r="E337" s="639"/>
      <c r="F337" s="639"/>
      <c r="G337" s="639"/>
      <c r="H337" s="478">
        <v>0</v>
      </c>
      <c r="I337" s="639"/>
      <c r="J337" s="639"/>
      <c r="K337" s="1685">
        <f>H337</f>
        <v>0</v>
      </c>
      <c r="L337" s="478">
        <v>0</v>
      </c>
    </row>
    <row r="338" spans="1:14" ht="12.75" customHeight="1" x14ac:dyDescent="0.2">
      <c r="A338" s="1533" t="s">
        <v>1232</v>
      </c>
      <c r="B338" s="691" t="s">
        <v>638</v>
      </c>
      <c r="C338" s="639"/>
      <c r="D338" s="639"/>
      <c r="E338" s="639"/>
      <c r="F338" s="639"/>
      <c r="G338" s="639"/>
      <c r="H338" s="478">
        <v>0</v>
      </c>
      <c r="I338" s="639"/>
      <c r="J338" s="639"/>
      <c r="K338" s="1685">
        <f>H338</f>
        <v>0</v>
      </c>
      <c r="L338" s="478">
        <v>0</v>
      </c>
    </row>
    <row r="339" spans="1:14" x14ac:dyDescent="0.2">
      <c r="A339" s="1519" t="s">
        <v>957</v>
      </c>
      <c r="B339" s="629">
        <v>5150</v>
      </c>
      <c r="C339" s="639"/>
      <c r="D339" s="639"/>
      <c r="E339" s="639"/>
      <c r="F339" s="639"/>
      <c r="G339" s="639"/>
      <c r="H339" s="467">
        <v>0</v>
      </c>
      <c r="I339" s="639"/>
      <c r="J339" s="639"/>
      <c r="K339" s="1685">
        <f>H339</f>
        <v>0</v>
      </c>
      <c r="L339" s="467">
        <v>0</v>
      </c>
    </row>
    <row r="340" spans="1:14" ht="13.5" thickBot="1" x14ac:dyDescent="0.25">
      <c r="A340" s="1708" t="s">
        <v>958</v>
      </c>
      <c r="B340" s="1683" t="s">
        <v>513</v>
      </c>
      <c r="C340" s="617"/>
      <c r="D340" s="617"/>
      <c r="E340" s="617"/>
      <c r="F340" s="617"/>
      <c r="G340" s="617"/>
      <c r="H340" s="1702">
        <f>SUM(H337:H339)</f>
        <v>0</v>
      </c>
      <c r="I340" s="617"/>
      <c r="J340" s="617"/>
      <c r="K340" s="1702">
        <f>SUM(K337:K339)</f>
        <v>0</v>
      </c>
      <c r="L340" s="1702">
        <f>SUM(L337:L339)</f>
        <v>0</v>
      </c>
    </row>
    <row r="341" spans="1:14" ht="15.75" customHeight="1" thickTop="1" thickBot="1" x14ac:dyDescent="0.25">
      <c r="A341" s="1633" t="s">
        <v>959</v>
      </c>
      <c r="B341" s="1625" t="s">
        <v>916</v>
      </c>
      <c r="C341" s="617"/>
      <c r="D341" s="617"/>
      <c r="E341" s="477"/>
      <c r="F341" s="468"/>
      <c r="G341" s="468"/>
      <c r="H341" s="477"/>
      <c r="I341" s="477"/>
      <c r="J341" s="468"/>
      <c r="K341" s="477"/>
      <c r="L341" s="576">
        <v>0</v>
      </c>
    </row>
    <row r="342" spans="1:14" ht="12.75" customHeight="1" thickTop="1" thickBot="1" x14ac:dyDescent="0.25">
      <c r="A342" s="1700" t="s">
        <v>526</v>
      </c>
      <c r="B342" s="1715"/>
      <c r="C342" s="1684">
        <f>SUM(C330)</f>
        <v>0</v>
      </c>
      <c r="D342" s="1684">
        <f>SUM(D330)</f>
        <v>0</v>
      </c>
      <c r="E342" s="1684">
        <f>SUM(E330)</f>
        <v>170789</v>
      </c>
      <c r="F342" s="1684">
        <f>SUM(F330)</f>
        <v>0</v>
      </c>
      <c r="G342" s="1684">
        <f>SUM(G330)</f>
        <v>0</v>
      </c>
      <c r="H342" s="1684">
        <f>SUM(H330,H334,H340)</f>
        <v>0</v>
      </c>
      <c r="I342" s="1684">
        <f>SUM(I330)</f>
        <v>0</v>
      </c>
      <c r="J342" s="1684">
        <f>SUM(J330)</f>
        <v>0</v>
      </c>
      <c r="K342" s="1684">
        <f>SUM(K330,K334,K340)</f>
        <v>170789</v>
      </c>
      <c r="L342" s="1691">
        <f>SUM(L330,L340,L341)</f>
        <v>168739</v>
      </c>
    </row>
    <row r="343" spans="1:14" ht="12.75" customHeight="1" thickTop="1" x14ac:dyDescent="0.2">
      <c r="A343" s="2245" t="s">
        <v>1053</v>
      </c>
      <c r="B343" s="2246"/>
      <c r="C343" s="617"/>
      <c r="D343" s="617"/>
      <c r="E343" s="617"/>
      <c r="F343" s="617"/>
      <c r="G343" s="617"/>
      <c r="H343" s="617"/>
      <c r="I343" s="617"/>
      <c r="J343" s="617"/>
      <c r="K343" s="1698">
        <f>'Revenues 9-14'!J275-'Expenditures 15-22'!K342</f>
        <v>-20087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35" t="s">
        <v>1023</v>
      </c>
      <c r="B345" s="2236"/>
      <c r="C345" s="1565"/>
      <c r="D345" s="1566"/>
      <c r="E345" s="1566"/>
      <c r="F345" s="1566"/>
      <c r="G345" s="1566"/>
      <c r="H345" s="1566"/>
      <c r="I345" s="1566"/>
      <c r="J345" s="1566"/>
      <c r="K345" s="1566"/>
      <c r="L345" s="1567"/>
      <c r="M345" s="668"/>
      <c r="N345" s="668"/>
    </row>
    <row r="346" spans="1:14" s="343" customFormat="1" ht="15.75" customHeight="1" x14ac:dyDescent="0.2">
      <c r="A346" s="1637" t="s">
        <v>899</v>
      </c>
      <c r="B346" s="1629"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19" t="s">
        <v>4</v>
      </c>
      <c r="B348" s="615">
        <v>2530</v>
      </c>
      <c r="C348" s="466">
        <v>0</v>
      </c>
      <c r="D348" s="466">
        <v>0</v>
      </c>
      <c r="E348" s="466">
        <v>0</v>
      </c>
      <c r="F348" s="466">
        <v>0</v>
      </c>
      <c r="G348" s="466">
        <v>0</v>
      </c>
      <c r="H348" s="466">
        <v>0</v>
      </c>
      <c r="I348" s="467">
        <v>0</v>
      </c>
      <c r="J348" s="467">
        <v>0</v>
      </c>
      <c r="K348" s="1685">
        <f>SUM(C348:J348)</f>
        <v>0</v>
      </c>
      <c r="L348" s="466">
        <v>0</v>
      </c>
    </row>
    <row r="349" spans="1:14" x14ac:dyDescent="0.2">
      <c r="A349" s="1519" t="s">
        <v>206</v>
      </c>
      <c r="B349" s="615">
        <v>2540</v>
      </c>
      <c r="C349" s="466">
        <v>0</v>
      </c>
      <c r="D349" s="466">
        <v>0</v>
      </c>
      <c r="E349" s="466">
        <v>0</v>
      </c>
      <c r="F349" s="466">
        <v>0</v>
      </c>
      <c r="G349" s="466">
        <v>0</v>
      </c>
      <c r="H349" s="466">
        <v>0</v>
      </c>
      <c r="I349" s="467">
        <v>0</v>
      </c>
      <c r="J349" s="467">
        <v>0</v>
      </c>
      <c r="K349" s="1685">
        <f>SUM(C349:J349)</f>
        <v>0</v>
      </c>
      <c r="L349" s="466">
        <v>0</v>
      </c>
    </row>
    <row r="350" spans="1:14" ht="12.75" customHeight="1" thickBot="1" x14ac:dyDescent="0.25">
      <c r="A350" s="1682" t="s">
        <v>743</v>
      </c>
      <c r="B350" s="1683" t="s">
        <v>35</v>
      </c>
      <c r="C350" s="1684">
        <f>SUM(C348:C349)</f>
        <v>0</v>
      </c>
      <c r="D350" s="1684">
        <f t="shared" ref="D350:L350" si="26">SUM(D348:D349)</f>
        <v>0</v>
      </c>
      <c r="E350" s="1684">
        <f t="shared" si="26"/>
        <v>0</v>
      </c>
      <c r="F350" s="1684">
        <f t="shared" si="26"/>
        <v>0</v>
      </c>
      <c r="G350" s="1684">
        <f t="shared" si="26"/>
        <v>0</v>
      </c>
      <c r="H350" s="1684">
        <f t="shared" si="26"/>
        <v>0</v>
      </c>
      <c r="I350" s="1684">
        <f t="shared" si="26"/>
        <v>0</v>
      </c>
      <c r="J350" s="1684">
        <f t="shared" si="26"/>
        <v>0</v>
      </c>
      <c r="K350" s="1684">
        <f t="shared" si="26"/>
        <v>0</v>
      </c>
      <c r="L350" s="1684">
        <f t="shared" si="26"/>
        <v>0</v>
      </c>
    </row>
    <row r="351" spans="1:14" ht="12.75" customHeight="1" thickTop="1" x14ac:dyDescent="0.2">
      <c r="A351" s="1525"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82" t="s">
        <v>645</v>
      </c>
      <c r="B352" s="1689" t="s">
        <v>590</v>
      </c>
      <c r="C352" s="1684">
        <f>SUM(C350:C351)</f>
        <v>0</v>
      </c>
      <c r="D352" s="1684">
        <f t="shared" ref="D352:L352" si="27">SUM(D350:D351)</f>
        <v>0</v>
      </c>
      <c r="E352" s="1684">
        <f t="shared" si="27"/>
        <v>0</v>
      </c>
      <c r="F352" s="1684">
        <f t="shared" si="27"/>
        <v>0</v>
      </c>
      <c r="G352" s="1684">
        <f t="shared" si="27"/>
        <v>0</v>
      </c>
      <c r="H352" s="1684">
        <f t="shared" si="27"/>
        <v>0</v>
      </c>
      <c r="I352" s="1684">
        <f t="shared" si="27"/>
        <v>0</v>
      </c>
      <c r="J352" s="1684">
        <f t="shared" si="27"/>
        <v>0</v>
      </c>
      <c r="K352" s="1684">
        <f t="shared" si="27"/>
        <v>0</v>
      </c>
      <c r="L352" s="1684">
        <f t="shared" si="27"/>
        <v>0</v>
      </c>
    </row>
    <row r="353" spans="1:14" s="343" customFormat="1" ht="15.75" customHeight="1" thickTop="1" x14ac:dyDescent="0.2">
      <c r="A353" s="1626" t="s">
        <v>646</v>
      </c>
      <c r="B353" s="1623" t="s">
        <v>915</v>
      </c>
      <c r="C353" s="617"/>
      <c r="D353" s="617"/>
      <c r="E353" s="617"/>
      <c r="F353" s="617"/>
      <c r="G353" s="617"/>
      <c r="H353" s="617"/>
      <c r="I353" s="617"/>
      <c r="J353" s="617"/>
      <c r="K353" s="617"/>
      <c r="L353" s="617"/>
      <c r="M353" s="610"/>
      <c r="N353" s="610"/>
    </row>
    <row r="354" spans="1:14" x14ac:dyDescent="0.2">
      <c r="A354" s="1849" t="s">
        <v>1962</v>
      </c>
      <c r="B354" s="684" t="s">
        <v>1954</v>
      </c>
      <c r="C354" s="617"/>
      <c r="D354" s="617"/>
      <c r="E354" s="617"/>
      <c r="F354" s="617"/>
      <c r="G354" s="617"/>
      <c r="H354" s="474">
        <v>0</v>
      </c>
      <c r="I354" s="702"/>
      <c r="J354" s="617"/>
      <c r="K354" s="1713">
        <f>H354</f>
        <v>0</v>
      </c>
      <c r="L354" s="471">
        <v>0</v>
      </c>
    </row>
    <row r="355" spans="1:14" ht="12.75" customHeight="1" x14ac:dyDescent="0.2">
      <c r="A355" s="1528" t="s">
        <v>1963</v>
      </c>
      <c r="B355" s="691" t="s">
        <v>1956</v>
      </c>
      <c r="C355" s="617"/>
      <c r="D355" s="617"/>
      <c r="E355" s="617"/>
      <c r="F355" s="617"/>
      <c r="G355" s="617"/>
      <c r="H355" s="467">
        <v>0</v>
      </c>
      <c r="I355" s="702"/>
      <c r="J355" s="617"/>
      <c r="K355" s="1757">
        <f>H355</f>
        <v>0</v>
      </c>
      <c r="L355" s="467">
        <v>0</v>
      </c>
    </row>
    <row r="356" spans="1:14" ht="12.75" customHeight="1" x14ac:dyDescent="0.2">
      <c r="A356" s="1849" t="s">
        <v>722</v>
      </c>
      <c r="B356" s="684" t="s">
        <v>579</v>
      </c>
      <c r="C356" s="617"/>
      <c r="D356" s="617"/>
      <c r="E356" s="617"/>
      <c r="F356" s="617"/>
      <c r="G356" s="617"/>
      <c r="H356" s="479">
        <v>0</v>
      </c>
      <c r="I356" s="702"/>
      <c r="J356" s="617"/>
      <c r="K356" s="1754">
        <f>H356</f>
        <v>0</v>
      </c>
      <c r="L356" s="479">
        <v>0</v>
      </c>
    </row>
    <row r="357" spans="1:14" ht="12.75" customHeight="1" thickBot="1" x14ac:dyDescent="0.25">
      <c r="A357" s="1682" t="s">
        <v>1567</v>
      </c>
      <c r="B357" s="1683" t="s">
        <v>915</v>
      </c>
      <c r="C357" s="617"/>
      <c r="D357" s="617"/>
      <c r="E357" s="617"/>
      <c r="F357" s="617"/>
      <c r="G357" s="617"/>
      <c r="H357" s="1702">
        <f>SUM(H354:H356)</f>
        <v>0</v>
      </c>
      <c r="I357" s="702"/>
      <c r="J357" s="617"/>
      <c r="K357" s="1702">
        <f>SUM(K354:K356)</f>
        <v>0</v>
      </c>
      <c r="L357" s="1702">
        <f>SUM(L354:L356)</f>
        <v>0</v>
      </c>
    </row>
    <row r="358" spans="1:14" s="343" customFormat="1" ht="15.75" customHeight="1" thickTop="1" x14ac:dyDescent="0.2">
      <c r="A358" s="1626" t="s">
        <v>1005</v>
      </c>
      <c r="B358" s="1623"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19" t="s">
        <v>89</v>
      </c>
      <c r="B360" s="615">
        <v>5110</v>
      </c>
      <c r="C360" s="617"/>
      <c r="D360" s="617"/>
      <c r="E360" s="617"/>
      <c r="F360" s="617"/>
      <c r="G360" s="617"/>
      <c r="H360" s="467">
        <v>0</v>
      </c>
      <c r="I360" s="617"/>
      <c r="J360" s="617"/>
      <c r="K360" s="1685">
        <f>SUM(C360:J360)</f>
        <v>0</v>
      </c>
      <c r="L360" s="466">
        <v>0</v>
      </c>
    </row>
    <row r="361" spans="1:14" ht="12.75" customHeight="1" x14ac:dyDescent="0.2">
      <c r="A361" s="1520" t="s">
        <v>640</v>
      </c>
      <c r="B361" s="603" t="s">
        <v>639</v>
      </c>
      <c r="C361" s="617"/>
      <c r="D361" s="617"/>
      <c r="E361" s="617"/>
      <c r="F361" s="617"/>
      <c r="G361" s="617"/>
      <c r="H361" s="467">
        <v>0</v>
      </c>
      <c r="I361" s="617"/>
      <c r="J361" s="617"/>
      <c r="K361" s="1685">
        <f>SUM(C361:J361)</f>
        <v>0</v>
      </c>
      <c r="L361" s="466">
        <v>0</v>
      </c>
    </row>
    <row r="362" spans="1:14" ht="12.75" customHeight="1" thickBot="1" x14ac:dyDescent="0.25">
      <c r="A362" s="1682" t="s">
        <v>647</v>
      </c>
      <c r="B362" s="1683" t="s">
        <v>742</v>
      </c>
      <c r="C362" s="617"/>
      <c r="D362" s="617"/>
      <c r="E362" s="617"/>
      <c r="F362" s="617"/>
      <c r="G362" s="617"/>
      <c r="H362" s="1717">
        <f>SUM(H360:H361)</f>
        <v>0</v>
      </c>
      <c r="I362" s="617"/>
      <c r="J362" s="617"/>
      <c r="K362" s="1717">
        <f>SUM(K360:K361)</f>
        <v>0</v>
      </c>
      <c r="L362" s="1717">
        <f>SUM(L360:L361)</f>
        <v>0</v>
      </c>
    </row>
    <row r="363" spans="1:14" s="675" customFormat="1" ht="15.75" customHeight="1" thickTop="1" x14ac:dyDescent="0.2">
      <c r="A363" s="661" t="s">
        <v>85</v>
      </c>
      <c r="B363" s="662" t="s">
        <v>38</v>
      </c>
      <c r="C363" s="639"/>
      <c r="D363" s="639"/>
      <c r="E363" s="639"/>
      <c r="F363" s="639"/>
      <c r="G363" s="639"/>
      <c r="H363" s="479">
        <v>0</v>
      </c>
      <c r="I363" s="639"/>
      <c r="J363" s="639"/>
      <c r="K363" s="1713">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85">
        <f>SUM(C364:J364)</f>
        <v>0</v>
      </c>
      <c r="L364" s="708">
        <v>0</v>
      </c>
    </row>
    <row r="365" spans="1:14" s="675" customFormat="1" ht="12.75" customHeight="1" thickBot="1" x14ac:dyDescent="0.25">
      <c r="A365" s="1536" t="s">
        <v>611</v>
      </c>
      <c r="B365" s="660" t="s">
        <v>513</v>
      </c>
      <c r="C365" s="639"/>
      <c r="D365" s="639"/>
      <c r="E365" s="639"/>
      <c r="F365" s="639"/>
      <c r="G365" s="639"/>
      <c r="H365" s="1717">
        <f>SUM(H362,H363,H364)</f>
        <v>0</v>
      </c>
      <c r="I365" s="639"/>
      <c r="J365" s="639"/>
      <c r="K365" s="1717">
        <f>SUM(K362,K363,K364)</f>
        <v>0</v>
      </c>
      <c r="L365" s="1717">
        <f>SUM(L362,L363,L364)</f>
        <v>0</v>
      </c>
      <c r="M365" s="666"/>
      <c r="N365" s="666"/>
    </row>
    <row r="366" spans="1:14" s="343" customFormat="1" ht="15.75" customHeight="1" thickTop="1" thickBot="1" x14ac:dyDescent="0.25">
      <c r="A366" s="1620" t="s">
        <v>1006</v>
      </c>
      <c r="B366" s="1627" t="s">
        <v>916</v>
      </c>
      <c r="C366" s="624"/>
      <c r="D366" s="624"/>
      <c r="E366" s="624"/>
      <c r="F366" s="624"/>
      <c r="G366" s="624"/>
      <c r="H366" s="624"/>
      <c r="I366" s="624"/>
      <c r="J366" s="617"/>
      <c r="K366" s="624"/>
      <c r="L366" s="573">
        <v>0</v>
      </c>
      <c r="M366" s="610"/>
      <c r="N366" s="610"/>
    </row>
    <row r="367" spans="1:14" ht="12.75" customHeight="1" thickTop="1" thickBot="1" x14ac:dyDescent="0.25">
      <c r="A367" s="1706" t="s">
        <v>526</v>
      </c>
      <c r="B367" s="1718"/>
      <c r="C367" s="1684">
        <f t="shared" ref="C367:L367" si="28">SUM(C352,C357,C365,C366)</f>
        <v>0</v>
      </c>
      <c r="D367" s="1684">
        <f t="shared" si="28"/>
        <v>0</v>
      </c>
      <c r="E367" s="1684">
        <f t="shared" si="28"/>
        <v>0</v>
      </c>
      <c r="F367" s="1684">
        <f t="shared" si="28"/>
        <v>0</v>
      </c>
      <c r="G367" s="1684">
        <f t="shared" si="28"/>
        <v>0</v>
      </c>
      <c r="H367" s="1684">
        <f t="shared" si="28"/>
        <v>0</v>
      </c>
      <c r="I367" s="1684">
        <f t="shared" si="28"/>
        <v>0</v>
      </c>
      <c r="J367" s="1684">
        <f t="shared" si="28"/>
        <v>0</v>
      </c>
      <c r="K367" s="1684">
        <f t="shared" si="28"/>
        <v>0</v>
      </c>
      <c r="L367" s="1684">
        <f t="shared" si="28"/>
        <v>0</v>
      </c>
    </row>
    <row r="368" spans="1:14" ht="13.5" thickTop="1" x14ac:dyDescent="0.2">
      <c r="A368" s="2232" t="s">
        <v>1053</v>
      </c>
      <c r="B368" s="2233"/>
      <c r="C368" s="655"/>
      <c r="D368" s="655"/>
      <c r="E368" s="627"/>
      <c r="F368" s="627"/>
      <c r="G368" s="627"/>
      <c r="H368" s="627"/>
      <c r="I368" s="627"/>
      <c r="J368" s="624"/>
      <c r="K368" s="1685">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6ce3111e-7420-4802-b50a-75d4e9a0b980"/>
    <ds:schemaRef ds:uri="http://schemas.microsoft.com/office/2006/metadata/properties"/>
    <ds:schemaRef ds:uri="http://schemas.microsoft.com/office/2006/documentManagement/types"/>
    <ds:schemaRef ds:uri="4d435f69-8686-490b-bd6d-b153bf22ab50"/>
    <ds:schemaRef ds:uri="http://www.w3.org/XML/1998/namespace"/>
    <ds:schemaRef ds:uri="http://schemas.microsoft.com/office/infopath/2007/PartnerControls"/>
    <ds:schemaRef ds:uri="http://purl.org/dc/dcmitype/"/>
    <ds:schemaRef ds:uri="http://schemas.openxmlformats.org/package/2006/metadata/core-properties"/>
    <ds:schemaRef ds:uri="d21dc803-237d-4c68-8692-8d731fd29118"/>
    <ds:schemaRef ds:uri="http://schemas.microsoft.com/sharepoint/v3"/>
    <ds:schemaRef ds:uri="http://purl.org/dc/terms/"/>
    <ds:schemaRef ds:uri="http://purl.org/dc/elements/1.1/"/>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2018-10-04T14:36:37Z</cp:lastPrinted>
  <dcterms:created xsi:type="dcterms:W3CDTF">2003-10-29T19:06:34Z</dcterms:created>
  <dcterms:modified xsi:type="dcterms:W3CDTF">2018-10-09T21:03:31Z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
  </property>
</Properties>
</file>