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61"/>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1A" sheetId="184"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H4" i="3" l="1"/>
  <c r="C4" i="3"/>
  <c r="H117" i="5"/>
  <c r="C117" i="5"/>
  <c r="A10" i="127" l="1"/>
  <c r="A11" i="127" s="1"/>
  <c r="A12" i="127" s="1"/>
  <c r="A13" i="127" s="1"/>
  <c r="A14" i="127" s="1"/>
  <c r="A15" i="127" s="1"/>
  <c r="A16" i="127" s="1"/>
  <c r="A17" i="127" s="1"/>
  <c r="A18" i="127" s="1"/>
  <c r="A19" i="127" s="1"/>
  <c r="A20" i="127" s="1"/>
  <c r="A21" i="127" s="1"/>
  <c r="A22" i="127" s="1"/>
  <c r="A23" i="127" s="1"/>
  <c r="A24" i="127" s="1"/>
  <c r="C27" i="3"/>
  <c r="G48" i="184" l="1"/>
  <c r="G50" i="184" s="1"/>
  <c r="F48" i="184"/>
  <c r="F50" i="184" s="1"/>
  <c r="E48" i="184"/>
  <c r="E50" i="184" s="1"/>
  <c r="H47" i="184"/>
  <c r="H48" i="184" s="1"/>
  <c r="H50" i="184" s="1"/>
  <c r="J46" i="184"/>
  <c r="H40" i="184"/>
  <c r="J40" i="184" s="1"/>
  <c r="E37" i="184"/>
  <c r="H36" i="184"/>
  <c r="J36" i="184" s="1"/>
  <c r="G35" i="184"/>
  <c r="F35" i="184"/>
  <c r="F37" i="184" s="1"/>
  <c r="E32" i="184"/>
  <c r="F31" i="184"/>
  <c r="H31" i="184" s="1"/>
  <c r="J31" i="184" s="1"/>
  <c r="H30" i="184"/>
  <c r="J30" i="184" s="1"/>
  <c r="G30" i="184"/>
  <c r="G32" i="184" s="1"/>
  <c r="I27" i="184"/>
  <c r="I42" i="184" s="1"/>
  <c r="I52" i="184" s="1"/>
  <c r="E27" i="184"/>
  <c r="E42" i="184" s="1"/>
  <c r="H26" i="184"/>
  <c r="J26" i="184" s="1"/>
  <c r="H25" i="184"/>
  <c r="J25" i="184" s="1"/>
  <c r="G24" i="184"/>
  <c r="F24" i="184"/>
  <c r="H24" i="184" s="1"/>
  <c r="H23" i="184"/>
  <c r="J23" i="184" s="1"/>
  <c r="H22" i="184"/>
  <c r="J22" i="184" s="1"/>
  <c r="G21" i="184"/>
  <c r="F21" i="184"/>
  <c r="E17" i="184"/>
  <c r="H16" i="184"/>
  <c r="J16" i="184" s="1"/>
  <c r="H15" i="184"/>
  <c r="J15" i="184" s="1"/>
  <c r="H14" i="184"/>
  <c r="J14" i="184" s="1"/>
  <c r="F13" i="184"/>
  <c r="H13" i="184" s="1"/>
  <c r="J13" i="184" s="1"/>
  <c r="H12" i="184"/>
  <c r="J12" i="184" s="1"/>
  <c r="G11" i="184"/>
  <c r="G17" i="184" s="1"/>
  <c r="F11" i="184"/>
  <c r="F17" i="184" s="1"/>
  <c r="F27" i="184" l="1"/>
  <c r="G27" i="184"/>
  <c r="E52" i="184"/>
  <c r="J24" i="184"/>
  <c r="J32" i="184"/>
  <c r="F32" i="184"/>
  <c r="F42" i="184" s="1"/>
  <c r="F52" i="184" s="1"/>
  <c r="J47" i="184"/>
  <c r="J48" i="184" s="1"/>
  <c r="J50" i="184" s="1"/>
  <c r="H32" i="184"/>
  <c r="H11" i="184"/>
  <c r="H17" i="184" s="1"/>
  <c r="H35" i="184"/>
  <c r="H37" i="184" s="1"/>
  <c r="G37" i="184"/>
  <c r="H21" i="184"/>
  <c r="H27" i="184" s="1"/>
  <c r="J21" i="184" l="1"/>
  <c r="J27" i="184" s="1"/>
  <c r="G42" i="184"/>
  <c r="G52" i="184" s="1"/>
  <c r="H42" i="184"/>
  <c r="H52" i="184" s="1"/>
  <c r="J11" i="184"/>
  <c r="J17" i="184" s="1"/>
  <c r="J35" i="184"/>
  <c r="J37" i="184" s="1"/>
  <c r="J42" i="184" s="1"/>
  <c r="J52" i="184" s="1"/>
  <c r="J34" i="8"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78" i="106" s="1"/>
  <c r="B7795" i="106"/>
  <c r="K133" i="29"/>
  <c r="B7776" i="106" s="1"/>
  <c r="B7793" i="106"/>
  <c r="B7791" i="106"/>
  <c r="B7787" i="106"/>
  <c r="B7786"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E32" i="181"/>
  <c r="F32" i="181" s="1"/>
  <c r="G32" i="181" s="1"/>
  <c r="F31" i="181"/>
  <c r="G31" i="181" s="1"/>
  <c r="E31" i="181"/>
  <c r="F30" i="181"/>
  <c r="G30" i="181" s="1"/>
  <c r="E30" i="181"/>
  <c r="E29" i="181"/>
  <c r="F29" i="181" s="1"/>
  <c r="G29" i="181" s="1"/>
  <c r="E28" i="181"/>
  <c r="F28" i="181" s="1"/>
  <c r="G28" i="181" s="1"/>
  <c r="E27" i="181"/>
  <c r="F27" i="181" s="1"/>
  <c r="G27" i="181" s="1"/>
  <c r="F26" i="181"/>
  <c r="G26" i="181" s="1"/>
  <c r="E26" i="18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c r="B7729" i="106"/>
  <c r="B7734" i="106"/>
  <c r="B7726" i="10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F31" i="108" s="1"/>
  <c r="K59" i="29"/>
  <c r="B1126" i="106" s="1"/>
  <c r="D1126" i="106" s="1"/>
  <c r="E15" i="145"/>
  <c r="G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c r="B5103" i="106"/>
  <c r="D5103" i="106" s="1"/>
  <c r="B5104" i="106"/>
  <c r="D5104" i="106" s="1"/>
  <c r="B5105" i="106"/>
  <c r="D5105" i="106" s="1"/>
  <c r="B5106" i="106"/>
  <c r="D5106" i="106" s="1"/>
  <c r="B5107" i="106"/>
  <c r="D5107" i="106" s="1"/>
  <c r="B5108" i="106"/>
  <c r="D5108" i="106" s="1"/>
  <c r="B5109" i="106"/>
  <c r="D5109" i="106"/>
  <c r="B5110" i="106"/>
  <c r="D5110" i="106" s="1"/>
  <c r="B5111" i="106"/>
  <c r="D5111" i="106" s="1"/>
  <c r="B5113" i="106"/>
  <c r="D5113" i="106"/>
  <c r="B5114" i="106"/>
  <c r="D5114" i="106" s="1"/>
  <c r="B5115" i="106"/>
  <c r="D5115" i="106" s="1"/>
  <c r="B5116" i="106"/>
  <c r="D5116" i="106" s="1"/>
  <c r="B5117" i="106"/>
  <c r="D5117" i="106" s="1"/>
  <c r="B5118" i="106"/>
  <c r="D5118" i="106" s="1"/>
  <c r="B5119" i="106"/>
  <c r="D5119" i="106" s="1"/>
  <c r="B5122" i="106"/>
  <c r="D5122" i="106"/>
  <c r="B5123" i="106"/>
  <c r="D5123" i="106"/>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s="1"/>
  <c r="B6300" i="106"/>
  <c r="D6300" i="106" s="1"/>
  <c r="B6302" i="106"/>
  <c r="D6302" i="106" s="1"/>
  <c r="B6303" i="106"/>
  <c r="D6303" i="106" s="1"/>
  <c r="B6304" i="106"/>
  <c r="D6304" i="106" s="1"/>
  <c r="B6305" i="106"/>
  <c r="D6305" i="106"/>
  <c r="B6307" i="106"/>
  <c r="D6307" i="106" s="1"/>
  <c r="B6308" i="106"/>
  <c r="D6308" i="106" s="1"/>
  <c r="B6309" i="106"/>
  <c r="D6309" i="106"/>
  <c r="B6310" i="106"/>
  <c r="D6310" i="106" s="1"/>
  <c r="B6311" i="106"/>
  <c r="D6311" i="106" s="1"/>
  <c r="B6312" i="106"/>
  <c r="D6312" i="106" s="1"/>
  <c r="B6313" i="106"/>
  <c r="D6313" i="106" s="1"/>
  <c r="B6314" i="106"/>
  <c r="D6314" i="106"/>
  <c r="B6315" i="106"/>
  <c r="D6315" i="106"/>
  <c r="B6316" i="106"/>
  <c r="D6316" i="106"/>
  <c r="B6317" i="106"/>
  <c r="D6317" i="106" s="1"/>
  <c r="B6319" i="106"/>
  <c r="D6319" i="106" s="1"/>
  <c r="B6320" i="106"/>
  <c r="D6320" i="106" s="1"/>
  <c r="B6321" i="106"/>
  <c r="D6321" i="106" s="1"/>
  <c r="B6322" i="106"/>
  <c r="D6322" i="106" s="1"/>
  <c r="B6323" i="106"/>
  <c r="D6323" i="106" s="1"/>
  <c r="B6324" i="106"/>
  <c r="D6324" i="106"/>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s="1"/>
  <c r="B6730" i="106"/>
  <c r="D6730" i="106" s="1"/>
  <c r="B6731" i="106"/>
  <c r="D6731" i="106"/>
  <c r="B6732" i="106"/>
  <c r="D6732" i="106"/>
  <c r="B6733" i="106"/>
  <c r="D6733" i="106"/>
  <c r="B6734" i="106"/>
  <c r="D6734" i="106"/>
  <c r="B6735" i="106"/>
  <c r="D6735" i="106" s="1"/>
  <c r="B6736" i="106"/>
  <c r="D6736" i="106" s="1"/>
  <c r="B6737" i="106"/>
  <c r="D6737" i="106" s="1"/>
  <c r="B6738" i="106"/>
  <c r="D6738" i="106" s="1"/>
  <c r="B6739" i="106"/>
  <c r="D6739" i="106" s="1"/>
  <c r="B6740" i="106"/>
  <c r="D6740" i="106"/>
  <c r="B6741" i="106"/>
  <c r="D6741" i="106" s="1"/>
  <c r="B6742" i="106"/>
  <c r="D6742" i="106" s="1"/>
  <c r="B6743" i="106"/>
  <c r="D6743" i="106"/>
  <c r="B6744" i="106"/>
  <c r="D6744" i="106"/>
  <c r="B6745" i="106"/>
  <c r="D6745" i="106"/>
  <c r="B6746" i="106"/>
  <c r="D6746" i="106"/>
  <c r="B6747" i="106"/>
  <c r="D6747" i="106" s="1"/>
  <c r="B6748" i="106"/>
  <c r="D6748" i="106" s="1"/>
  <c r="B6749" i="106"/>
  <c r="D6749" i="106" s="1"/>
  <c r="B6750" i="106"/>
  <c r="D6750" i="106" s="1"/>
  <c r="B6751" i="106"/>
  <c r="D6751" i="106" s="1"/>
  <c r="B6752" i="106"/>
  <c r="D6752" i="106"/>
  <c r="B6753" i="106"/>
  <c r="D6753" i="106" s="1"/>
  <c r="B6754" i="106"/>
  <c r="D6754" i="106" s="1"/>
  <c r="B6755" i="106"/>
  <c r="D6755" i="106"/>
  <c r="B6756" i="106"/>
  <c r="D6756" i="106"/>
  <c r="B6757" i="106"/>
  <c r="D6757" i="106"/>
  <c r="B6758" i="106"/>
  <c r="D6758" i="106"/>
  <c r="B6759" i="106"/>
  <c r="D6759" i="106" s="1"/>
  <c r="B6760" i="106"/>
  <c r="D6760" i="106" s="1"/>
  <c r="B6761" i="106"/>
  <c r="D6761" i="106" s="1"/>
  <c r="B6762" i="106"/>
  <c r="D6762" i="106" s="1"/>
  <c r="B6763" i="106"/>
  <c r="D6763" i="106" s="1"/>
  <c r="B6764" i="106"/>
  <c r="D6764" i="106"/>
  <c r="B6765" i="106"/>
  <c r="D6765" i="106" s="1"/>
  <c r="B6766" i="106"/>
  <c r="D6766" i="106" s="1"/>
  <c r="B6767" i="106"/>
  <c r="D6767" i="106"/>
  <c r="B6768" i="106"/>
  <c r="D6768" i="106"/>
  <c r="B6769" i="106"/>
  <c r="D6769" i="106"/>
  <c r="B6770" i="106"/>
  <c r="D6770" i="106"/>
  <c r="B6771" i="106"/>
  <c r="D6771" i="106" s="1"/>
  <c r="B6772" i="106"/>
  <c r="D6772" i="106" s="1"/>
  <c r="B6773" i="106"/>
  <c r="D6773" i="106" s="1"/>
  <c r="B6774" i="106"/>
  <c r="D6774" i="106" s="1"/>
  <c r="B6775" i="106"/>
  <c r="D6775" i="106" s="1"/>
  <c r="B6776" i="106"/>
  <c r="D6776" i="106"/>
  <c r="B6777" i="106"/>
  <c r="D6777" i="106" s="1"/>
  <c r="B6778" i="106"/>
  <c r="D6778" i="106" s="1"/>
  <c r="B6779" i="106"/>
  <c r="D6779" i="106"/>
  <c r="B6780" i="106"/>
  <c r="D6780" i="106"/>
  <c r="B6781" i="106"/>
  <c r="D6781" i="106"/>
  <c r="B6782" i="106"/>
  <c r="D6782" i="106"/>
  <c r="B6783" i="106"/>
  <c r="D6783" i="106" s="1"/>
  <c r="B6784" i="106"/>
  <c r="D6784" i="106" s="1"/>
  <c r="B6785" i="106"/>
  <c r="D6785" i="106" s="1"/>
  <c r="B6786" i="106"/>
  <c r="D6786" i="106" s="1"/>
  <c r="B6787" i="106"/>
  <c r="D6787" i="106" s="1"/>
  <c r="B6788" i="106"/>
  <c r="D6788" i="106"/>
  <c r="B6789" i="106"/>
  <c r="D6789" i="106" s="1"/>
  <c r="B6790" i="106"/>
  <c r="D6790" i="106" s="1"/>
  <c r="B6791" i="106"/>
  <c r="D6791" i="106"/>
  <c r="B6792" i="106"/>
  <c r="D6792" i="106"/>
  <c r="B6793" i="106"/>
  <c r="D6793" i="106"/>
  <c r="B6794" i="106"/>
  <c r="D6794" i="106"/>
  <c r="B6795" i="106"/>
  <c r="D6795" i="106" s="1"/>
  <c r="B6796" i="106"/>
  <c r="D6796" i="106" s="1"/>
  <c r="B6797" i="106"/>
  <c r="D6797" i="106" s="1"/>
  <c r="B6798" i="106"/>
  <c r="D6798" i="106" s="1"/>
  <c r="B6799" i="106"/>
  <c r="D6799" i="106" s="1"/>
  <c r="B6800" i="106"/>
  <c r="D6800" i="106"/>
  <c r="B6801" i="106"/>
  <c r="D6801" i="106" s="1"/>
  <c r="B6802" i="106"/>
  <c r="D6802" i="106" s="1"/>
  <c r="B6803" i="106"/>
  <c r="D6803" i="106"/>
  <c r="B6804" i="106"/>
  <c r="D6804" i="106"/>
  <c r="B6805" i="106"/>
  <c r="D6805" i="106"/>
  <c r="B6806" i="106"/>
  <c r="D6806" i="106"/>
  <c r="B6807" i="106"/>
  <c r="D6807" i="106" s="1"/>
  <c r="B6808" i="106"/>
  <c r="D6808" i="106" s="1"/>
  <c r="B6809" i="106"/>
  <c r="D6809" i="106" s="1"/>
  <c r="B6810" i="106"/>
  <c r="D6810" i="106" s="1"/>
  <c r="B6811" i="106"/>
  <c r="D6811" i="106" s="1"/>
  <c r="B6812" i="106"/>
  <c r="D6812" i="106"/>
  <c r="B6813" i="106"/>
  <c r="D6813" i="106" s="1"/>
  <c r="B6814" i="106"/>
  <c r="D6814" i="106" s="1"/>
  <c r="B6815" i="106"/>
  <c r="D6815" i="106"/>
  <c r="B6816" i="106"/>
  <c r="D6816" i="106"/>
  <c r="B6817" i="106"/>
  <c r="D6817" i="106"/>
  <c r="B6818" i="106"/>
  <c r="D6818" i="106"/>
  <c r="B6819" i="106"/>
  <c r="D6819" i="106" s="1"/>
  <c r="B6820" i="106"/>
  <c r="D6820" i="106" s="1"/>
  <c r="B6821" i="106"/>
  <c r="D6821" i="106" s="1"/>
  <c r="B6822" i="106"/>
  <c r="D6822" i="106" s="1"/>
  <c r="B6823" i="106"/>
  <c r="D6823" i="106" s="1"/>
  <c r="B6824" i="106"/>
  <c r="D6824" i="106"/>
  <c r="B6825" i="106"/>
  <c r="D6825" i="106" s="1"/>
  <c r="B6826" i="106"/>
  <c r="D6826" i="106" s="1"/>
  <c r="B6827" i="106"/>
  <c r="D6827" i="106"/>
  <c r="B6828" i="106"/>
  <c r="D6828" i="106"/>
  <c r="B6829" i="106"/>
  <c r="D6829" i="106"/>
  <c r="B6830" i="106"/>
  <c r="D6830" i="106"/>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5" i="127"/>
  <c r="B66" i="127"/>
  <c r="E26" i="108"/>
  <c r="G26" i="108"/>
  <c r="D27" i="108"/>
  <c r="E27" i="108"/>
  <c r="F27" i="108"/>
  <c r="G27" i="108"/>
  <c r="G28" i="108"/>
  <c r="E30" i="108"/>
  <c r="G30" i="108"/>
  <c r="D36"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c r="D5355" i="106" s="1"/>
  <c r="E108" i="5"/>
  <c r="B5526" i="106" s="1"/>
  <c r="D5526" i="106" s="1"/>
  <c r="F108" i="5"/>
  <c r="B5587" i="106" s="1"/>
  <c r="D5587" i="106" s="1"/>
  <c r="G108" i="5"/>
  <c r="B5737" i="106"/>
  <c r="D5737" i="106" s="1"/>
  <c r="H108" i="5"/>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B5752" i="106" s="1"/>
  <c r="D5752" i="106" s="1"/>
  <c r="G144" i="5"/>
  <c r="B5756" i="106" s="1"/>
  <c r="D5756" i="106" s="1"/>
  <c r="G154" i="5"/>
  <c r="G172" i="5"/>
  <c r="G173" i="5" s="1"/>
  <c r="B5778" i="106" s="1"/>
  <c r="D5778" i="106" s="1"/>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G14" i="4"/>
  <c r="B2609" i="106" s="1"/>
  <c r="D26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H28" i="118"/>
  <c r="D22" i="37"/>
  <c r="J22" i="37"/>
  <c r="L22" i="37"/>
  <c r="D24" i="37"/>
  <c r="B4270" i="106" s="1"/>
  <c r="D4270" i="106" s="1"/>
  <c r="L5" i="11"/>
  <c r="B2056" i="106" s="1"/>
  <c r="D2056" i="106" s="1"/>
  <c r="D13" i="7"/>
  <c r="B3726" i="106" s="1"/>
  <c r="D3726" i="106" s="1"/>
  <c r="F111" i="34"/>
  <c r="D12" i="7"/>
  <c r="B1769" i="106" s="1"/>
  <c r="D1769" i="106" s="1"/>
  <c r="F128" i="34" l="1"/>
  <c r="D11" i="7"/>
  <c r="B1768" i="106" s="1"/>
  <c r="D1768" i="106" s="1"/>
  <c r="D17" i="7"/>
  <c r="B4104" i="106" s="1"/>
  <c r="D4104" i="106" s="1"/>
  <c r="B5770" i="106"/>
  <c r="D5770" i="106" s="1"/>
  <c r="G5" i="4"/>
  <c r="B3409" i="106" s="1"/>
  <c r="D3409" i="106" s="1"/>
  <c r="F131" i="34"/>
  <c r="K274" i="5"/>
  <c r="C172" i="5"/>
  <c r="B5214" i="106" s="1"/>
  <c r="D5214" i="106" s="1"/>
  <c r="F49" i="34"/>
  <c r="F44" i="34"/>
  <c r="D69" i="36"/>
  <c r="B7231" i="106"/>
  <c r="D7231" i="106" s="1"/>
  <c r="J129" i="29"/>
  <c r="B7038" i="106" s="1"/>
  <c r="D7038" i="106" s="1"/>
  <c r="B6289" i="106"/>
  <c r="D6289" i="106" s="1"/>
  <c r="K24" i="12"/>
  <c r="B7733" i="106" s="1"/>
  <c r="D7733" i="106" s="1"/>
  <c r="J367" i="29"/>
  <c r="B7245" i="106" s="1"/>
  <c r="D7245" i="106" s="1"/>
  <c r="B7235" i="106"/>
  <c r="D7235" i="106" s="1"/>
  <c r="I24" i="12"/>
  <c r="G109" i="5"/>
  <c r="B6024" i="106" s="1"/>
  <c r="D6024" i="106" s="1"/>
  <c r="H173" i="5"/>
  <c r="B5906" i="106" s="1"/>
  <c r="D5906" i="106" s="1"/>
  <c r="J41" i="3"/>
  <c r="F136" i="34"/>
  <c r="E109" i="5"/>
  <c r="E4" i="4" s="1"/>
  <c r="B2630" i="106" s="1"/>
  <c r="D2630" i="106" s="1"/>
  <c r="J274" i="5"/>
  <c r="B7054" i="106" s="1"/>
  <c r="D7054" i="106" s="1"/>
  <c r="D15" i="7"/>
  <c r="B1772" i="106" s="1"/>
  <c r="D1772" i="106" s="1"/>
  <c r="F36" i="34"/>
  <c r="D7" i="7"/>
  <c r="B1763" i="106" s="1"/>
  <c r="D1763" i="106" s="1"/>
  <c r="D11" i="37"/>
  <c r="D31" i="36"/>
  <c r="C342" i="29"/>
  <c r="B7216" i="106" s="1"/>
  <c r="D7216" i="106" s="1"/>
  <c r="K41" i="3"/>
  <c r="D9" i="7"/>
  <c r="B1767" i="106" s="1"/>
  <c r="D1767" i="106" s="1"/>
  <c r="D5" i="4"/>
  <c r="B3406" i="106" s="1"/>
  <c r="D3406" i="106" s="1"/>
  <c r="H109" i="5"/>
  <c r="B6025" i="106" s="1"/>
  <c r="D6025" i="106" s="1"/>
  <c r="I210" i="29"/>
  <c r="B7071" i="106" s="1"/>
  <c r="D7071" i="106" s="1"/>
  <c r="F106" i="34"/>
  <c r="H29" i="118"/>
  <c r="K28" i="118" s="1"/>
  <c r="O27" i="118" s="1"/>
  <c r="O29" i="118" s="1"/>
  <c r="B4396" i="106"/>
  <c r="D4396" i="106" s="1"/>
  <c r="F45" i="34"/>
  <c r="H342" i="29"/>
  <c r="H365" i="29"/>
  <c r="D109" i="5"/>
  <c r="F35" i="34"/>
  <c r="K173" i="5"/>
  <c r="K6" i="4" s="1"/>
  <c r="B3570" i="106" s="1"/>
  <c r="D3570" i="106" s="1"/>
  <c r="F77" i="4"/>
  <c r="B3255" i="106" s="1"/>
  <c r="D3255" i="106" s="1"/>
  <c r="G210" i="29"/>
  <c r="B1365" i="106" s="1"/>
  <c r="D1365" i="106" s="1"/>
  <c r="E174" i="29"/>
  <c r="B1309" i="106" s="1"/>
  <c r="D1309" i="106" s="1"/>
  <c r="I129" i="29"/>
  <c r="B7037" i="106" s="1"/>
  <c r="D7037" i="106" s="1"/>
  <c r="L367" i="29"/>
  <c r="H76" i="4"/>
  <c r="B3298" i="106" s="1"/>
  <c r="D3298" i="106" s="1"/>
  <c r="C129" i="29"/>
  <c r="B1225" i="106" s="1"/>
  <c r="D1225" i="106" s="1"/>
  <c r="F127" i="34"/>
  <c r="F41" i="34"/>
  <c r="F50" i="34"/>
  <c r="F130" i="34"/>
  <c r="K76" i="4"/>
  <c r="B3586" i="106" s="1"/>
  <c r="D3586" i="106" s="1"/>
  <c r="F21" i="8"/>
  <c r="D6103" i="106"/>
  <c r="F36" i="108"/>
  <c r="D54" i="36"/>
  <c r="F42" i="34"/>
  <c r="N22" i="3"/>
  <c r="B283" i="106" s="1"/>
  <c r="D283" i="106" s="1"/>
  <c r="K26" i="12"/>
  <c r="B7743" i="106" s="1"/>
  <c r="D7743" i="106" s="1"/>
  <c r="F19" i="7"/>
  <c r="B1807" i="106" s="1"/>
  <c r="D1807" i="106" s="1"/>
  <c r="B1329" i="106"/>
  <c r="D1329" i="106" s="1"/>
  <c r="F61" i="34"/>
  <c r="F28" i="108"/>
  <c r="E28" i="108"/>
  <c r="H6" i="4"/>
  <c r="B2656" i="106" s="1"/>
  <c r="D2656" i="106" s="1"/>
  <c r="B5886" i="106"/>
  <c r="D5886" i="106" s="1"/>
  <c r="F71" i="34"/>
  <c r="B1410" i="106"/>
  <c r="D1410" i="106" s="1"/>
  <c r="G29" i="108"/>
  <c r="F65" i="34"/>
  <c r="E29" i="108"/>
  <c r="K350" i="29"/>
  <c r="B3670" i="106" s="1"/>
  <c r="D3670" i="106" s="1"/>
  <c r="B3647" i="106"/>
  <c r="D3647" i="106" s="1"/>
  <c r="C352" i="29"/>
  <c r="B3649" i="106"/>
  <c r="D3649" i="106" s="1"/>
  <c r="G367" i="29"/>
  <c r="B3650" i="106" s="1"/>
  <c r="D3650" i="106" s="1"/>
  <c r="K352" i="29"/>
  <c r="K13" i="4" s="1"/>
  <c r="B3572" i="106" s="1"/>
  <c r="D3572" i="106" s="1"/>
  <c r="B6995" i="106"/>
  <c r="D6995" i="106" s="1"/>
  <c r="D37" i="108"/>
  <c r="F37" i="108"/>
  <c r="G35" i="108"/>
  <c r="E35" i="108"/>
  <c r="D31" i="108"/>
  <c r="D26" i="108"/>
  <c r="F26" i="108"/>
  <c r="B1124" i="106"/>
  <c r="D1124" i="106" s="1"/>
  <c r="B2724" i="106"/>
  <c r="D2724" i="106" s="1"/>
  <c r="F38" i="34"/>
  <c r="G4" i="4"/>
  <c r="B2603" i="106" s="1"/>
  <c r="D2603" i="106" s="1"/>
  <c r="B1746" i="106"/>
  <c r="D1746" i="106" s="1"/>
  <c r="D5" i="7"/>
  <c r="B1761" i="106" s="1"/>
  <c r="D1761" i="106" s="1"/>
  <c r="C173" i="5"/>
  <c r="B5223" i="106" s="1"/>
  <c r="D5223" i="106" s="1"/>
  <c r="C109" i="5"/>
  <c r="B5121" i="106" s="1"/>
  <c r="D5121" i="106" s="1"/>
  <c r="D4" i="7"/>
  <c r="B1760" i="106" s="1"/>
  <c r="D1760" i="106" s="1"/>
  <c r="H33" i="118"/>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J7" i="4"/>
  <c r="B7270" i="106"/>
  <c r="D7254" i="106" l="1"/>
  <c r="D7256" i="106"/>
  <c r="D7251" i="106"/>
  <c r="B1879" i="106"/>
  <c r="D1879" i="106" s="1"/>
  <c r="H22" i="37"/>
  <c r="B3568" i="106"/>
  <c r="D3568" i="106" s="1"/>
  <c r="D52" i="36"/>
  <c r="B1328" i="106"/>
  <c r="D1328" i="106" s="1"/>
  <c r="F274" i="5"/>
  <c r="F66" i="34"/>
  <c r="H4" i="4"/>
  <c r="B7215" i="106"/>
  <c r="D7215" i="106" s="1"/>
  <c r="J16" i="4"/>
  <c r="B6226" i="106" s="1"/>
  <c r="D6226" i="106" s="1"/>
  <c r="D7250" i="106"/>
  <c r="B5356" i="106"/>
  <c r="D5356" i="106" s="1"/>
  <c r="D4" i="4"/>
  <c r="B2564" i="106" s="1"/>
  <c r="D2564" i="106" s="1"/>
  <c r="B1996" i="106"/>
  <c r="D1996" i="106" s="1"/>
  <c r="I26" i="12"/>
  <c r="B7741" i="106" s="1"/>
  <c r="D7741" i="106" s="1"/>
  <c r="D274" i="5"/>
  <c r="B5914" i="106"/>
  <c r="D5914" i="106" s="1"/>
  <c r="H275" i="5"/>
  <c r="B5915" i="106" s="1"/>
  <c r="D5915" i="106" s="1"/>
  <c r="D7252" i="106"/>
  <c r="C151" i="29"/>
  <c r="B1226" i="106" s="1"/>
  <c r="D1226" i="106" s="1"/>
  <c r="H367" i="29"/>
  <c r="B3660" i="106" s="1"/>
  <c r="D3660" i="106" s="1"/>
  <c r="B7242" i="106"/>
  <c r="D7242" i="106" s="1"/>
  <c r="C114" i="29"/>
  <c r="B757" i="106" s="1"/>
  <c r="D757" i="106" s="1"/>
  <c r="L114" i="29"/>
  <c r="L16" i="11"/>
  <c r="B2061" i="106" s="1"/>
  <c r="D2061" i="106" s="1"/>
  <c r="C4" i="4"/>
  <c r="B2551" i="106" s="1"/>
  <c r="D2551" i="106" s="1"/>
  <c r="F41" i="108"/>
  <c r="G43" i="108" s="1"/>
  <c r="B3672" i="106"/>
  <c r="D3672" i="106" s="1"/>
  <c r="K367" i="29"/>
  <c r="D41" i="108"/>
  <c r="E43" i="108" s="1"/>
  <c r="B3628" i="106"/>
  <c r="D3628" i="106" s="1"/>
  <c r="B3621" i="106"/>
  <c r="D3621" i="106" s="1"/>
  <c r="C367" i="29"/>
  <c r="B3622" i="106" s="1"/>
  <c r="D3622" i="106" s="1"/>
  <c r="F275" i="5"/>
  <c r="B5720" i="106" s="1"/>
  <c r="D5720" i="106" s="1"/>
  <c r="F6" i="4"/>
  <c r="B2593" i="106" s="1"/>
  <c r="D2593" i="106" s="1"/>
  <c r="C6" i="4"/>
  <c r="B2553" i="106" s="1"/>
  <c r="D2553" i="106" s="1"/>
  <c r="D19" i="7"/>
  <c r="B1775" i="106" s="1"/>
  <c r="D1775"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6222" i="106"/>
  <c r="D6222" i="106" s="1"/>
  <c r="B7298" i="106"/>
  <c r="B7299" i="106"/>
  <c r="D275" i="5" l="1"/>
  <c r="B5508" i="106" s="1"/>
  <c r="D5508" i="106" s="1"/>
  <c r="B2655" i="106"/>
  <c r="D2655" i="106" s="1"/>
  <c r="H8" i="4"/>
  <c r="B1145" i="106"/>
  <c r="D1145" i="106" s="1"/>
  <c r="D7" i="4"/>
  <c r="J8" i="4"/>
  <c r="J20" i="4" s="1"/>
  <c r="B5507" i="106"/>
  <c r="D5507" i="106" s="1"/>
  <c r="G41" i="108"/>
  <c r="G44" i="108" s="1"/>
  <c r="G45" i="108" s="1"/>
  <c r="E41" i="108"/>
  <c r="E44" i="108" s="1"/>
  <c r="E45" i="108" s="1"/>
  <c r="F8" i="4"/>
  <c r="F10" i="4" s="1"/>
  <c r="B4125" i="106" s="1"/>
  <c r="D41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D8" i="4" l="1"/>
  <c r="B2658" i="106"/>
  <c r="D2658" i="106" s="1"/>
  <c r="H10" i="4"/>
  <c r="B4127" i="106" s="1"/>
  <c r="D4127" i="106" s="1"/>
  <c r="J10" i="4"/>
  <c r="B6225" i="106" s="1"/>
  <c r="D6225" i="106" s="1"/>
  <c r="F76" i="34"/>
  <c r="B2595" i="106"/>
  <c r="D2595" i="106" s="1"/>
  <c r="D8" i="146"/>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I39" i="3" s="1"/>
  <c r="K17" i="118"/>
  <c r="B3300" i="106"/>
  <c r="D3300" i="106" s="1"/>
  <c r="H81" i="4"/>
  <c r="H39" i="3" s="1"/>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212" i="106" l="1"/>
  <c r="D212" i="106" s="1"/>
  <c r="H41" i="3"/>
  <c r="B2912" i="106"/>
  <c r="D2912" i="106" s="1"/>
  <c r="I41" i="3"/>
  <c r="B123" i="106"/>
  <c r="D123" i="106" s="1"/>
  <c r="D41" i="3"/>
  <c r="B3278" i="106"/>
  <c r="D3278" i="106" s="1"/>
  <c r="E81" i="4"/>
  <c r="E38" i="3" s="1"/>
  <c r="N21" i="3" s="1"/>
  <c r="B3233" i="106"/>
  <c r="D3233" i="106" s="1"/>
  <c r="C81" i="4"/>
  <c r="C39" i="3" s="1"/>
  <c r="A7263" i="106"/>
  <c r="D7262" i="106"/>
  <c r="B1700" i="106"/>
  <c r="D1700" i="106" s="1"/>
  <c r="H82" i="4"/>
  <c r="D62" i="36"/>
  <c r="O16" i="118"/>
  <c r="F81" i="4"/>
  <c r="B3256" i="106"/>
  <c r="D3256" i="106" s="1"/>
  <c r="G81" i="4"/>
  <c r="G38" i="3" s="1"/>
  <c r="B2477" i="106" s="1"/>
  <c r="D2477" i="106"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49" i="36" l="1"/>
  <c r="B213" i="106"/>
  <c r="D213" i="106" s="1"/>
  <c r="B92" i="106"/>
  <c r="D92" i="106" s="1"/>
  <c r="C41" i="3"/>
  <c r="D50" i="36"/>
  <c r="B2913" i="106"/>
  <c r="D2913" i="106" s="1"/>
  <c r="B189" i="106"/>
  <c r="D189" i="106" s="1"/>
  <c r="G41" i="3"/>
  <c r="J16" i="37"/>
  <c r="B4269" i="106" s="1"/>
  <c r="D4269" i="106" s="1"/>
  <c r="F39" i="3"/>
  <c r="D60" i="36" s="1"/>
  <c r="B124" i="106"/>
  <c r="D124" i="106" s="1"/>
  <c r="D45" i="36"/>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I83" i="4"/>
  <c r="B6282" i="106" s="1"/>
  <c r="D6282" i="106" s="1"/>
  <c r="B6273" i="106"/>
  <c r="D6273" i="106" s="1"/>
  <c r="G82" i="4"/>
  <c r="D61" i="36"/>
  <c r="B1686" i="106"/>
  <c r="D1686" i="106" s="1"/>
  <c r="B1672" i="106"/>
  <c r="D1672" i="106" s="1"/>
  <c r="F82" i="4"/>
  <c r="D11" i="146"/>
  <c r="A7264" i="106"/>
  <c r="D7263" i="106"/>
  <c r="B6268" i="106"/>
  <c r="D6268" i="106" s="1"/>
  <c r="D83" i="4"/>
  <c r="B6277" i="106" s="1"/>
  <c r="D6277" i="106" s="1"/>
  <c r="B93" i="106" l="1"/>
  <c r="D93" i="106" s="1"/>
  <c r="D44" i="36"/>
  <c r="B190" i="106"/>
  <c r="D190" i="106" s="1"/>
  <c r="D48" i="36"/>
  <c r="B170" i="106"/>
  <c r="D170" i="106" s="1"/>
  <c r="F41" i="3"/>
  <c r="D76"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47" i="36" l="1"/>
  <c r="B171" i="106"/>
  <c r="D171" i="106" s="1"/>
  <c r="K20" i="118"/>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504" i="106"/>
  <c r="D2504" i="106" s="1"/>
  <c r="D75" i="36"/>
  <c r="D59" i="36"/>
  <c r="E41" i="3"/>
  <c r="D46" i="36" s="1"/>
  <c r="B282" i="106"/>
  <c r="D282" i="106" s="1"/>
  <c r="N23" i="3"/>
  <c r="D55" i="36" s="1"/>
  <c r="B284" i="106" l="1"/>
  <c r="D284" i="106" s="1"/>
  <c r="B141" i="106"/>
  <c r="D141"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<sst xmlns="http://schemas.openxmlformats.org/spreadsheetml/2006/main" count="5273" uniqueCount="2241">
  <si>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</si>
  <si>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</si>
  <si>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</si>
  <si>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</si>
  <si>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</si>
  <si>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</si>
  <si>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</si>
  <si>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</si>
  <si>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</si>
  <si>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</si>
  <si>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</si>
  <si>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</si>
  <si>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</si>
  <si>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</si>
  <si>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</si>
  <si>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</si>
  <si>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</si>
  <si>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</si>
  <si>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</si>
  <si>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</si>
  <si>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</si>
  <si>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</si>
  <si>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</si>
  <si>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</si>
  <si>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</si>
  <si>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</si>
  <si>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</si>
  <si>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</si>
  <si>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</si>
  <si>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</si>
  <si>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</si>
  <si>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</si>
  <si>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</si>
  <si>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</si>
  <si>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</si>
  <si>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</si>
  <si>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</si>
  <si>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</si>
  <si>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</si>
  <si>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</si>
  <si>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</si>
  <si>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</si>
  <si>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</si>
  <si>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</si>
  <si>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</si>
  <si>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</si>
  <si>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</si>
  <si>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</si>
  <si>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</si>
  <si>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</si>
  <si>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</si>
  <si>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</si>
  <si>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</si>
  <si>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</si>
  <si>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</si>
  <si>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</si>
  <si>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</si>
  <si>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</si>
  <si>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</si>
  <si>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</si>
  <si>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</si>
  <si>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</si>
  <si>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</si>
  <si>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</si>
  <si>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</si>
  <si>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</si>
  <si>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</si>
  <si>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</si>
  <si>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</si>
  <si>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</si>
  <si>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</si>
  <si>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</si>
  <si>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</si>
  <si>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</si>
  <si>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</si>
  <si>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</si>
  <si>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</si>
  <si>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</si>
  <si>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</si>
  <si>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</si>
  <si>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</si>
  <si>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</si>
  <si>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</si>
  <si>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</si>
  <si>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</si>
  <si>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</si>
  <si>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</si>
  <si>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</si>
  <si>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</si>
  <si>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</si>
  <si>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</si>
  <si>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</si>
  <si>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</si>
  <si>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</si>
  <si>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</si>
  <si>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</si>
  <si>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</si>
  <si>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</si>
  <si>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</si>
  <si>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</si>
  <si>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</si>
  <si>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</si>
  <si>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</si>
  <si>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</si>
  <si>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</si>
  <si>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</si>
  <si>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</si>
  <si>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</si>
  <si>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</si>
  <si>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</si>
  <si>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</si>
  <si>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</si>
  <si>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</si>
  <si>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</si>
  <si>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</si>
  <si>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</si>
  <si>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</si>
  <si>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</si>
  <si>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</si>
  <si>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</si>
  <si>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</si>
  <si>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</si>
  <si>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</si>
  <si>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</si>
  <si>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</si>
  <si>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</si>
  <si>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</si>
  <si>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</si>
  <si>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</si>
  <si>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</si>
  <si>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</si>
  <si>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</si>
  <si>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</si>
  <si>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</si>
  <si>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</si>
  <si>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</si>
  <si>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</si>
  <si>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</si>
  <si>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</si>
  <si>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</si>
  <si>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</si>
  <si>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</si>
  <si>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</si>
  <si>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</si>
  <si>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</si>
  <si>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</si>
  <si>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</si>
  <si>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</si>
  <si>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</si>
  <si>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</si>
  <si>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</si>
  <si>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</si>
  <si>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</si>
  <si>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</si>
  <si>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</si>
  <si>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</si>
  <si>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</si>
  <si>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</si>
  <si>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</si>
  <si>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</si>
  <si>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</si>
  <si>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</si>
  <si>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</si>
  <si>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</si>
  <si>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</si>
  <si>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</si>
  <si>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</si>
  <si>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</si>
  <si>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</si>
  <si>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</si>
  <si>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</si>
  <si>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</si>
  <si>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</si>
  <si>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</si>
  <si>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</si>
  <si>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</si>
  <si>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</si>
  <si>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</si>
  <si>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</si>
  <si>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</si>
  <si>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</si>
  <si>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</si>
  <si>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</si>
  <si>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</si>
  <si>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</si>
  <si>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</si>
  <si>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</si>
  <si>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</si>
  <si>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</si>
  <si>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</si>
  <si>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</si>
  <si>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</si>
  <si>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</si>
  <si>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</si>
  <si>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</si>
  <si>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</si>
  <si>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</si>
  <si>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</si>
  <si>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</si>
  <si>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</si>
  <si>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</si>
  <si>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</si>
  <si>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</si>
  <si>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</si>
  <si>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</si>
  <si>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</si>
  <si>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</si>
  <si>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</si>
  <si>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</si>
  <si>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</si>
  <si>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</si>
  <si>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</si>
  <si>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</si>
  <si>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</si>
  <si>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</si>
  <si>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</si>
  <si>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</si>
  <si>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</si>
  <si>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</si>
  <si>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</si>
  <si>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</si>
  <si>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</si>
  <si>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</si>
  <si>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</si>
  <si>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</si>
  <si>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</si>
  <si>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</si>
  <si>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</si>
  <si>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</si>
  <si>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</si>
  <si>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</si>
  <si>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</si>
  <si>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</si>
  <si>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</si>
  <si>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</si>
  <si>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</si>
  <si>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</si>
  <si>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</si>
  <si>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</si>
  <si>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</si>
  <si>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</si>
  <si>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</si>
  <si>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</si>
  <si>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</si>
  <si>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</si>
  <si>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</si>
  <si>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</si>
  <si>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</si>
  <si>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</si>
  <si>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</si>
  <si>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</si>
  <si>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</si>
  <si>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</si>
  <si>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</si>
  <si>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</si>
  <si>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</si>
  <si>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</si>
  <si>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</si>
  <si>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</si>
  <si>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</si>
  <si>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</si>
  <si>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</si>
  <si>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</si>
  <si>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</si>
  <si>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</si>
  <si>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</si>
  <si>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</si>
  <si>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</si>
  <si>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</si>
  <si>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</si>
  <si>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</si>
  <si>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</si>
  <si>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</si>
  <si>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</si>
  <si>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</si>
  <si>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</si>
  <si>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</si>
  <si>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</si>
  <si>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</si>
  <si>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</si>
  <si>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</si>
  <si>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</si>
  <si>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</si>
  <si>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</si>
  <si>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</si>
  <si>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</si>
  <si>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</si>
  <si>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</si>
  <si>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</si>
  <si>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</si>
  <si>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</si>
  <si>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</si>
  <si>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</si>
  <si>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</si>
  <si>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</si>
  <si>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</si>
  <si>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</si>
  <si>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</si>
  <si>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</si>
  <si>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</si>
  <si>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</si>
  <si>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</si>
  <si>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</si>
  <si>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</si>
  <si>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</si>
  <si>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</si>
  <si>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</si>
  <si>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</si>
  <si>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</si>
  <si>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</si>
  <si>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</si>
  <si>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</si>
  <si>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</si>
  <si>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</si>
  <si>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</si>
  <si>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</si>
  <si>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</si>
  <si>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</si>
  <si>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</si>
  <si>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</si>
  <si>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</si>
  <si>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</si>
  <si>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</si>
  <si>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</si>
  <si>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</si>
  <si>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</si>
  <si>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</si>
  <si>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</si>
  <si>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</si>
  <si>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</si>
  <si>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</si>
  <si>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</si>
  <si>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</si>
  <si>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</si>
  <si>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</si>
  <si>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</si>
  <si>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</si>
  <si>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</si>
  <si>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</si>
  <si>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</si>
  <si>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</si>
  <si>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</si>
  <si>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</si>
  <si>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</si>
  <si>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</si>
  <si>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</si>
  <si>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</si>
  <si>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</si>
  <si>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</si>
  <si>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</si>
  <si>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</si>
  <si>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</si>
  <si>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</si>
  <si>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</si>
  <si>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</si>
  <si>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</si>
  <si>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</si>
  <si>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</si>
  <si>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</si>
  <si>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</si>
  <si>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</si>
  <si>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</si>
  <si>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</si>
  <si>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</si>
  <si>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</si>
  <si>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</si>
  <si>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</si>
  <si>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</si>
  <si>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</si>
  <si>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</si>
  <si>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</si>
  <si>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</si>
  <si>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</si>
  <si>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</si>
  <si>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</si>
  <si>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</si>
  <si>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</si>
  <si>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</si>
  <si>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</si>
  <si>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</si>
  <si>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</si>
  <si>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</si>
  <si>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</si>
  <si>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</si>
  <si>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</si>
  <si>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</si>
  <si>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</si>
  <si>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</si>
  <si>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</si>
  <si>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</si>
  <si>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</si>
  <si>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</si>
  <si>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</si>
  <si>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</si>
  <si>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</si>
  <si>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</si>
  <si>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</si>
  <si>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</si>
  <si>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</si>
  <si>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</si>
  <si>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</si>
  <si>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</si>
  <si>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</si>
  <si>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</si>
  <si>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</si>
  <si>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</si>
  <si>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</si>
  <si>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</si>
  <si>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</si>
  <si>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</si>
  <si>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</si>
  <si>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</si>
  <si>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</si>
  <si>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</si>
  <si>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</si>
  <si>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</si>
  <si>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</si>
  <si>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</si>
  <si>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</si>
  <si>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</si>
  <si>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</si>
  <si>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</si>
  <si>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</si>
  <si>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</si>
  <si>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</si>
  <si>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</si>
  <si>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</si>
  <si>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</si>
  <si>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</si>
  <si>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</si>
  <si>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</si>
  <si>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</si>
  <si>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</si>
  <si>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</si>
  <si>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</si>
  <si>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</si>
  <si>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</si>
  <si>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</si>
  <si>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</si>
  <si>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</si>
  <si>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</si>
  <si>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</si>
  <si>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</si>
  <si>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</si>
  <si>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</si>
  <si>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</si>
  <si>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</si>
  <si>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</si>
  <si>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</si>
  <si>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</si>
  <si>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</si>
  <si>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</si>
  <si>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</si>
  <si>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</si>
  <si>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</si>
  <si>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</si>
  <si>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</si>
  <si>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</si>
  <si>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</si>
  <si>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</si>
  <si>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</si>
  <si>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</si>
  <si>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</si>
  <si>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</si>
  <si>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</si>
  <si>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</si>
  <si>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</si>
  <si>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</si>
  <si>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</si>
  <si>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</si>
  <si>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</si>
  <si>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</si>
  <si>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</si>
  <si>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</si>
  <si>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</si>
  <si>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</si>
  <si>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</si>
  <si>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</si>
  <si>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</si>
  <si>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</si>
  <si>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</si>
  <si>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</si>
  <si>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</si>
  <si>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</si>
  <si>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</si>
  <si>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</si>
  <si>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</si>
  <si>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</si>
  <si>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</si>
  <si>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</si>
  <si>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</si>
  <si>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</si>
  <si>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</si>
  <si>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</si>
  <si>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</si>
  <si>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</si>
  <si>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</si>
  <si>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</si>
  <si>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</si>
  <si>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</si>
  <si>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</si>
  <si>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</si>
  <si>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</si>
  <si>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</si>
  <si>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</si>
  <si>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</si>
  <si>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</si>
  <si>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</si>
  <si>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</si>
  <si>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</si>
  <si>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</si>
  <si>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</si>
  <si>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</si>
  <si>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</si>
  <si>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</si>
  <si>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</si>
  <si>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</si>
  <si>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</si>
  <si>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</si>
  <si>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</si>
  <si>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</si>
  <si>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</si>
  <si>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</si>
  <si>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</si>
  <si>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</si>
  <si>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</si>
  <si>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</si>
  <si>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</si>
  <si>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</si>
  <si>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</si>
  <si>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</si>
  <si>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</si>
  <si>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</si>
  <si>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</si>
  <si>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</si>
  <si>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</si>
  <si>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</si>
  <si>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</si>
  <si>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</si>
  <si>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</si>
  <si>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</si>
  <si>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</si>
  <si>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</si>
  <si>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</si>
  <si>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</si>
  <si>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</si>
  <si>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</si>
  <si>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</si>
  <si>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</si>
  <si>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</si>
  <si>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</si>
  <si>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</si>
  <si>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</si>
  <si>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</si>
  <si>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</si>
  <si>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</si>
  <si>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</si>
  <si>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</si>
  <si>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</si>
  <si>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</si>
  <si>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</si>
  <si>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</si>
  <si>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</si>
  <si>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</si>
  <si>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</si>
  <si>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</si>
  <si>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</si>
  <si>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</si>
  <si>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</si>
  <si>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</si>
  <si>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</si>
  <si>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</si>
  <si>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</si>
  <si>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</si>
  <si>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</si>
  <si>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</si>
  <si>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</si>
  <si>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</si>
  <si>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</si>
  <si>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</si>
  <si>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</si>
  <si>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</si>
  <si>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</si>
  <si>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</si>
  <si>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</si>
  <si>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</si>
  <si>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</si>
  <si>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</si>
  <si>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</si>
  <si>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</si>
  <si>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</si>
  <si>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</si>
  <si>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</si>
  <si>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</si>
  <si>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</si>
  <si>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</si>
  <si>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</si>
  <si>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</si>
  <si>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</si>
  <si>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</si>
  <si>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</si>
  <si>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</si>
  <si>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</si>
  <si>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</si>
  <si>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</si>
  <si>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</si>
  <si>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</si>
  <si>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</si>
  <si>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</si>
  <si>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</si>
  <si>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</si>
  <si>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</si>
  <si>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</si>
  <si>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</si>
  <si>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</si>
  <si>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</si>
  <si>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</si>
  <si>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</si>
  <si>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</si>
  <si>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</si>
  <si>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</si>
  <si>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</si>
  <si>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</si>
  <si>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</si>
  <si>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</si>
  <si>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</si>
  <si>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</si>
  <si>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</si>
  <si>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</si>
  <si>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</si>
  <si>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</si>
  <si>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</si>
  <si>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</si>
  <si>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</si>
  <si>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</si>
  <si>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</si>
  <si>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</si>
  <si>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</si>
  <si>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</si>
  <si>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</si>
  <si>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</si>
  <si>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</si>
  <si>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</si>
  <si>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</si>
  <si>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</si>
  <si>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</si>
  <si>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</si>
  <si>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</si>
  <si>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</si>
  <si>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</si>
  <si>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</si>
  <si>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</si>
  <si>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</si>
  <si>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</si>
  <si>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</si>
  <si>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</si>
  <si>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</si>
  <si>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</si>
  <si>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</si>
  <si>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</si>
  <si>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</si>
  <si>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</si>
  <si>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</si>
  <si>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</si>
  <si>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</si>
  <si>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</si>
  <si>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</si>
  <si>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</si>
  <si>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</si>
  <si>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</si>
  <si>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</si>
  <si>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</si>
  <si>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</si>
  <si>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</si>
  <si>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</si>
  <si>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</si>
  <si>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</si>
  <si>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</si>
  <si>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</si>
  <si>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</si>
  <si>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</si>
  <si>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</si>
  <si>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</si>
  <si>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</si>
  <si>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</si>
  <si>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</si>
  <si>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</si>
  <si>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</si>
  <si>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</si>
  <si>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</si>
  <si>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</si>
  <si>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</si>
  <si>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</si>
  <si>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</si>
  <si>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</si>
  <si>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</si>
  <si>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</si>
  <si>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</si>
  <si>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</si>
  <si>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</si>
  <si>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</si>
  <si>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</si>
  <si>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</si>
  <si>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</si>
  <si>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</si>
  <si>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</si>
  <si>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</si>
  <si>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</si>
  <si>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</si>
  <si>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</si>
  <si>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</si>
  <si>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</si>
  <si>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</si>
  <si>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</si>
  <si>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</si>
  <si>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</si>
  <si>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</si>
  <si>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</si>
  <si>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</si>
  <si>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</si>
  <si>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</si>
  <si>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</si>
  <si>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</si>
  <si>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</si>
  <si>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</si>
  <si>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</si>
  <si>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</si>
  <si>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</si>
  <si>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</si>
  <si>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</si>
  <si>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</si>
  <si>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</si>
  <si>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</si>
  <si>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</si>
  <si>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</si>
  <si>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</si>
  <si>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</si>
  <si>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</si>
  <si>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</si>
  <si>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</si>
  <si>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</si>
  <si>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</si>
  <si>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</si>
  <si>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</si>
  <si>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</si>
  <si>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</si>
  <si>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</si>
  <si>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</si>
  <si>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</si>
  <si>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</si>
  <si>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</si>
  <si>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</si>
  <si>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</si>
  <si>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</si>
  <si>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</si>
  <si>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</si>
  <si>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</si>
  <si>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</si>
  <si>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</si>
  <si>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</si>
  <si>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</si>
  <si>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</si>
  <si>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</si>
  <si>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</si>
  <si>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</si>
  <si>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</si>
  <si>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</si>
  <si>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</si>
  <si>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</si>
  <si>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</si>
  <si>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</si>
  <si>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</si>
  <si>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</si>
  <si>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</si>
  <si>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</si>
  <si>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</si>
  <si>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</si>
  <si>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</si>
  <si>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</si>
  <si>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</si>
  <si>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</si>
  <si>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</si>
  <si>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</si>
  <si>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</si>
  <si>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</si>
  <si>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</si>
  <si>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</si>
  <si>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</si>
  <si>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</si>
  <si>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</si>
  <si>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</si>
  <si>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</si>
  <si>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</si>
  <si>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</si>
  <si>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</si>
  <si>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</si>
  <si>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</si>
  <si>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</si>
  <si>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</si>
  <si>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</si>
  <si>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</si>
  <si>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</si>
  <si>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</si>
  <si>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</si>
  <si>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</si>
  <si>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</si>
  <si>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</si>
  <si>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</si>
  <si>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</si>
  <si>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</si>
  <si>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</si>
  <si>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</si>
  <si>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</si>
  <si>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</si>
  <si>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</si>
  <si>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</si>
  <si>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</si>
  <si>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</si>
  <si>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</si>
  <si>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</si>
  <si>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</si>
  <si>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</si>
  <si>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</si>
  <si>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</si>
  <si>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</si>
  <si>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</si>
  <si>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</si>
  <si>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</si>
  <si>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</si>
  <si>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</si>
  <si>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</si>
  <si>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</si>
  <si>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</si>
  <si>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</si>
  <si>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</si>
  <si>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</si>
  <si>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</si>
  <si>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</si>
  <si>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</si>
  <si>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</si>
  <si>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</si>
  <si>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</si>
  <si>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</si>
  <si>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</si>
  <si>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</si>
  <si>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</si>
  <si>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</si>
  <si>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</si>
  <si>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</si>
  <si>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</si>
  <si>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</si>
  <si>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</si>
  <si>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</si>
  <si>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</si>
  <si>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</si>
  <si>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</si>
  <si>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</si>
  <si>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</si>
  <si>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</si>
  <si>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</si>
  <si>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</si>
  <si>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</si>
  <si>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</si>
  <si>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</si>
  <si>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</si>
  <si>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</si>
  <si>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</si>
  <si>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</si>
  <si>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</si>
  <si>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</si>
  <si>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</si>
  <si>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</si>
  <si>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</si>
  <si>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</si>
  <si>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</si>
  <si>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</si>
  <si>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</si>
  <si>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</si>
  <si>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</si>
  <si>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</si>
  <si>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</si>
  <si>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</si>
  <si>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</si>
  <si>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</si>
  <si>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</si>
  <si>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</si>
  <si>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</si>
  <si>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</si>
  <si>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</si>
  <si>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</si>
  <si>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</si>
  <si>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</si>
  <si>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</si>
  <si>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</si>
  <si>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</si>
  <si>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</si>
  <si>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</si>
  <si>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</si>
  <si>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</si>
  <si>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</si>
  <si>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</si>
  <si>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</si>
  <si>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</si>
  <si>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</si>
  <si>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</si>
  <si>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</si>
  <si>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</si>
  <si>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</si>
  <si>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</si>
  <si>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</si>
  <si>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</si>
  <si>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</si>
  <si>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</si>
  <si>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</si>
  <si>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</si>
  <si>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</si>
  <si>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</si>
  <si>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</si>
  <si>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</si>
  <si>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</si>
  <si>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</si>
  <si>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</si>
  <si>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</si>
  <si>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</si>
  <si>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</si>
  <si>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</si>
  <si>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</si>
  <si>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</si>
  <si>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</si>
  <si>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</si>
  <si>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</si>
  <si>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</si>
  <si>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</si>
  <si>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</si>
  <si>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</si>
  <si>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</si>
  <si>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</si>
  <si>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</si>
  <si>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</si>
  <si>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</si>
  <si>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</si>
  <si>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</si>
  <si>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</si>
  <si>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</si>
  <si>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</si>
  <si>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</si>
  <si>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</si>
  <si>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</si>
  <si>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</si>
  <si>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</si>
  <si>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</si>
  <si>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</si>
  <si>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</si>
  <si>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</si>
  <si>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</si>
  <si>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</si>
  <si>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</si>
  <si>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</si>
  <si>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</si>
  <si>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</si>
  <si>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</si>
  <si>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</si>
  <si>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</si>
  <si>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</si>
  <si>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</si>
  <si>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</si>
  <si>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</si>
  <si>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</si>
  <si>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</si>
  <si>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</si>
  <si>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</si>
  <si>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</si>
  <si>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</si>
  <si>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</si>
  <si>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</si>
  <si>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</si>
  <si>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</si>
  <si>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</si>
  <si>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</si>
  <si>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</si>
  <si>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</si>
  <si>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</si>
  <si>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</si>
  <si>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</si>
  <si>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</si>
  <si>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</si>
  <si>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</si>
  <si>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</si>
  <si>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</si>
  <si>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</si>
  <si>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</si>
  <si>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</si>
  <si>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</si>
  <si>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</si>
  <si>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</si>
  <si>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</si>
  <si>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</si>
  <si>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</si>
  <si>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</si>
  <si>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</si>
  <si>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</si>
  <si>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</si>
  <si>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</si>
  <si>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</si>
  <si>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</si>
  <si>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</si>
  <si>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</si>
  <si>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</si>
  <si>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</si>
  <si>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</si>
  <si>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</si>
  <si>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</si>
  <si>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</si>
  <si>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</si>
  <si>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</si>
  <si>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</si>
  <si>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</si>
  <si>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</si>
  <si>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</si>
  <si>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</si>
  <si>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</si>
  <si>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</si>
  <si>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</si>
  <si>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</si>
  <si>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</si>
  <si>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</si>
  <si>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</si>
  <si>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</si>
  <si>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</si>
  <si>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</si>
  <si>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</si>
  <si>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</si>
  <si>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</si>
  <si>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</si>
  <si>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</si>
  <si>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</si>
  <si>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</si>
  <si>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</si>
  <si>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</si>
  <si>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</si>
  <si>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</si>
  <si>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</si>
  <si>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</si>
  <si>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</si>
  <si>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</si>
  <si>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</si>
  <si>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</si>
  <si>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</si>
  <si>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</si>
  <si>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</si>
  <si>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</si>
  <si>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</si>
  <si>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</si>
  <si>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</si>
  <si>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</si>
  <si>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</si>
  <si>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</si>
  <si>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</si>
  <si>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</si>
  <si>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</si>
  <si>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</si>
  <si>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</si>
  <si>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</si>
  <si>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</si>
  <si>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</si>
  <si>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</si>
  <si>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</si>
  <si>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</si>
  <si>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</si>
  <si>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</si>
  <si>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</si>
  <si>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</si>
  <si>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</si>
  <si>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</si>
  <si>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</si>
  <si>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</si>
  <si>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</si>
  <si>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</si>
  <si>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</si>
  <si>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</si>
  <si>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</si>
  <si>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</si>
  <si>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</si>
  <si>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</si>
  <si>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</si>
  <si>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</si>
  <si>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</si>
  <si>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</si>
  <si>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</si>
  <si>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</si>
  <si>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</si>
  <si>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</si>
  <si>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</si>
  <si>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</si>
  <si>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</si>
  <si>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</si>
  <si>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</si>
  <si>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</si>
  <si>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</si>
  <si>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</si>
  <si>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</si>
  <si>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</si>
  <si>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</si>
  <si>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</si>
  <si>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</si>
  <si>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</si>
  <si>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</si>
  <si>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</si>
  <si>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</si>
  <si>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</si>
  <si>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</si>
  <si>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</si>
  <si>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</si>
  <si>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</si>
  <si>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</si>
  <si>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</si>
  <si>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</si>
  <si>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</si>
  <si>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</si>
  <si>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</si>
  <si>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</si>
  <si>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</si>
  <si>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</si>
  <si>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</si>
  <si>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</si>
  <si>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</si>
  <si>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</si>
  <si>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</si>
  <si>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</si>
  <si>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</si>
  <si>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</si>
  <si>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</si>
  <si>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</si>
  <si>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</si>
  <si>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</si>
  <si>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</si>
  <si>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</si>
  <si>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</si>
  <si>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</si>
  <si>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</si>
  <si>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</si>
  <si>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</si>
  <si>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</si>
  <si>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</si>
  <si>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</si>
  <si>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</si>
  <si>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</si>
  <si>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</si>
  <si>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</si>
  <si>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</si>
  <si>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</si>
  <si>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</si>
  <si>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</si>
  <si>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</si>
  <si>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</si>
  <si>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</si>
  <si>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</si>
  <si>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</si>
  <si>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</si>
  <si>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</si>
  <si>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</si>
  <si>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</si>
  <si>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</si>
  <si>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</si>
  <si>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</si>
  <si>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</si>
  <si>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</si>
  <si>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</si>
  <si>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</si>
  <si>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</si>
  <si>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</si>
  <si>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</si>
  <si>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</si>
  <si>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</si>
  <si>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</si>
  <si>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</si>
  <si>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</si>
  <si>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</si>
  <si>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</si>
  <si>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</si>
  <si>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</si>
  <si>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</si>
  <si>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</si>
  <si>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</si>
  <si>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</si>
  <si>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</si>
  <si>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</si>
  <si>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</si>
  <si>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</si>
  <si>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</si>
  <si>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</si>
  <si>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</si>
  <si>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</si>
  <si>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</si>
  <si>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</si>
  <si>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</si>
  <si>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</si>
  <si>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</si>
  <si>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</si>
  <si>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</si>
  <si>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</si>
  <si>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</si>
  <si>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</si>
  <si>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</si>
  <si>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</si>
  <si>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</si>
  <si>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</si>
  <si>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</si>
  <si>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</si>
  <si>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</si>
  <si>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</si>
  <si>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</si>
  <si>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</si>
  <si>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</si>
  <si>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</si>
  <si>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</si>
  <si>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</si>
  <si>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</si>
  <si>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</si>
  <si>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</si>
  <si>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</si>
  <si>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</si>
  <si>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</si>
  <si>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</si>
  <si>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</si>
  <si>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</si>
  <si>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</si>
  <si>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</si>
  <si>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</si>
  <si>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</si>
  <si>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</si>
  <si>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</si>
  <si>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</si>
  <si>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</si>
  <si>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</si>
  <si>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</si>
  <si>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</si>
  <si>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</si>
  <si>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</si>
  <si>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</si>
  <si>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</si>
  <si>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</si>
  <si>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</si>
  <si>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</si>
  <si>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</si>
  <si>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</si>
  <si>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</si>
  <si>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</si>
  <si>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</si>
  <si>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</si>
  <si>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</si>
  <si>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</si>
  <si>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</si>
  <si>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</si>
  <si>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</si>
  <si>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</si>
  <si>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</si>
  <si>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</si>
  <si>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</si>
  <si>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</si>
  <si>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</si>
  <si>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</si>
  <si>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</si>
  <si>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</si>
  <si>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</si>
  <si>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</si>
  <si>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</si>
  <si>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</si>
  <si>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</si>
  <si>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</si>
  <si>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</si>
  <si>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</si>
  <si>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</si>
  <si>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</si>
  <si>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</si>
  <si>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</si>
  <si>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</si>
  <si>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</si>
  <si>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</si>
  <si>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</si>
  <si>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</si>
  <si>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</si>
  <si>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</si>
  <si>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</si>
  <si>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</si>
  <si>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</si>
  <si>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</si>
  <si>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</si>
  <si>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</si>
  <si>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</si>
  <si>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</si>
  <si>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</si>
  <si>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</si>
  <si>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</si>
  <si>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</si>
  <si>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</si>
  <si>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</si>
  <si>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</si>
  <si>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</si>
  <si>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</si>
  <si>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</si>
  <si>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</si>
  <si>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</si>
  <si>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</si>
  <si>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</si>
  <si>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</si>
  <si>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</si>
  <si>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</si>
  <si>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</si>
  <si>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</si>
  <si>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</si>
  <si>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</si>
  <si>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</si>
  <si>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</si>
  <si>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</si>
  <si>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</si>
  <si>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</si>
  <si>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</si>
  <si>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</si>
  <si>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</si>
  <si>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</si>
  <si>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</si>
  <si>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</si>
  <si>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</si>
  <si>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</si>
  <si>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</si>
  <si>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</si>
  <si>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</si>
  <si>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</si>
  <si>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</si>
  <si>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</si>
  <si>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</si>
  <si>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</si>
  <si>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</si>
  <si>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</si>
  <si>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</si>
  <si>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</si>
  <si>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</si>
  <si>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</si>
  <si>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</si>
  <si>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</si>
  <si>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</si>
  <si>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</si>
  <si>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</si>
  <si>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</si>
  <si>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</si>
  <si>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</si>
  <si>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</si>
  <si>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</si>
  <si>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</si>
  <si>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</si>
  <si>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</si>
  <si>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</si>
  <si>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</si>
  <si>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</si>
  <si>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</si>
  <si>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</si>
  <si>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</si>
  <si>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</si>
  <si>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</si>
  <si>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</si>
  <si>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</si>
  <si>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</si>
  <si>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</si>
  <si>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</si>
  <si>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</si>
  <si>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</si>
  <si>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</si>
  <si>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</si>
  <si>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</si>
  <si>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</si>
  <si>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</si>
  <si>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</si>
  <si>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</si>
  <si>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</si>
  <si>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</si>
  <si>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</si>
  <si>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</si>
  <si>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</si>
  <si>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</si>
  <si>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</si>
  <si>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</si>
  <si>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</si>
  <si>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</si>
  <si>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</si>
  <si>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</si>
  <si>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</si>
  <si>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</si>
  <si>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</si>
  <si>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</si>
  <si>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</si>
  <si>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</si>
  <si>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</si>
  <si>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</si>
  <si>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</si>
  <si>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</si>
  <si>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</si>
  <si>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</si>
  <si>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</si>
  <si>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</si>
  <si>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</si>
  <si>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</si>
  <si>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</si>
  <si>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</si>
  <si>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</si>
  <si>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</si>
  <si>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</si>
  <si>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</si>
  <si>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</si>
  <si>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</si>
  <si>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</si>
  <si>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</si>
  <si>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</si>
  <si>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</si>
  <si>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</si>
  <si>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</si>
  <si>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</si>
  <si>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</si>
  <si>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</si>
  <si>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</si>
  <si>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</si>
  <si>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</si>
  <si>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</si>
  <si>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</si>
  <si>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</si>
  <si>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</si>
  <si>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</si>
  <si>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</si>
  <si>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</si>
  <si>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</si>
  <si>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</si>
  <si>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</si>
  <si>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</si>
  <si>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</si>
  <si>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</si>
  <si>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</si>
  <si>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</si>
  <si>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</si>
  <si>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</si>
  <si>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</si>
  <si>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</si>
  <si>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</si>
  <si>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</si>
  <si>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</si>
  <si>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</si>
  <si>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</si>
  <si>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</si>
  <si>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</si>
  <si>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</si>
  <si>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</si>
  <si>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</si>
  <si>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</si>
  <si>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</si>
  <si>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</si>
  <si>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</si>
  <si>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</si>
  <si>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</si>
  <si>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</si>
  <si>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</si>
  <si>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</si>
  <si>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</si>
  <si>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</si>
  <si>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</si>
  <si>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</si>
  <si>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</si>
  <si>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</si>
  <si>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</si>
  <si>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</si>
  <si>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</si>
  <si>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</si>
  <si>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</si>
  <si>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</si>
  <si>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</si>
  <si>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</si>
  <si>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</si>
  <si>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</si>
  <si>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</si>
  <si>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</si>
  <si>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</si>
  <si>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</si>
  <si>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</si>
  <si>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</si>
  <si>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</si>
  <si>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</si>
  <si>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</si>
  <si>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</si>
  <si>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</si>
  <si>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</si>
  <si>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</si>
  <si>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</si>
  <si>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</si>
  <si>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</si>
  <si>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</si>
  <si>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</si>
  <si>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</si>
  <si>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</si>
  <si>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</si>
  <si>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</si>
  <si>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</si>
  <si>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</si>
  <si>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</si>
  <si>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</si>
  <si>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</si>
  <si>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</si>
  <si>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</si>
  <si>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</si>
  <si>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</si>
  <si>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</si>
  <si>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</si>
  <si>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</si>
  <si>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</si>
  <si>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</si>
  <si>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</si>
  <si>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</si>
  <si>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</si>
  <si>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</si>
  <si>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</si>
  <si>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</si>
  <si>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</si>
  <si>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</si>
  <si>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</si>
  <si>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</si>
  <si>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</si>
  <si>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</si>
  <si>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</si>
  <si>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</si>
  <si>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</si>
  <si>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</si>
  <si>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</si>
  <si>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</si>
  <si>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</si>
  <si>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</si>
  <si>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</si>
  <si>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</si>
  <si>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</si>
  <si>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</si>
  <si>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</si>
  <si>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</si>
  <si>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</si>
  <si>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</si>
  <si>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</si>
  <si>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</si>
  <si>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</si>
  <si>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</si>
  <si>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</si>
  <si>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</si>
  <si>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</si>
  <si>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</si>
  <si>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</si>
  <si>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</si>
  <si>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</si>
  <si>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</si>
  <si>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</si>
  <si>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</si>
  <si>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</si>
  <si>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</si>
  <si>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</si>
  <si>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</si>
  <si>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</si>
  <si>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</si>
  <si>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</si>
  <si>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</si>
  <si>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</si>
  <si>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</si>
  <si>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</si>
  <si>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</si>
  <si>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</si>
  <si>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</si>
  <si>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</si>
  <si>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</si>
  <si>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</si>
  <si>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</si>
  <si>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</si>
  <si>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</si>
  <si>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</si>
  <si>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</si>
  <si>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</si>
  <si>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</si>
  <si>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</si>
  <si>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</si>
  <si>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</si>
  <si>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</si>
  <si>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</si>
  <si>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</si>
  <si>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</si>
  <si>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</si>
  <si>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</si>
  <si>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</si>
  <si>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</si>
  <si>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</si>
  <si>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</si>
  <si>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</si>
  <si>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</si>
  <si>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</si>
  <si>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</si>
  <si>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</si>
  <si>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</si>
  <si>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</si>
  <si>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</si>
  <si>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</si>
  <si>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</si>
  <si>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</si>
  <si>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</si>
  <si>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</si>
  <si>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</si>
  <si>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</si>
  <si>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</si>
  <si>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</si>
  <si>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</si>
  <si>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</si>
  <si>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</si>
  <si>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</si>
  <si>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</si>
  <si>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</si>
  <si>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</si>
  <si>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</si>
  <si>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</si>
  <si>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</si>
  <si>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</si>
  <si>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</si>
  <si>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</si>
  <si>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</si>
  <si>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</si>
  <si>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</si>
  <si>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</si>
  <si>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</si>
  <si>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</si>
  <si>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</si>
  <si>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</si>
  <si>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</si>
  <si>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</si>
  <si>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</si>
  <si>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</si>
  <si>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</si>
  <si>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</si>
  <si>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</si>
  <si>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</si>
  <si>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</si>
  <si>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</si>
  <si>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</si>
  <si>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</si>
  <si>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</si>
  <si>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</si>
  <si>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</si>
  <si>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</si>
  <si>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</si>
  <si>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</si>
  <si>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</si>
  <si>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</si>
  <si>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</si>
  <si>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</si>
  <si>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</si>
  <si>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</si>
  <si>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</si>
  <si>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</si>
  <si>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</si>
  <si>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</si>
  <si>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</si>
  <si>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</si>
  <si>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</si>
  <si>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</si>
  <si>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</si>
  <si>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</si>
  <si>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</si>
  <si>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</si>
  <si>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</si>
  <si>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</si>
  <si>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</si>
  <si>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</si>
  <si>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</si>
  <si>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</si>
  <si>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</si>
  <si>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</si>
  <si>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</si>
  <si>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</si>
  <si>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</si>
  <si>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</si>
  <si>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</si>
  <si>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</si>
  <si>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</si>
  <si>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</si>
  <si>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</si>
  <si>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</si>
  <si>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</si>
  <si>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</si>
  <si>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</si>
  <si>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</si>
  <si>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</si>
  <si>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</si>
  <si>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</si>
  <si>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</si>
  <si>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</si>
  <si>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</si>
  <si>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</si>
  <si>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</si>
  <si>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</si>
  <si>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</si>
  <si>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</si>
  <si>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</si>
  <si>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</si>
  <si>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</si>
  <si>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</si>
  <si>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</si>
  <si>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</si>
  <si>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</si>
  <si>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</si>
  <si>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</si>
  <si>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</si>
  <si>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</si>
  <si>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</si>
  <si>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</si>
  <si>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</si>
  <si>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</si>
  <si>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</si>
  <si>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</si>
  <si>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</si>
  <si>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</si>
  <si>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</si>
  <si>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</si>
  <si>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</si>
  <si>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</si>
  <si>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</si>
  <si>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</si>
  <si>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</si>
  <si>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</si>
  <si>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</si>
  <si>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</si>
  <si>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</si>
  <si>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</si>
  <si>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</si>
  <si>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</si>
  <si>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</si>
  <si>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</si>
  <si>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</si>
  <si>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</si>
  <si>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</si>
  <si>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</si>
  <si>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</si>
  <si>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</si>
  <si>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</si>
  <si>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</si>
  <si>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</si>
  <si>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</si>
  <si>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</si>
  <si>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</si>
  <si>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</si>
  <si>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</si>
  <si>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</si>
  <si>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</si>
  <si>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</si>
  <si>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</si>
  <si>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</si>
  <si>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</si>
  <si>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</si>
  <si>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</si>
  <si>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</si>
  <si>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</si>
  <si>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</si>
  <si>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</si>
  <si>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</si>
  <si>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</si>
  <si>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</si>
  <si>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</si>
  <si>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</si>
  <si>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</si>
  <si>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</si>
  <si>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</si>
  <si>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</si>
  <si>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</si>
  <si>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</si>
  <si>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</si>
  <si>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</si>
  <si>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</si>
  <si>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</si>
  <si>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</si>
  <si>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</si>
  <si>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</si>
  <si>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</si>
  <si>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</si>
  <si>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</si>
  <si>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</si>
  <si>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</si>
  <si>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</si>
  <si>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</si>
  <si>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</si>
  <si>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</si>
  <si>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</si>
  <si>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</si>
  <si>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</si>
  <si>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</si>
  <si>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</si>
  <si>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</si>
  <si>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</si>
  <si>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</si>
  <si>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</si>
  <si>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</si>
  <si>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</si>
  <si>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</si>
  <si>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</si>
  <si>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</si>
  <si>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</si>
  <si>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</si>
  <si>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</si>
  <si>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</si>
  <si>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</si>
  <si>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</si>
  <si>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</si>
  <si>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</si>
  <si>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</si>
  <si>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</si>
  <si>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</si>
  <si>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</si>
  <si>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</si>
  <si>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</si>
  <si>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</si>
  <si>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</si>
  <si>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</si>
  <si>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</si>
  <si>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</si>
  <si>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</si>
  <si>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</si>
  <si>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</si>
  <si>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</si>
  <si>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</si>
  <si>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</si>
  <si>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</si>
  <si>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</si>
  <si>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</si>
  <si>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</si>
  <si>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</si>
  <si>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</si>
  <si>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</si>
  <si>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</si>
  <si>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</si>
  <si>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</si>
  <si>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</si>
  <si>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</si>
  <si>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</si>
  <si>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</si>
  <si>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</si>
  <si>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</si>
  <si>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</si>
  <si>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</si>
  <si>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</si>
  <si>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</si>
  <si>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</si>
  <si>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</si>
  <si>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</si>
  <si>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</si>
  <si>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</si>
  <si>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</si>
  <si>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</si>
  <si>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</si>
  <si>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</si>
  <si>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</si>
  <si>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</si>
  <si>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</si>
  <si>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</si>
  <si>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</si>
  <si>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</si>
  <si>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</si>
  <si>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</si>
  <si>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</si>
  <si>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</si>
  <si>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</si>
  <si>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</si>
  <si>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</si>
  <si>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</si>
  <si>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</si>
  <si>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</si>
  <si>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</si>
  <si>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</si>
  <si>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</si>
  <si>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</si>
  <si>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</si>
  <si>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</si>
  <si>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</si>
  <si>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</si>
  <si>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</si>
  <si>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</si>
  <si>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</si>
  <si>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</si>
  <si>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</si>
  <si>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</si>
  <si>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</si>
  <si>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</si>
  <si>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</si>
  <si>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</si>
  <si>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</si>
  <si>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</si>
  <si>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</si>
  <si>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</si>
  <si>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</si>
  <si>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</si>
  <si>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</si>
  <si>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</si>
  <si>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</si>
  <si>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</si>
  <si>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</si>
  <si>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</si>
  <si>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</si>
  <si>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</si>
  <si>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</si>
  <si>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</si>
  <si>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</si>
  <si>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</si>
  <si>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</si>
  <si>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</si>
  <si>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</si>
  <si>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</si>
  <si>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</si>
  <si>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</si>
  <si>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</si>
  <si>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</si>
  <si>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</si>
  <si>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</si>
  <si>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</si>
  <si>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</si>
  <si>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</si>
  <si>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</si>
  <si>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</si>
  <si>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</si>
  <si>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</si>
  <si>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</si>
  <si>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</si>
  <si>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</si>
  <si>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</si>
  <si>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</si>
  <si>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</si>
  <si>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</si>
  <si>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</si>
  <si>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</si>
  <si>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</si>
  <si>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</si>
  <si>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</si>
  <si>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</si>
  <si>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</si>
  <si>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</si>
  <si>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</si>
  <si>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</si>
  <si>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</si>
  <si>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</si>
  <si>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</si>
  <si>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</si>
  <si>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</si>
  <si>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</si>
  <si>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</si>
  <si>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</si>
  <si>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</si>
  <si>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</si>
  <si>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</si>
  <si>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</si>
  <si>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</si>
  <si>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</si>
  <si>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</si>
  <si>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</si>
  <si>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</si>
  <si>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</si>
  <si>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</si>
  <si>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</si>
  <si>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</si>
  <si>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</si>
  <si>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</si>
  <si>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</si>
  <si>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</si>
  <si>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</si>
  <si>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</si>
  <si>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</si>
  <si>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</si>
  <si>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</si>
  <si>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</si>
  <si>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</si>
  <si>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</si>
  <si>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</si>
  <si>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</si>
  <si>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</si>
  <si>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</si>
  <si>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</si>
  <si>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</si>
  <si>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</si>
  <si>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</si>
  <si>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</si>
  <si>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</si>
  <si>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</si>
  <si>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</si>
  <si>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</si>
  <si>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</si>
  <si>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</si>
  <si>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</si>
  <si>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</si>
  <si>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</si>
  <si>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</si>
  <si>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</si>
  <si>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</si>
  <si>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</si>
  <si>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</si>
  <si>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</si>
  <si>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</si>
  <si>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</si>
  <si>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</si>
  <si>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</si>
  <si>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</si>
  <si>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</si>
  <si>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</si>
  <si>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</si>
  <si>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</si>
  <si>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</si>
  <si>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</si>
  <si>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</si>
  <si>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</si>
  <si>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</si>
  <si>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</si>
  <si>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</si>
  <si>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</si>
  <si>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</si>
  <si>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</si>
  <si>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</si>
  <si>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</si>
  <si>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</si>
  <si>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</si>
  <si>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</si>
  <si>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</si>
  <si>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</si>
  <si>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</si>
  <si>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</si>
  <si>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</si>
  <si>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</si>
  <si>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</si>
  <si>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</si>
  <si>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</si>
  <si>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</si>
  <si>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</si>
  <si>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</si>
  <si>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</si>
  <si>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</si>
  <si>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</si>
  <si>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</si>
  <si>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</si>
  <si>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</si>
  <si>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</si>
  <si>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</si>
  <si>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</si>
  <si>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</si>
  <si>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</si>
  <si>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</si>
  <si>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</si>
  <si>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</si>
  <si>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</si>
  <si>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</si>
  <si>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</si>
  <si>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</si>
  <si>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</si>
  <si>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</si>
  <si>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</si>
  <si>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</si>
  <si>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</si>
  <si>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</si>
  <si>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</si>
  <si>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</si>
  <si>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</si>
  <si>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</si>
  <si>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</si>
  <si>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</si>
  <si>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</si>
  <si>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</si>
  <si>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</si>
  <si>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</si>
  <si>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</si>
  <si>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</si>
  <si>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</si>
  <si>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</si>
  <si>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</si>
  <si>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</si>
  <si>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</si>
  <si>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</si>
  <si>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x</t>
  </si>
  <si>
    <t>Tighe, Kress, &amp; Orr, P.C.</t>
  </si>
  <si>
    <t>Cynthia Petschke</t>
  </si>
  <si>
    <t>McHenry County</t>
  </si>
  <si>
    <t>One South Virginia Avenue</t>
  </si>
  <si>
    <t>Crystal Lake</t>
  </si>
  <si>
    <t>2001 Larkin Ave, Suite 202</t>
  </si>
  <si>
    <t>Elgin</t>
  </si>
  <si>
    <t>IL</t>
  </si>
  <si>
    <t>847-695-2700</t>
  </si>
  <si>
    <t>847-695-2748</t>
  </si>
  <si>
    <t>065-036379</t>
  </si>
  <si>
    <t>Cynthia.Petschke@tkocpa.com</t>
  </si>
  <si>
    <t>Steve Olson</t>
  </si>
  <si>
    <t>solson@d155.org</t>
  </si>
  <si>
    <t>815-455-8500</t>
  </si>
  <si>
    <t>Tighe, Kress &amp; Orr, P.C.</t>
  </si>
  <si>
    <t>Other Post Employment Benefits</t>
  </si>
  <si>
    <t>Life Safety Bonds, Series 2014 B</t>
  </si>
  <si>
    <t>Limited School Bonds, Series 2015</t>
  </si>
  <si>
    <t>Net Pension Liability</t>
  </si>
  <si>
    <t>Net OPEB Obligation</t>
  </si>
  <si>
    <t>SEDOM - McHenry County (Spec. ed. District of McHenry)</t>
  </si>
  <si>
    <t>TJA - Transportation Joint Agreement - D47 and D155</t>
  </si>
  <si>
    <t>Audit Question D, Unable to get OK to show up due to what looks like formula error.</t>
  </si>
  <si>
    <t>Asset 190 - Flex deposit and other assets</t>
  </si>
  <si>
    <t>Revenue 1719 - Other entry fees</t>
  </si>
  <si>
    <t>Revenue 1890 - Student textbook fines</t>
  </si>
  <si>
    <t>Revenue 1993 - Other local grants</t>
  </si>
  <si>
    <t>Revenue 1999 - Educational - Contributions from employees for medical/dental insurance premiums, Preschool fees</t>
  </si>
  <si>
    <t>Revenue 1999 - Operations and Maintenance - Scrap deposits and other local revenue</t>
  </si>
  <si>
    <t>Revenue 1999 - Capital Projects - Other Local Revenue</t>
  </si>
  <si>
    <t>Revenue 4299 - Educational - Non Cash Commodities</t>
  </si>
  <si>
    <t>Revenue 4799 - CTE Perkins - Secondary</t>
  </si>
  <si>
    <t>Revenue 4999 - STEP - Department of Rehab</t>
  </si>
  <si>
    <t>Expenditure 2490 - Other building administrative expenditures</t>
  </si>
  <si>
    <t>Expenditure 4190 - Security payments to other local government units</t>
  </si>
  <si>
    <t>Expenditure 5400 - Debt service fees</t>
  </si>
  <si>
    <t>Short Term and Long Term Debt - Activity in Line 35 Column G is for Changes in Net Pension Liability.</t>
  </si>
  <si>
    <t>Commodities</t>
  </si>
  <si>
    <t>Unmodified</t>
  </si>
  <si>
    <t>84.027A</t>
  </si>
  <si>
    <t>Food Commodities - Department of Defense Fresh Fruit &amp; Vegeatables (noncash)</t>
  </si>
  <si>
    <t>Commodities (noncash)</t>
  </si>
  <si>
    <t>IDEA Room and Board</t>
  </si>
  <si>
    <t>IDEA Flow Through</t>
  </si>
  <si>
    <t>None</t>
  </si>
  <si>
    <t>Rounding</t>
  </si>
  <si>
    <t>Community High School District 155</t>
  </si>
  <si>
    <t>Schedule of Expenditures of Federal Awards</t>
  </si>
  <si>
    <r>
      <t>Expenditure/Disbursements</t>
    </r>
    <r>
      <rPr>
        <b/>
        <vertAlign val="superscript"/>
        <sz val="8"/>
        <rFont val="Arial"/>
        <family val="2"/>
      </rPr>
      <t>4</t>
    </r>
  </si>
  <si>
    <t>Federal Grantor/Pass-Through Grantor/</t>
  </si>
  <si>
    <r>
      <t>Number</t>
    </r>
    <r>
      <rPr>
        <b/>
        <vertAlign val="superscript"/>
        <sz val="9"/>
        <rFont val="Arial"/>
        <family val="2"/>
      </rPr>
      <t>2</t>
    </r>
  </si>
  <si>
    <t>or Contract #3</t>
  </si>
  <si>
    <t>U.S Department of Agriculture</t>
  </si>
  <si>
    <t>Flow Through Illinois Department of Education</t>
  </si>
  <si>
    <t xml:space="preserve">  National School Lunch</t>
  </si>
  <si>
    <t>17-4210-00</t>
  </si>
  <si>
    <t>N/A</t>
  </si>
  <si>
    <t>18-4210-00</t>
  </si>
  <si>
    <t xml:space="preserve">  School Breakfast Program</t>
  </si>
  <si>
    <t>18-4220-00</t>
  </si>
  <si>
    <t xml:space="preserve">  Food Commodities - Department of Defense Fresh Fruit &amp; Vegetables</t>
  </si>
  <si>
    <t>18-4250-00</t>
  </si>
  <si>
    <t xml:space="preserve">  Commodities</t>
  </si>
  <si>
    <t>18-4299-00</t>
  </si>
  <si>
    <t>Total U.S. Department of Agriculture</t>
  </si>
  <si>
    <t>U.S. Department of Education</t>
  </si>
  <si>
    <t xml:space="preserve">  IDEA Room &amp; Board</t>
  </si>
  <si>
    <t>17-4625-00</t>
  </si>
  <si>
    <t>18-4625-00</t>
  </si>
  <si>
    <t xml:space="preserve">  Title I - Low Income</t>
  </si>
  <si>
    <t>84.010A</t>
  </si>
  <si>
    <t>18-4300-00</t>
  </si>
  <si>
    <t xml:space="preserve">  Title II - Teacher Quality</t>
  </si>
  <si>
    <t>84.367A</t>
  </si>
  <si>
    <t>17-4932-00</t>
  </si>
  <si>
    <t>18-4932-00</t>
  </si>
  <si>
    <t xml:space="preserve">  Title IV - Student Support &amp; Academic Enrichment</t>
  </si>
  <si>
    <t>18-4400-00</t>
  </si>
  <si>
    <r>
      <t xml:space="preserve">    </t>
    </r>
    <r>
      <rPr>
        <b/>
        <sz val="8"/>
        <rFont val="Arial"/>
        <family val="2"/>
      </rPr>
      <t>Total Flow Through Illinois Department of Education</t>
    </r>
  </si>
  <si>
    <t>Flow Through McHenry County Cooperative for Employment Education</t>
  </si>
  <si>
    <t xml:space="preserve">  CTE - Perkins - Secondary</t>
  </si>
  <si>
    <t>84.048A</t>
  </si>
  <si>
    <t>17-4905-00</t>
  </si>
  <si>
    <t>18-4905-00</t>
  </si>
  <si>
    <r>
      <t xml:space="preserve">    </t>
    </r>
    <r>
      <rPr>
        <b/>
        <sz val="8"/>
        <rFont val="Arial"/>
        <family val="2"/>
      </rPr>
      <t>Total Flow Through McHenry County Cooperative for Employment Education</t>
    </r>
  </si>
  <si>
    <t>Flow Through Special Education District of McHenry County</t>
  </si>
  <si>
    <t xml:space="preserve">  IDEA Flow Through</t>
  </si>
  <si>
    <t>17-4620-00</t>
  </si>
  <si>
    <t>18-4620-00</t>
  </si>
  <si>
    <r>
      <t xml:space="preserve">    </t>
    </r>
    <r>
      <rPr>
        <b/>
        <sz val="8"/>
        <rFont val="Arial"/>
        <family val="2"/>
      </rPr>
      <t>Total Flow Through Special Education District of McHenry County</t>
    </r>
  </si>
  <si>
    <t>Flow Through Department of Human Services</t>
  </si>
  <si>
    <t xml:space="preserve">  STEP</t>
  </si>
  <si>
    <t>18-4321-00</t>
  </si>
  <si>
    <t>Total U.S. Department of Education</t>
  </si>
  <si>
    <t>Department of Health and Human Services</t>
  </si>
  <si>
    <t>Flow Through Illinois Department of Healthcare and Family Services</t>
  </si>
  <si>
    <t xml:space="preserve">  Medicaid Administrative Outreach</t>
  </si>
  <si>
    <t>14-4900-00</t>
  </si>
  <si>
    <t>18-4900-00</t>
  </si>
  <si>
    <t>Total Flow Through Illinois Department of Healthcare and Family Services</t>
  </si>
  <si>
    <t>Total Department of Health and Human Services</t>
  </si>
  <si>
    <t>Total Schedule of Expenditures of Federal Awards</t>
  </si>
  <si>
    <t>Net pension Liability</t>
  </si>
  <si>
    <t>Revenue 1690 - Food service rebates</t>
  </si>
  <si>
    <t>Revenue 1790 - Educational - Miscellaneous activity fund receipts, library fines, technology fees and Chromebook buyout</t>
  </si>
  <si>
    <t>Revenue 1790 - Operations and Maintenance - Student activity receipts</t>
  </si>
  <si>
    <t>Food Commodities - Department of Defense</t>
  </si>
  <si>
    <t>Revenue 3999 - State library grant and other state revenue</t>
  </si>
  <si>
    <r>
      <t xml:space="preserve">The accompanying Schedule of Expenditures of Federal Awards includes the federal grant activity of </t>
    </r>
    <r>
      <rPr>
        <b/>
        <sz val="9"/>
        <rFont val="Calibri"/>
        <family val="2"/>
        <scheme val="minor"/>
      </rPr>
      <t xml:space="preserve">Community High School District No. 155 </t>
    </r>
    <r>
      <rPr>
        <sz val="9"/>
        <rFont val="Calibri"/>
        <family val="2"/>
        <scheme val="minor"/>
      </rPr>
      <t>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</si>
  <si>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Community High School District No. 155 provided federal awards to subrecipients as follows:</t>
  </si>
  <si>
    <r>
      <t xml:space="preserve">The following amounts were expended in the form of non-cash assistance by </t>
    </r>
    <r>
      <rPr>
        <b/>
        <sz val="9"/>
        <rFont val="Calibri"/>
        <family val="2"/>
        <scheme val="minor"/>
      </rPr>
      <t>Community High School District No. 155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</si>
  <si>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Education-Instruction</t>
  </si>
  <si>
    <t>Alexander Leigh Center for Autism</t>
  </si>
  <si>
    <t>10-1000-300</t>
  </si>
  <si>
    <t>Alexian Brothers Behavioral Health Resources</t>
  </si>
  <si>
    <t>20-2540-400</t>
  </si>
  <si>
    <t>Cabay &amp; Company</t>
  </si>
  <si>
    <t>Camelot Therapeutic School</t>
  </si>
  <si>
    <t>Centegra Sports Care</t>
  </si>
  <si>
    <t>Centerpoint Energy Service</t>
  </si>
  <si>
    <t>Education-Instruction Staff</t>
  </si>
  <si>
    <t>10-2200-400</t>
  </si>
  <si>
    <t>College Board</t>
  </si>
  <si>
    <t>Connections Day School</t>
  </si>
  <si>
    <t>10-2200-300</t>
  </si>
  <si>
    <t>ECRA Group Incorporated</t>
  </si>
  <si>
    <t>FlexPrint LLC Managed Techology Service</t>
  </si>
  <si>
    <t>FlexPrint, LLC</t>
  </si>
  <si>
    <t>20-2540-300</t>
  </si>
  <si>
    <t>Geske And Sons Inc</t>
  </si>
  <si>
    <t>Greve Construction Inc.</t>
  </si>
  <si>
    <t>Heartspring</t>
  </si>
  <si>
    <t>Education-Instruction-General Admin</t>
  </si>
  <si>
    <t>10-2300-300</t>
  </si>
  <si>
    <t>Hodges-Loizzi-Eisenhammer Rodick &amp; Kohn</t>
  </si>
  <si>
    <t>Mid American Energy Co</t>
  </si>
  <si>
    <t>10-1000-400</t>
  </si>
  <si>
    <t>Midland Paper</t>
  </si>
  <si>
    <t>New Connections Academy</t>
  </si>
  <si>
    <t>Education-Fiscal Services</t>
  </si>
  <si>
    <t>10-2520-300</t>
  </si>
  <si>
    <t>Revtrak Inc</t>
  </si>
  <si>
    <t>Sage YMCA of Metropolitan Chicago</t>
  </si>
  <si>
    <t>40-2550-300</t>
  </si>
  <si>
    <t>Schoolbells Transportation</t>
  </si>
  <si>
    <t>Seal Of Illinois</t>
  </si>
  <si>
    <t>Service-Centered Operations Support, Inc</t>
  </si>
  <si>
    <t>Education-Data Processing Services</t>
  </si>
  <si>
    <t>10-2660-300</t>
  </si>
  <si>
    <t>Single Path, LLC</t>
  </si>
  <si>
    <t>10-2660-400</t>
  </si>
  <si>
    <t>Skyward Account Dept.</t>
  </si>
  <si>
    <t>Food Service</t>
  </si>
  <si>
    <t>10-2560-300</t>
  </si>
  <si>
    <t>Sodexo Inc &amp; Affiliates</t>
  </si>
  <si>
    <t>Tighe, Kress &amp; Orr</t>
  </si>
  <si>
    <t>Transportation Joint Agreement</t>
  </si>
  <si>
    <t>10-2520-400</t>
  </si>
  <si>
    <t>Tyler Technologies, Inc.</t>
  </si>
  <si>
    <t>U.S. Security Associates, Inc.</t>
  </si>
  <si>
    <t>Verizon Wireless</t>
  </si>
  <si>
    <t>Youth Care of Utah</t>
  </si>
  <si>
    <t>Short Term and Long Term Debt - Activity in Line 31 Column G is for change in standards from GASB No. 75, affecting Net OPEB Liability.</t>
  </si>
  <si>
    <t>CHSD 155 Crystal Lake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</si>
</sst>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11"/>
      <name val="Arial"/>
      <family val="2"/>
    </font>
    <font>
      <b/>
      <vertAlign val="superscript"/>
      <sz val="8"/>
      <name val="Arial"/>
      <family val="2"/>
    </font>
    <font>
      <b/>
      <vertAlign val="superscript"/>
      <sz val="9"/>
      <name val="Arial"/>
      <family val="2"/>
    </font>
    <font>
      <i/>
      <sz val="1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style="thin">
        <color indexed="64"/>
      </bottom>
      <diagonal/>
    </border>
    <border>
      <left style="thin">
        <color indexed="64"/>
      </left>
      <right style="thin">
        <color theme="1" tint="0.34998626667073579"/>
      </right>
      <top/>
      <bottom style="thin">
        <color indexed="64"/>
      </bottom>
      <diagonal/>
    </border>
    <border>
      <left style="thin">
        <color indexed="22"/>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indexed="64"/>
      </bottom>
      <diagonal/>
    </border>
    <border>
      <left style="thin">
        <color indexed="64"/>
      </left>
      <right style="thin">
        <color indexed="64"/>
      </right>
      <top/>
      <bottom/>
      <diagonal/>
    </border>
  </borders>
  <cellStyleXfs count="3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257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0" fontId="0" fillId="0" borderId="0" xfId="0"/>
    <xf numFmtId="0" fontId="9" fillId="0" borderId="0" xfId="0" applyFont="1"/>
    <xf numFmtId="0" fontId="9" fillId="0" borderId="0" xfId="3" applyFill="1" applyProtection="1"/>
    <xf numFmtId="0" fontId="137" fillId="0" borderId="0" xfId="3" applyFont="1" applyFill="1" applyAlignment="1" applyProtection="1">
      <alignment horizontal="center" vertical="center"/>
    </xf>
    <xf numFmtId="169" fontId="9" fillId="0" borderId="0" xfId="3" applyNumberFormat="1" applyFill="1" applyProtection="1"/>
    <xf numFmtId="1" fontId="9" fillId="0" borderId="0" xfId="3" applyNumberFormat="1" applyFill="1" applyProtection="1"/>
    <xf numFmtId="0" fontId="9" fillId="0" borderId="0" xfId="3" applyFill="1" applyAlignment="1" applyProtection="1">
      <alignment horizontal="center"/>
    </xf>
    <xf numFmtId="0" fontId="9" fillId="0" borderId="45" xfId="3" applyFill="1" applyBorder="1" applyProtection="1"/>
    <xf numFmtId="169" fontId="11" fillId="0" borderId="45" xfId="3" applyNumberFormat="1" applyFont="1" applyFill="1" applyBorder="1" applyAlignment="1" applyProtection="1">
      <alignment horizontal="center"/>
    </xf>
    <xf numFmtId="1" fontId="11" fillId="0" borderId="146" xfId="3" applyNumberFormat="1" applyFont="1" applyFill="1" applyBorder="1" applyAlignment="1" applyProtection="1">
      <alignment horizontal="center"/>
    </xf>
    <xf numFmtId="0" fontId="11" fillId="0" borderId="145" xfId="3" applyFont="1" applyFill="1" applyBorder="1" applyAlignment="1" applyProtection="1">
      <alignment horizontal="centerContinuous"/>
    </xf>
    <xf numFmtId="0" fontId="11" fillId="0" borderId="146" xfId="3" applyFont="1" applyFill="1" applyBorder="1" applyAlignment="1" applyProtection="1">
      <alignment horizontal="centerContinuous"/>
    </xf>
    <xf numFmtId="0" fontId="11" fillId="0" borderId="73" xfId="3" applyFont="1" applyFill="1" applyBorder="1" applyAlignment="1" applyProtection="1">
      <alignment horizontal="centerContinuous"/>
    </xf>
    <xf numFmtId="0" fontId="11" fillId="0" borderId="45" xfId="3" applyFont="1" applyFill="1" applyBorder="1" applyAlignment="1" applyProtection="1">
      <alignment horizontal="center"/>
    </xf>
    <xf numFmtId="0" fontId="11" fillId="0" borderId="146" xfId="3" applyFont="1" applyFill="1" applyBorder="1" applyAlignment="1" applyProtection="1">
      <alignment horizontal="center"/>
    </xf>
    <xf numFmtId="0" fontId="11" fillId="0" borderId="5" xfId="3" applyFont="1" applyFill="1" applyBorder="1" applyAlignment="1" applyProtection="1">
      <alignment horizontal="left" indent="1"/>
    </xf>
    <xf numFmtId="169" fontId="11" fillId="0" borderId="44" xfId="3" applyNumberFormat="1" applyFont="1" applyFill="1" applyBorder="1" applyAlignment="1" applyProtection="1">
      <alignment horizontal="center"/>
    </xf>
    <xf numFmtId="1" fontId="11" fillId="0" borderId="40" xfId="3" applyNumberFormat="1" applyFont="1" applyFill="1" applyBorder="1" applyAlignment="1" applyProtection="1">
      <alignment horizontal="center"/>
    </xf>
    <xf numFmtId="0" fontId="11" fillId="0" borderId="44" xfId="3" applyFont="1" applyFill="1" applyBorder="1" applyAlignment="1" applyProtection="1">
      <alignment horizontal="center"/>
    </xf>
    <xf numFmtId="0" fontId="11" fillId="0" borderId="40" xfId="3" applyFont="1" applyFill="1" applyBorder="1" applyAlignment="1" applyProtection="1">
      <alignment horizontal="center"/>
    </xf>
    <xf numFmtId="0" fontId="11" fillId="0" borderId="5" xfId="3" applyFont="1" applyFill="1" applyBorder="1" applyAlignment="1" applyProtection="1">
      <alignment horizontal="center"/>
    </xf>
    <xf numFmtId="0" fontId="11" fillId="0" borderId="72" xfId="3" applyFont="1" applyFill="1" applyBorder="1" applyAlignment="1" applyProtection="1">
      <alignment horizontal="center"/>
    </xf>
    <xf numFmtId="0" fontId="11" fillId="0" borderId="71" xfId="3" applyFont="1" applyFill="1" applyBorder="1" applyAlignment="1" applyProtection="1">
      <alignment horizontal="left" indent="1"/>
    </xf>
    <xf numFmtId="169" fontId="11" fillId="0" borderId="8" xfId="3" applyNumberFormat="1" applyFont="1" applyFill="1" applyBorder="1" applyAlignment="1" applyProtection="1">
      <alignment horizontal="center"/>
    </xf>
    <xf numFmtId="1" fontId="11" fillId="0" borderId="59" xfId="3" applyNumberFormat="1" applyFont="1" applyFill="1" applyBorder="1" applyAlignment="1" applyProtection="1">
      <alignment horizontal="center"/>
    </xf>
    <xf numFmtId="0" fontId="11" fillId="0" borderId="8" xfId="3" applyFont="1" applyFill="1" applyBorder="1" applyAlignment="1" applyProtection="1">
      <alignment horizontal="center"/>
    </xf>
    <xf numFmtId="0" fontId="11" fillId="0" borderId="59" xfId="3" applyFont="1" applyFill="1" applyBorder="1" applyAlignment="1" applyProtection="1">
      <alignment horizontal="center"/>
    </xf>
    <xf numFmtId="0" fontId="11" fillId="0" borderId="50" xfId="3" applyFont="1" applyFill="1" applyBorder="1" applyAlignment="1" applyProtection="1">
      <alignment horizontal="center"/>
    </xf>
    <xf numFmtId="0" fontId="11" fillId="0" borderId="70" xfId="3" applyFont="1" applyFill="1" applyBorder="1" applyAlignment="1" applyProtection="1">
      <alignment horizontal="center"/>
    </xf>
    <xf numFmtId="3" fontId="11" fillId="0" borderId="22" xfId="3" applyNumberFormat="1" applyFont="1" applyFill="1" applyBorder="1" applyAlignment="1" applyProtection="1">
      <alignment horizontal="left" vertical="center" wrapText="1"/>
      <protection locked="0"/>
    </xf>
    <xf numFmtId="169" fontId="10" fillId="0" borderId="8" xfId="3" applyNumberFormat="1" applyFont="1" applyFill="1" applyBorder="1" applyAlignment="1" applyProtection="1">
      <alignment horizontal="center"/>
      <protection locked="0"/>
    </xf>
    <xf numFmtId="1" fontId="10" fillId="0" borderId="8" xfId="3" applyNumberFormat="1" applyFont="1" applyFill="1" applyBorder="1" applyAlignment="1" applyProtection="1">
      <alignment horizontal="center"/>
      <protection locked="0"/>
    </xf>
    <xf numFmtId="3" fontId="10" fillId="0" borderId="8" xfId="3" applyNumberFormat="1" applyFont="1" applyFill="1" applyBorder="1" applyAlignment="1" applyProtection="1">
      <alignment horizontal="center"/>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0" fontId="9" fillId="0" borderId="0" xfId="3" applyFill="1" applyAlignment="1" applyProtection="1">
      <alignment textRotation="180" wrapText="1"/>
    </xf>
    <xf numFmtId="3" fontId="10" fillId="0" borderId="22" xfId="3" applyNumberFormat="1" applyFont="1" applyFill="1" applyBorder="1" applyAlignment="1" applyProtection="1">
      <alignment horizontal="left" vertical="center"/>
      <protection locked="0"/>
    </xf>
    <xf numFmtId="3" fontId="11" fillId="0" borderId="22" xfId="3" applyNumberFormat="1" applyFont="1" applyBorder="1" applyAlignment="1" applyProtection="1">
      <alignment horizontal="left" vertical="center" wrapText="1"/>
      <protection locked="0"/>
    </xf>
    <xf numFmtId="169"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0" fontId="126" fillId="0" borderId="166" xfId="22" applyFont="1" applyBorder="1" applyAlignment="1" applyProtection="1">
      <alignment horizontal="left"/>
      <protection locked="0"/>
    </xf>
    <xf numFmtId="0" fontId="140" fillId="0" borderId="170" xfId="22" applyFont="1" applyBorder="1" applyAlignment="1"/>
    <xf numFmtId="0" fontId="140" fillId="0" borderId="77" xfId="22" applyFont="1" applyBorder="1" applyAlignment="1"/>
    <xf numFmtId="0" fontId="140" fillId="0" borderId="157" xfId="22" applyFont="1" applyBorder="1" applyAlignment="1"/>
    <xf numFmtId="0" fontId="126" fillId="0" borderId="77" xfId="23" applyFont="1" applyBorder="1" applyAlignment="1" applyProtection="1">
      <alignment horizontal="left" vertical="top" wrapText="1"/>
      <protection locked="0"/>
    </xf>
    <xf numFmtId="0" fontId="126" fillId="0" borderId="166" xfId="22" applyFont="1" applyBorder="1" applyAlignment="1">
      <alignment horizontal="left"/>
    </xf>
    <xf numFmtId="0" fontId="126" fillId="0" borderId="171" xfId="22" applyFont="1" applyBorder="1" applyAlignment="1">
      <alignment horizontal="left"/>
    </xf>
    <xf numFmtId="0" fontId="126" fillId="0" borderId="172" xfId="22" applyFont="1" applyBorder="1" applyAlignment="1">
      <alignment horizontal="left"/>
    </xf>
    <xf numFmtId="0" fontId="126" fillId="0" borderId="77" xfId="22" applyFont="1" applyFill="1" applyBorder="1" applyAlignment="1">
      <alignment horizontal="left"/>
    </xf>
    <xf numFmtId="0" fontId="126" fillId="0" borderId="77" xfId="22" applyFont="1" applyBorder="1" applyAlignment="1">
      <alignment horizontal="left"/>
    </xf>
    <xf numFmtId="0" fontId="126" fillId="0" borderId="157" xfId="22" applyFont="1" applyBorder="1" applyAlignment="1">
      <alignment horizontal="left"/>
    </xf>
    <xf numFmtId="181" fontId="126" fillId="0" borderId="168" xfId="31" applyNumberFormat="1" applyFont="1" applyBorder="1" applyProtection="1">
      <protection locked="0"/>
    </xf>
    <xf numFmtId="49" fontId="126" fillId="0" borderId="167" xfId="22" applyNumberFormat="1" applyFont="1" applyBorder="1" applyAlignment="1" applyProtection="1">
      <alignment horizontal="center"/>
      <protection locked="0"/>
    </xf>
    <xf numFmtId="49" fontId="126" fillId="0" borderId="167" xfId="22" applyNumberFormat="1" applyFont="1" applyBorder="1" applyAlignment="1">
      <alignment horizontal="center"/>
    </xf>
    <xf numFmtId="49" fontId="126" fillId="0" borderId="171" xfId="22" applyNumberFormat="1" applyFont="1" applyBorder="1" applyAlignment="1">
      <alignment horizontal="center"/>
    </xf>
    <xf numFmtId="49" fontId="126" fillId="0" borderId="172" xfId="22" applyNumberFormat="1" applyFont="1" applyBorder="1" applyAlignment="1">
      <alignment horizontal="center"/>
    </xf>
    <xf numFmtId="49" fontId="126" fillId="0" borderId="77" xfId="22" applyNumberFormat="1" applyFont="1" applyBorder="1" applyAlignment="1">
      <alignment horizontal="center"/>
    </xf>
    <xf numFmtId="49" fontId="126" fillId="0" borderId="157" xfId="22" applyNumberFormat="1" applyFont="1" applyBorder="1" applyAlignment="1">
      <alignment horizontal="center"/>
    </xf>
    <xf numFmtId="49" fontId="126" fillId="0" borderId="77" xfId="23" applyNumberFormat="1" applyFont="1" applyBorder="1" applyAlignment="1" applyProtection="1">
      <alignment horizontal="center" vertical="center"/>
      <protection locked="0"/>
    </xf>
    <xf numFmtId="181" fontId="126" fillId="0" borderId="169" xfId="31" applyNumberFormat="1" applyFont="1" applyBorder="1"/>
    <xf numFmtId="181" fontId="126" fillId="0" borderId="77" xfId="31" applyNumberFormat="1" applyFont="1" applyBorder="1"/>
    <xf numFmtId="181" fontId="126" fillId="0" borderId="97" xfId="31" applyNumberFormat="1" applyFont="1" applyBorder="1"/>
    <xf numFmtId="181" fontId="126" fillId="0" borderId="77" xfId="31" applyNumberFormat="1" applyFont="1" applyFill="1" applyBorder="1"/>
    <xf numFmtId="181" fontId="126" fillId="0" borderId="157" xfId="31" applyNumberFormat="1" applyFont="1" applyBorder="1"/>
    <xf numFmtId="181" fontId="126" fillId="0" borderId="0" xfId="31" applyNumberFormat="1" applyFont="1"/>
    <xf numFmtId="43" fontId="126" fillId="0" borderId="0" xfId="31" applyFont="1"/>
    <xf numFmtId="0" fontId="126" fillId="0" borderId="167" xfId="22" applyFont="1" applyBorder="1" applyAlignment="1" applyProtection="1">
      <alignment horizontal="left"/>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56" fillId="0" borderId="68" xfId="3" applyFont="1" applyBorder="1" applyAlignment="1" applyProtection="1">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12" fillId="0" borderId="0" xfId="3" applyNumberFormat="1" applyFont="1" applyFill="1" applyAlignment="1" applyProtection="1">
      <alignment horizontal="center"/>
    </xf>
    <xf numFmtId="0" fontId="12" fillId="0" borderId="0" xfId="3" applyNumberFormat="1" applyFont="1" applyFill="1" applyAlignment="1">
      <alignment horizontal="center"/>
    </xf>
    <xf numFmtId="165" fontId="19" fillId="0" borderId="0" xfId="3" applyNumberFormat="1" applyFont="1" applyFill="1" applyAlignment="1" applyProtection="1">
      <alignment horizontal="center" vertical="center"/>
    </xf>
    <xf numFmtId="14" fontId="19" fillId="0" borderId="0" xfId="3" applyNumberFormat="1" applyFont="1" applyFill="1" applyAlignment="1" applyProtection="1">
      <alignment horizontal="center" vertical="center"/>
    </xf>
    <xf numFmtId="0" fontId="19" fillId="0" borderId="0" xfId="3" applyNumberFormat="1" applyFont="1" applyFill="1" applyAlignment="1" applyProtection="1">
      <alignment horizontal="center" vertical="center"/>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32">
    <cellStyle name="Comma" xfId="1" builtinId="3"/>
    <cellStyle name="Comma 2" xfId="31"/>
    <cellStyle name="Hyperlink" xfId="2" builtinId="8"/>
    <cellStyle name="Hyperlink 2" xfId="15"/>
    <cellStyle name="Normal" xfId="0" builtinId="0"/>
    <cellStyle name="Normal 2" xfId="3"/>
    <cellStyle name="Normal 3" xfId="4"/>
    <cellStyle name="Normal 3 2" xfId="14"/>
    <cellStyle name="Normal 3 2 2" xfId="18"/>
    <cellStyle name="Normal 3 2 2 2" xfId="26"/>
    <cellStyle name="Normal 3 2 3" xfId="20"/>
    <cellStyle name="Normal 3 2 3 2" xfId="27"/>
    <cellStyle name="Normal 3 2 4" xfId="25"/>
    <cellStyle name="Normal 3 3" xfId="19"/>
    <cellStyle name="Normal 3 3 2" xfId="28"/>
    <cellStyle name="Normal 3 4" xfId="24"/>
    <cellStyle name="Normal 4" xfId="16"/>
    <cellStyle name="Normal 4 2" xfId="21"/>
    <cellStyle name="Normal 4 2 2" xfId="30"/>
    <cellStyle name="Normal 4 3" xfId="29"/>
    <cellStyle name="Normal 5" xfId="17"/>
    <cellStyle name="Normal 5 2" xfId="23"/>
    <cellStyle name="Normal 6" xfId="22"/>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6</xdr:row>
          <xdr:rowOff>66675</xdr:rowOff>
        </xdr:from>
        <xdr:to>
          <xdr:col>1</xdr:col>
          <xdr:colOff>885825</xdr:colOff>
          <xdr:row>10</xdr:row>
          <xdr:rowOff>104775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952500</xdr:colOff>
          <xdr:row>6</xdr:row>
          <xdr:rowOff>66675</xdr:rowOff>
        </xdr:from>
        <xdr:to>
          <xdr:col>1</xdr:col>
          <xdr:colOff>1866900</xdr:colOff>
          <xdr:row>10</xdr:row>
          <xdr:rowOff>104775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70" t="s">
        <v>425</v>
      </c>
      <c r="J1" s="2071"/>
      <c r="K1" s="2071"/>
      <c r="L1" s="2071"/>
      <c r="M1" s="2071"/>
      <c r="N1" s="2071"/>
      <c r="O1" s="2071"/>
      <c r="P1" s="2071"/>
      <c r="Q1" s="2071"/>
      <c r="R1" s="2071"/>
      <c r="S1" s="2071"/>
    </row>
    <row r="2" spans="1:28" ht="12" customHeight="1" x14ac:dyDescent="0.2">
      <c r="A2" s="47" t="s">
        <v>1684</v>
      </c>
      <c r="D2" s="48"/>
      <c r="I2" s="2072" t="s">
        <v>1036</v>
      </c>
      <c r="J2" s="2071"/>
      <c r="K2" s="2071"/>
      <c r="L2" s="2071"/>
      <c r="M2" s="2071"/>
      <c r="N2" s="2071"/>
      <c r="O2" s="2071"/>
      <c r="P2" s="2071"/>
      <c r="Q2" s="2071"/>
      <c r="R2" s="2071"/>
      <c r="S2" s="2071"/>
    </row>
    <row r="3" spans="1:28" ht="12" customHeight="1" x14ac:dyDescent="0.2">
      <c r="A3" s="155" t="s">
        <v>1685</v>
      </c>
      <c r="B3" s="156"/>
      <c r="C3" s="156"/>
      <c r="D3" s="157"/>
      <c r="I3" s="2072" t="s">
        <v>54</v>
      </c>
      <c r="J3" s="2071"/>
      <c r="K3" s="2071"/>
      <c r="L3" s="2071"/>
      <c r="M3" s="2071"/>
      <c r="N3" s="2071"/>
      <c r="O3" s="2071"/>
      <c r="P3" s="2071"/>
      <c r="Q3" s="2071"/>
      <c r="R3" s="2071"/>
      <c r="S3" s="2071"/>
    </row>
    <row r="4" spans="1:28" ht="12" customHeight="1" x14ac:dyDescent="0.2">
      <c r="A4" s="37"/>
      <c r="I4" s="2072" t="s">
        <v>545</v>
      </c>
      <c r="J4" s="2071"/>
      <c r="K4" s="2071"/>
      <c r="L4" s="2071"/>
      <c r="M4" s="2071"/>
      <c r="N4" s="2071"/>
      <c r="O4" s="2071"/>
      <c r="P4" s="2071"/>
      <c r="Q4" s="2071"/>
      <c r="R4" s="2071"/>
      <c r="S4" s="2071"/>
    </row>
    <row r="5" spans="1:28" ht="14.1" customHeight="1" x14ac:dyDescent="0.2">
      <c r="B5" s="104" t="s">
        <v>2075</v>
      </c>
      <c r="C5" s="26" t="s">
        <v>966</v>
      </c>
      <c r="D5" s="84"/>
      <c r="E5" s="84"/>
      <c r="H5" s="38"/>
      <c r="I5" s="2080" t="s">
        <v>701</v>
      </c>
      <c r="J5" s="2079"/>
      <c r="K5" s="2079"/>
      <c r="L5" s="2079"/>
      <c r="M5" s="2079"/>
      <c r="N5" s="2079"/>
      <c r="O5" s="2079"/>
      <c r="P5" s="2079"/>
      <c r="Q5" s="2079"/>
      <c r="R5" s="2079"/>
      <c r="S5" s="2079"/>
    </row>
    <row r="6" spans="1:28" ht="14.1" customHeight="1" x14ac:dyDescent="0.2">
      <c r="B6" s="104"/>
      <c r="C6" s="26" t="s">
        <v>967</v>
      </c>
      <c r="D6" s="84"/>
      <c r="E6" s="84"/>
      <c r="I6" s="2078" t="s">
        <v>938</v>
      </c>
      <c r="J6" s="2079"/>
      <c r="K6" s="2079"/>
      <c r="L6" s="2079"/>
      <c r="M6" s="2079"/>
      <c r="N6" s="2079"/>
      <c r="O6" s="2079"/>
      <c r="P6" s="2079"/>
      <c r="Q6" s="2079"/>
      <c r="R6" s="2079"/>
      <c r="S6" s="2079"/>
    </row>
    <row r="7" spans="1:28" ht="12.2" customHeight="1" x14ac:dyDescent="0.2">
      <c r="I7" s="2073">
        <v>43281</v>
      </c>
      <c r="J7" s="2074"/>
      <c r="K7" s="2074"/>
      <c r="L7" s="2074"/>
      <c r="M7" s="2074"/>
      <c r="N7" s="2074"/>
      <c r="O7" s="2074"/>
      <c r="P7" s="2074"/>
      <c r="Q7" s="2074"/>
      <c r="R7" s="2074"/>
      <c r="S7" s="207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5" t="s">
        <v>695</v>
      </c>
      <c r="J9" s="2076"/>
      <c r="K9" s="2076"/>
      <c r="L9" s="2076"/>
      <c r="M9" s="2076"/>
      <c r="N9" s="2076"/>
      <c r="O9" s="2076"/>
      <c r="P9" s="2076"/>
      <c r="Q9" s="2076"/>
      <c r="R9" s="2076"/>
      <c r="S9" s="2077"/>
      <c r="T9" s="2091" t="s">
        <v>554</v>
      </c>
      <c r="U9" s="2092"/>
      <c r="V9" s="2092"/>
      <c r="W9" s="2092"/>
      <c r="X9" s="2092"/>
      <c r="Y9" s="2092"/>
      <c r="Z9" s="2092"/>
      <c r="AA9" s="2093"/>
    </row>
    <row r="10" spans="1:28" ht="13.5" customHeight="1" x14ac:dyDescent="0.2">
      <c r="A10" s="2098" t="s">
        <v>696</v>
      </c>
      <c r="B10" s="2099"/>
      <c r="C10" s="2099"/>
      <c r="D10" s="2099"/>
      <c r="E10" s="2099"/>
      <c r="F10" s="2099"/>
      <c r="G10" s="2099"/>
      <c r="H10" s="2100"/>
      <c r="I10" s="29"/>
      <c r="J10" s="30"/>
      <c r="K10" s="28"/>
      <c r="R10" s="30"/>
      <c r="S10" s="30"/>
      <c r="T10" s="2094"/>
      <c r="U10" s="2079"/>
      <c r="V10" s="2079"/>
      <c r="W10" s="2079"/>
      <c r="X10" s="2079"/>
      <c r="Y10" s="2079"/>
      <c r="Z10" s="2079"/>
      <c r="AA10" s="2085"/>
    </row>
    <row r="11" spans="1:28" ht="14.25" customHeight="1" x14ac:dyDescent="0.2">
      <c r="A11" s="2101" t="s">
        <v>1012</v>
      </c>
      <c r="B11" s="2102"/>
      <c r="C11" s="2102"/>
      <c r="D11" s="2102"/>
      <c r="E11" s="2102"/>
      <c r="F11" s="2102"/>
      <c r="G11" s="2102"/>
      <c r="H11" s="2103"/>
      <c r="I11" s="27"/>
      <c r="J11" s="74"/>
      <c r="K11" s="27"/>
      <c r="O11" s="148"/>
      <c r="P11" s="100" t="s">
        <v>210</v>
      </c>
      <c r="Q11" s="30"/>
      <c r="R11" s="28"/>
      <c r="S11" s="27"/>
      <c r="T11" s="2095"/>
      <c r="U11" s="2096"/>
      <c r="V11" s="2096"/>
      <c r="W11" s="2096"/>
      <c r="X11" s="2096"/>
      <c r="Y11" s="2096"/>
      <c r="Z11" s="2096"/>
      <c r="AA11" s="2097"/>
    </row>
    <row r="12" spans="1:28" ht="13.5" customHeight="1" x14ac:dyDescent="0.2">
      <c r="A12" s="85" t="s">
        <v>982</v>
      </c>
      <c r="B12" s="76"/>
      <c r="C12" s="76"/>
      <c r="D12" s="76"/>
      <c r="E12" s="76"/>
      <c r="F12" s="76"/>
      <c r="G12" s="76"/>
      <c r="H12" s="53"/>
      <c r="I12" s="29"/>
      <c r="J12" s="30"/>
      <c r="K12" s="28"/>
      <c r="O12" s="149" t="s">
        <v>2075</v>
      </c>
      <c r="P12" s="100" t="s">
        <v>211</v>
      </c>
      <c r="Q12" s="74"/>
      <c r="R12" s="30"/>
      <c r="S12" s="30"/>
      <c r="T12" s="85" t="s">
        <v>283</v>
      </c>
      <c r="U12" s="51"/>
      <c r="V12" s="51"/>
      <c r="W12" s="51"/>
      <c r="X12" s="51"/>
      <c r="Y12" s="45"/>
      <c r="Z12" s="45"/>
      <c r="AA12" s="46"/>
    </row>
    <row r="13" spans="1:28" ht="13.5" customHeight="1" x14ac:dyDescent="0.2">
      <c r="A13" s="2105">
        <v>44063155016</v>
      </c>
      <c r="B13" s="2106"/>
      <c r="C13" s="2106"/>
      <c r="D13" s="2106"/>
      <c r="E13" s="2106"/>
      <c r="F13" s="2106"/>
      <c r="G13" s="2106"/>
      <c r="H13" s="2107"/>
      <c r="I13" s="31"/>
      <c r="J13" s="30"/>
      <c r="K13" s="28"/>
      <c r="L13" s="30"/>
      <c r="M13" s="30"/>
      <c r="N13" s="30"/>
      <c r="O13" s="30"/>
      <c r="P13" s="30"/>
      <c r="Q13" s="30"/>
      <c r="R13" s="30"/>
      <c r="S13" s="30"/>
      <c r="T13" s="2110" t="s">
        <v>2076</v>
      </c>
      <c r="U13" s="2111"/>
      <c r="V13" s="2111"/>
      <c r="W13" s="2111"/>
      <c r="X13" s="2111"/>
      <c r="Y13" s="2112"/>
      <c r="Z13" s="2112"/>
      <c r="AA13" s="211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104" t="s">
        <v>2078</v>
      </c>
      <c r="B15" s="2108"/>
      <c r="C15" s="2108"/>
      <c r="D15" s="2108"/>
      <c r="E15" s="2108"/>
      <c r="F15" s="2108"/>
      <c r="G15" s="2108"/>
      <c r="H15" s="2109"/>
      <c r="T15" s="2114" t="s">
        <v>2077</v>
      </c>
      <c r="U15" s="2058"/>
      <c r="V15" s="2058"/>
      <c r="W15" s="2058"/>
      <c r="X15" s="2058"/>
      <c r="Y15" s="2115"/>
      <c r="Z15" s="2115"/>
      <c r="AA15" s="211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64" t="s">
        <v>2240</v>
      </c>
      <c r="B17" s="2065"/>
      <c r="C17" s="2065"/>
      <c r="D17" s="2065"/>
      <c r="E17" s="2065"/>
      <c r="F17" s="2065"/>
      <c r="G17" s="2065"/>
      <c r="H17" s="2090"/>
      <c r="T17" s="2121" t="s">
        <v>2081</v>
      </c>
      <c r="U17" s="2122"/>
      <c r="V17" s="2122"/>
      <c r="W17" s="2122"/>
      <c r="X17" s="2122"/>
      <c r="Y17" s="2122"/>
      <c r="Z17" s="2122"/>
      <c r="AA17" s="2123"/>
    </row>
    <row r="18" spans="1:27" ht="13.5" customHeight="1" x14ac:dyDescent="0.2">
      <c r="A18" s="85" t="s">
        <v>551</v>
      </c>
      <c r="B18" s="76"/>
      <c r="C18" s="72"/>
      <c r="D18" s="76"/>
      <c r="E18" s="76"/>
      <c r="F18" s="76"/>
      <c r="G18" s="76"/>
      <c r="H18" s="56"/>
      <c r="I18" s="2089" t="s">
        <v>697</v>
      </c>
      <c r="J18" s="2040"/>
      <c r="K18" s="2040"/>
      <c r="L18" s="2040"/>
      <c r="M18" s="2040"/>
      <c r="N18" s="2040"/>
      <c r="O18" s="2040"/>
      <c r="P18" s="2040"/>
      <c r="Q18" s="2040"/>
      <c r="R18" s="2040"/>
      <c r="S18" s="2041"/>
      <c r="T18" s="85" t="s">
        <v>735</v>
      </c>
      <c r="U18" s="51"/>
      <c r="V18" s="72"/>
      <c r="W18" s="50"/>
      <c r="X18" s="85" t="s">
        <v>284</v>
      </c>
      <c r="Y18" s="81"/>
      <c r="Z18" s="159" t="s">
        <v>698</v>
      </c>
      <c r="AA18" s="46"/>
    </row>
    <row r="19" spans="1:27" ht="13.5" customHeight="1" x14ac:dyDescent="0.2">
      <c r="A19" s="2104" t="s">
        <v>2079</v>
      </c>
      <c r="B19" s="2050"/>
      <c r="C19" s="2050"/>
      <c r="D19" s="2050"/>
      <c r="E19" s="2050"/>
      <c r="F19" s="2050"/>
      <c r="G19" s="2050"/>
      <c r="H19" s="2030"/>
      <c r="I19" s="30"/>
      <c r="J19" s="99"/>
      <c r="K19" s="40"/>
      <c r="L19" s="38"/>
      <c r="M19" s="112" t="s">
        <v>333</v>
      </c>
      <c r="P19" s="27"/>
      <c r="Q19" s="27"/>
      <c r="R19" s="27"/>
      <c r="S19" s="31"/>
      <c r="T19" s="2104" t="s">
        <v>2082</v>
      </c>
      <c r="U19" s="2029"/>
      <c r="V19" s="2029"/>
      <c r="W19" s="2030"/>
      <c r="X19" s="2119" t="s">
        <v>2083</v>
      </c>
      <c r="Y19" s="2120"/>
      <c r="Z19" s="2117">
        <v>60123</v>
      </c>
      <c r="AA19" s="211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28" t="s">
        <v>2080</v>
      </c>
      <c r="B21" s="2029"/>
      <c r="C21" s="2029"/>
      <c r="D21" s="2029"/>
      <c r="E21" s="2029"/>
      <c r="F21" s="2029"/>
      <c r="G21" s="2029"/>
      <c r="H21" s="2030"/>
      <c r="I21" s="2084" t="s">
        <v>699</v>
      </c>
      <c r="J21" s="2079"/>
      <c r="K21" s="2079"/>
      <c r="L21" s="2079"/>
      <c r="M21" s="2079"/>
      <c r="N21" s="2079"/>
      <c r="O21" s="2079"/>
      <c r="P21" s="2079"/>
      <c r="Q21" s="2079"/>
      <c r="R21" s="2079"/>
      <c r="S21" s="2085"/>
      <c r="T21" s="2128" t="s">
        <v>2084</v>
      </c>
      <c r="U21" s="2129"/>
      <c r="V21" s="2129"/>
      <c r="W21" s="2129"/>
      <c r="X21" s="2134" t="s">
        <v>2085</v>
      </c>
      <c r="Y21" s="2135"/>
      <c r="Z21" s="2135"/>
      <c r="AA21" s="2136"/>
    </row>
    <row r="22" spans="1:27" ht="13.5" customHeight="1" x14ac:dyDescent="0.2">
      <c r="A22" s="87" t="s">
        <v>552</v>
      </c>
      <c r="B22" s="59"/>
      <c r="C22" s="59"/>
      <c r="D22" s="59"/>
      <c r="E22" s="59"/>
      <c r="F22" s="59"/>
      <c r="G22" s="59"/>
      <c r="H22" s="60"/>
      <c r="I22" s="2086" t="s">
        <v>1504</v>
      </c>
      <c r="J22" s="2087"/>
      <c r="K22" s="2087"/>
      <c r="L22" s="2087"/>
      <c r="M22" s="2087"/>
      <c r="N22" s="2087"/>
      <c r="O22" s="2087"/>
      <c r="P22" s="2087"/>
      <c r="Q22" s="2087"/>
      <c r="R22" s="2087"/>
      <c r="S22" s="2088"/>
      <c r="T22" s="85" t="s">
        <v>1596</v>
      </c>
      <c r="U22" s="51"/>
      <c r="V22" s="72"/>
      <c r="W22" s="51"/>
      <c r="X22" s="160" t="s">
        <v>1385</v>
      </c>
      <c r="Z22" s="45"/>
      <c r="AA22" s="46"/>
    </row>
    <row r="23" spans="1:27" ht="13.5" customHeight="1" x14ac:dyDescent="0.2">
      <c r="A23" s="2081"/>
      <c r="B23" s="2082"/>
      <c r="C23" s="2082"/>
      <c r="D23" s="2082"/>
      <c r="E23" s="2082"/>
      <c r="F23" s="2082"/>
      <c r="G23" s="2082"/>
      <c r="H23" s="2083"/>
      <c r="T23" s="2064" t="s">
        <v>2086</v>
      </c>
      <c r="U23" s="2127"/>
      <c r="V23" s="2127"/>
      <c r="W23" s="2127"/>
      <c r="X23" s="2131">
        <v>44469</v>
      </c>
      <c r="Y23" s="2132"/>
      <c r="Z23" s="2132"/>
      <c r="AA23" s="2133"/>
    </row>
    <row r="24" spans="1:27" ht="14.1" customHeight="1" x14ac:dyDescent="0.2">
      <c r="A24" s="88" t="s">
        <v>698</v>
      </c>
      <c r="B24" s="49"/>
      <c r="C24" s="49"/>
      <c r="D24" s="49"/>
      <c r="E24" s="49"/>
      <c r="F24" s="49"/>
      <c r="G24" s="49"/>
      <c r="H24" s="61"/>
      <c r="J24" s="2051">
        <f>IF(B5="x",IF(AUDITCHECK!D29="AFR form Incomplete.","",IF(AUDITCHECK!D29="Deficit reduction plan is required.","School District must complete a deficit reduction plan in the 2018-2019 Budget",)),"")</f>
        <v>0</v>
      </c>
      <c r="K24" s="2051"/>
      <c r="L24" s="2051"/>
      <c r="M24" s="2051"/>
      <c r="N24" s="2051"/>
      <c r="O24" s="2051"/>
      <c r="P24" s="2051"/>
      <c r="Q24" s="2051"/>
      <c r="R24" s="2051"/>
      <c r="S24" s="2052"/>
      <c r="T24" s="105" t="s">
        <v>552</v>
      </c>
      <c r="U24" s="106"/>
      <c r="V24" s="106"/>
      <c r="W24" s="106"/>
      <c r="X24" s="107"/>
      <c r="Y24" s="107"/>
      <c r="Z24" s="107"/>
      <c r="AA24" s="108"/>
    </row>
    <row r="25" spans="1:27" ht="14.1" customHeight="1" x14ac:dyDescent="0.2">
      <c r="A25" s="2028">
        <v>60014</v>
      </c>
      <c r="B25" s="2029"/>
      <c r="C25" s="2029"/>
      <c r="D25" s="2029"/>
      <c r="E25" s="2029"/>
      <c r="F25" s="2029"/>
      <c r="G25" s="2029"/>
      <c r="H25" s="2030"/>
      <c r="I25" s="113"/>
      <c r="J25" s="2053"/>
      <c r="K25" s="2053"/>
      <c r="L25" s="2053"/>
      <c r="M25" s="2053"/>
      <c r="N25" s="2053"/>
      <c r="O25" s="2053"/>
      <c r="P25" s="2053"/>
      <c r="Q25" s="2053"/>
      <c r="R25" s="2053"/>
      <c r="S25" s="2054"/>
      <c r="T25" s="2124" t="s">
        <v>2087</v>
      </c>
      <c r="U25" s="2125"/>
      <c r="V25" s="2125"/>
      <c r="W25" s="2125"/>
      <c r="X25" s="2125"/>
      <c r="Y25" s="2125"/>
      <c r="Z25" s="2125"/>
      <c r="AA25" s="212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39" t="s">
        <v>1591</v>
      </c>
      <c r="J27" s="2040"/>
      <c r="K27" s="2040"/>
      <c r="L27" s="2040"/>
      <c r="M27" s="2040"/>
      <c r="N27" s="2040"/>
      <c r="O27" s="2040"/>
      <c r="P27" s="2040"/>
      <c r="Q27" s="2040"/>
      <c r="R27" s="2040"/>
      <c r="S27" s="204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2075</v>
      </c>
      <c r="F29" s="141" t="s">
        <v>1383</v>
      </c>
      <c r="G29" s="114"/>
      <c r="I29" s="54"/>
      <c r="J29" s="148" t="s">
        <v>2075</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2075</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2075</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50"/>
      <c r="Q35" s="2029"/>
      <c r="R35" s="202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64" t="s">
        <v>2088</v>
      </c>
      <c r="B38" s="2065"/>
      <c r="C38" s="2065"/>
      <c r="D38" s="2065"/>
      <c r="E38" s="2065"/>
      <c r="F38" s="2029"/>
      <c r="G38" s="2029"/>
      <c r="H38" s="2030"/>
      <c r="I38" s="2057"/>
      <c r="J38" s="2058"/>
      <c r="K38" s="2058"/>
      <c r="L38" s="2058"/>
      <c r="M38" s="2058"/>
      <c r="N38" s="2058"/>
      <c r="O38" s="2058"/>
      <c r="P38" s="2059"/>
      <c r="Q38" s="2059"/>
      <c r="R38" s="2059"/>
      <c r="S38" s="2060"/>
      <c r="T38" s="2114"/>
      <c r="U38" s="2058"/>
      <c r="V38" s="2058"/>
      <c r="W38" s="2058"/>
      <c r="X38" s="2059"/>
      <c r="Y38" s="2059"/>
      <c r="Z38" s="2059"/>
      <c r="AA38" s="2060"/>
    </row>
    <row r="39" spans="1:27" ht="12" customHeight="1" x14ac:dyDescent="0.2">
      <c r="A39" s="2034" t="s">
        <v>552</v>
      </c>
      <c r="B39" s="2035"/>
      <c r="C39" s="72"/>
      <c r="D39" s="69"/>
      <c r="E39" s="69"/>
      <c r="F39" s="79"/>
      <c r="G39" s="69"/>
      <c r="H39" s="56"/>
      <c r="I39" s="2034" t="s">
        <v>552</v>
      </c>
      <c r="J39" s="2035"/>
      <c r="K39" s="2035"/>
      <c r="L39" s="2035"/>
      <c r="M39" s="2035"/>
      <c r="N39" s="67"/>
      <c r="O39" s="72"/>
      <c r="P39" s="72"/>
      <c r="Q39" s="78"/>
      <c r="R39" s="72"/>
      <c r="S39" s="56"/>
      <c r="T39" s="72" t="s">
        <v>552</v>
      </c>
      <c r="U39" s="51"/>
      <c r="V39" s="72"/>
      <c r="W39" s="50"/>
      <c r="X39" s="78"/>
      <c r="Y39" s="45"/>
      <c r="Z39" s="45"/>
      <c r="AA39" s="46"/>
    </row>
    <row r="40" spans="1:27" ht="13.5" customHeight="1" x14ac:dyDescent="0.2">
      <c r="A40" s="2042" t="s">
        <v>2089</v>
      </c>
      <c r="B40" s="2043"/>
      <c r="C40" s="2044"/>
      <c r="D40" s="2044"/>
      <c r="E40" s="2044"/>
      <c r="F40" s="2045"/>
      <c r="G40" s="2045"/>
      <c r="H40" s="2046"/>
      <c r="I40" s="2067"/>
      <c r="J40" s="2068"/>
      <c r="K40" s="2068"/>
      <c r="L40" s="2068"/>
      <c r="M40" s="2068"/>
      <c r="N40" s="2068"/>
      <c r="O40" s="2068"/>
      <c r="P40" s="2068"/>
      <c r="Q40" s="2068"/>
      <c r="R40" s="2068"/>
      <c r="S40" s="2069"/>
      <c r="T40" s="2067"/>
      <c r="U40" s="2130"/>
      <c r="V40" s="2068"/>
      <c r="W40" s="2068"/>
      <c r="X40" s="2068"/>
      <c r="Y40" s="2068"/>
      <c r="Z40" s="2068"/>
      <c r="AA40" s="206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6" t="s">
        <v>2090</v>
      </c>
      <c r="B42" s="2048"/>
      <c r="C42" s="2049"/>
      <c r="D42" s="2047"/>
      <c r="E42" s="2048"/>
      <c r="F42" s="2048"/>
      <c r="G42" s="2048"/>
      <c r="H42" s="2049"/>
      <c r="I42" s="2031"/>
      <c r="J42" s="2032"/>
      <c r="K42" s="2032"/>
      <c r="L42" s="2032"/>
      <c r="M42" s="2032"/>
      <c r="N42" s="2032"/>
      <c r="O42" s="2033"/>
      <c r="P42" s="2066"/>
      <c r="Q42" s="2032"/>
      <c r="R42" s="2032"/>
      <c r="S42" s="2033"/>
      <c r="T42" s="2031"/>
      <c r="U42" s="2032"/>
      <c r="V42" s="2032"/>
      <c r="W42" s="2033"/>
      <c r="X42" s="2066"/>
      <c r="Y42" s="2032"/>
      <c r="Z42" s="2032"/>
      <c r="AA42" s="203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1"/>
      <c r="B44" s="2062"/>
      <c r="C44" s="2062"/>
      <c r="D44" s="2062"/>
      <c r="E44" s="2062"/>
      <c r="F44" s="2062"/>
      <c r="G44" s="2062"/>
      <c r="H44" s="2063"/>
      <c r="I44" s="2036"/>
      <c r="J44" s="2037"/>
      <c r="K44" s="2037"/>
      <c r="L44" s="2037"/>
      <c r="M44" s="2037"/>
      <c r="N44" s="2037"/>
      <c r="O44" s="2037"/>
      <c r="P44" s="2037"/>
      <c r="Q44" s="2037"/>
      <c r="R44" s="2037"/>
      <c r="S44" s="2038"/>
      <c r="T44" s="2036"/>
      <c r="U44" s="2055"/>
      <c r="V44" s="2055"/>
      <c r="W44" s="2055"/>
      <c r="X44" s="2055"/>
      <c r="Y44" s="2055"/>
      <c r="Z44" s="2037"/>
      <c r="AA44" s="203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D19" sqref="AD1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70" t="s">
        <v>1902</v>
      </c>
      <c r="B2" s="1550" t="s">
        <v>2032</v>
      </c>
      <c r="C2" s="715" t="s">
        <v>1907</v>
      </c>
      <c r="D2" s="715" t="s">
        <v>1908</v>
      </c>
      <c r="E2" s="715" t="s">
        <v>1909</v>
      </c>
      <c r="F2" s="715" t="s">
        <v>1910</v>
      </c>
    </row>
    <row r="3" spans="1:6" ht="12" customHeight="1" x14ac:dyDescent="0.2">
      <c r="A3" s="2271"/>
      <c r="B3" s="1547"/>
      <c r="C3" s="1548"/>
      <c r="D3" s="1549" t="s">
        <v>274</v>
      </c>
      <c r="E3" s="1548"/>
      <c r="F3" s="1549" t="s">
        <v>275</v>
      </c>
    </row>
    <row r="4" spans="1:6" ht="13.7" customHeight="1" x14ac:dyDescent="0.2">
      <c r="A4" s="716" t="s">
        <v>1217</v>
      </c>
      <c r="B4" s="1771">
        <f>'Revenues 9-14'!C5</f>
        <v>60601029</v>
      </c>
      <c r="C4" s="1546">
        <v>33575526</v>
      </c>
      <c r="D4" s="1774">
        <f>B4-C4</f>
        <v>27025503</v>
      </c>
      <c r="E4" s="1546">
        <v>62650863</v>
      </c>
      <c r="F4" s="1774">
        <f>E4-C4</f>
        <v>29075337</v>
      </c>
    </row>
    <row r="5" spans="1:6" ht="13.7" customHeight="1" x14ac:dyDescent="0.2">
      <c r="A5" s="716" t="s">
        <v>925</v>
      </c>
      <c r="B5" s="1772">
        <f>'Revenues 9-14'!D5</f>
        <v>5068494</v>
      </c>
      <c r="C5" s="585">
        <v>2785125</v>
      </c>
      <c r="D5" s="1775">
        <f t="shared" ref="D5:D18" si="0">B5-C5</f>
        <v>2283369</v>
      </c>
      <c r="E5" s="585">
        <v>5196955</v>
      </c>
      <c r="F5" s="1775">
        <f>E5-C5</f>
        <v>2411830</v>
      </c>
    </row>
    <row r="6" spans="1:6" ht="13.7" customHeight="1" x14ac:dyDescent="0.2">
      <c r="A6" s="716" t="s">
        <v>431</v>
      </c>
      <c r="B6" s="1772">
        <f>'Revenues 9-14'!E5</f>
        <v>1377217</v>
      </c>
      <c r="C6" s="585">
        <v>95512</v>
      </c>
      <c r="D6" s="1775">
        <f t="shared" si="0"/>
        <v>1281705</v>
      </c>
      <c r="E6" s="585">
        <v>178221</v>
      </c>
      <c r="F6" s="1775">
        <f t="shared" ref="F6:F18" si="1">E6-C6</f>
        <v>82709</v>
      </c>
    </row>
    <row r="7" spans="1:6" ht="13.7" customHeight="1" x14ac:dyDescent="0.2">
      <c r="A7" s="716" t="s">
        <v>157</v>
      </c>
      <c r="B7" s="1772">
        <f>'Revenues 9-14'!F5</f>
        <v>1418865</v>
      </c>
      <c r="C7" s="585">
        <v>779666</v>
      </c>
      <c r="D7" s="1775">
        <f t="shared" si="0"/>
        <v>639199</v>
      </c>
      <c r="E7" s="585">
        <v>1454832</v>
      </c>
      <c r="F7" s="1775">
        <f t="shared" si="1"/>
        <v>675166</v>
      </c>
    </row>
    <row r="8" spans="1:6" ht="13.7" customHeight="1" x14ac:dyDescent="0.2">
      <c r="A8" s="716" t="s">
        <v>1241</v>
      </c>
      <c r="B8" s="1772">
        <f>'Revenues 9-14'!G5</f>
        <v>955614</v>
      </c>
      <c r="C8" s="585">
        <v>249972</v>
      </c>
      <c r="D8" s="1775">
        <f t="shared" si="0"/>
        <v>705642</v>
      </c>
      <c r="E8" s="585">
        <v>466440</v>
      </c>
      <c r="F8" s="1775">
        <f t="shared" si="1"/>
        <v>216468</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1760262</v>
      </c>
      <c r="C14" s="585">
        <v>967268</v>
      </c>
      <c r="D14" s="1775">
        <f t="shared" si="0"/>
        <v>792994</v>
      </c>
      <c r="E14" s="585">
        <v>1804891</v>
      </c>
      <c r="F14" s="1775">
        <f t="shared" si="1"/>
        <v>837623</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1307569</v>
      </c>
      <c r="C16" s="585">
        <v>718514</v>
      </c>
      <c r="D16" s="1775">
        <f t="shared" si="0"/>
        <v>589055</v>
      </c>
      <c r="E16" s="585">
        <v>1340724</v>
      </c>
      <c r="F16" s="1775">
        <f t="shared" si="1"/>
        <v>622210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72489050</v>
      </c>
      <c r="C19" s="1773">
        <f>SUM(C4:C18)</f>
        <v>39171583</v>
      </c>
      <c r="D19" s="1773">
        <f>SUM(D4:D18)</f>
        <v>33317467</v>
      </c>
      <c r="E19" s="1773">
        <f>SUM(E4:E18)</f>
        <v>73092926</v>
      </c>
      <c r="F19" s="1773">
        <f>SUM(F4:F18)</f>
        <v>33921343</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D58" sqref="D5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92" t="s">
        <v>650</v>
      </c>
      <c r="B1" s="2290"/>
      <c r="C1" s="722"/>
    </row>
    <row r="2" spans="1:7" ht="33.75" x14ac:dyDescent="0.2">
      <c r="A2" s="2297" t="s">
        <v>1902</v>
      </c>
      <c r="B2" s="2298"/>
      <c r="C2" s="1907" t="s">
        <v>2033</v>
      </c>
      <c r="D2" s="724" t="s">
        <v>2040</v>
      </c>
      <c r="E2" s="724" t="s">
        <v>2041</v>
      </c>
      <c r="F2" s="1907" t="s">
        <v>2034</v>
      </c>
    </row>
    <row r="3" spans="1:7" ht="15.75" customHeight="1" x14ac:dyDescent="0.2">
      <c r="A3" s="2299" t="s">
        <v>1176</v>
      </c>
      <c r="B3" s="2300"/>
      <c r="C3" s="2293"/>
      <c r="D3" s="2294"/>
      <c r="E3" s="2294"/>
      <c r="F3" s="2295"/>
    </row>
    <row r="4" spans="1:7" ht="12.75" customHeight="1" thickBot="1" x14ac:dyDescent="0.25">
      <c r="A4" s="2287" t="s">
        <v>651</v>
      </c>
      <c r="B4" s="2288"/>
      <c r="C4" s="581"/>
      <c r="D4" s="581"/>
      <c r="E4" s="581"/>
      <c r="F4" s="1777">
        <f>SUM(C4+D4)-E4</f>
        <v>0</v>
      </c>
    </row>
    <row r="5" spans="1:7" ht="15.75" customHeight="1" thickTop="1" x14ac:dyDescent="0.2">
      <c r="A5" s="2291" t="s">
        <v>1172</v>
      </c>
      <c r="B5" s="2286"/>
      <c r="C5" s="2280"/>
      <c r="D5" s="2281"/>
      <c r="E5" s="2281"/>
      <c r="F5" s="228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83" t="s">
        <v>652</v>
      </c>
      <c r="B15" s="2284"/>
      <c r="C15" s="1777">
        <f>SUM(C6:C14)</f>
        <v>0</v>
      </c>
      <c r="D15" s="1777">
        <f>SUM(D6:D14)</f>
        <v>0</v>
      </c>
      <c r="E15" s="1777">
        <f>SUM(E6:E14)</f>
        <v>0</v>
      </c>
      <c r="F15" s="1777">
        <f>SUM(F6:F14)</f>
        <v>0</v>
      </c>
      <c r="G15" s="552"/>
    </row>
    <row r="16" spans="1:7" s="202" customFormat="1" ht="15.75" customHeight="1" thickTop="1" x14ac:dyDescent="0.2">
      <c r="A16" s="2296" t="s">
        <v>1173</v>
      </c>
      <c r="B16" s="2286"/>
      <c r="C16" s="2280"/>
      <c r="D16" s="2281"/>
      <c r="E16" s="2281"/>
      <c r="F16" s="2282"/>
    </row>
    <row r="17" spans="1:11" ht="12.75" customHeight="1" thickBot="1" x14ac:dyDescent="0.25">
      <c r="A17" s="2278" t="s">
        <v>66</v>
      </c>
      <c r="B17" s="2279"/>
      <c r="C17" s="727"/>
      <c r="D17" s="585"/>
      <c r="E17" s="727"/>
      <c r="F17" s="1777">
        <f>SUM(C17+D17)-E17</f>
        <v>0</v>
      </c>
    </row>
    <row r="18" spans="1:11" ht="12.75" customHeight="1" thickTop="1" thickBot="1" x14ac:dyDescent="0.25">
      <c r="A18" s="2278" t="s">
        <v>6</v>
      </c>
      <c r="B18" s="2279"/>
      <c r="C18" s="727"/>
      <c r="D18" s="585"/>
      <c r="E18" s="727"/>
      <c r="F18" s="1777">
        <f>SUM(C18+D18)-E18</f>
        <v>0</v>
      </c>
    </row>
    <row r="19" spans="1:11" ht="12.75" customHeight="1" thickTop="1" thickBot="1" x14ac:dyDescent="0.25">
      <c r="A19" s="2278" t="s">
        <v>406</v>
      </c>
      <c r="B19" s="2279"/>
      <c r="C19" s="727"/>
      <c r="D19" s="585"/>
      <c r="E19" s="727"/>
      <c r="F19" s="1777">
        <f>SUM(C19+D19)-E19</f>
        <v>0</v>
      </c>
    </row>
    <row r="20" spans="1:11" ht="12.75" customHeight="1" thickTop="1" thickBot="1" x14ac:dyDescent="0.25">
      <c r="A20" s="2278" t="s">
        <v>468</v>
      </c>
      <c r="B20" s="2279"/>
      <c r="C20" s="727"/>
      <c r="D20" s="585"/>
      <c r="E20" s="727"/>
      <c r="F20" s="1777">
        <f>SUM(C20+D20)-E20</f>
        <v>0</v>
      </c>
    </row>
    <row r="21" spans="1:11" ht="14.25" thickTop="1" thickBot="1" x14ac:dyDescent="0.25">
      <c r="A21" s="2283" t="s">
        <v>653</v>
      </c>
      <c r="B21" s="2284"/>
      <c r="C21" s="1777">
        <f>SUM(C17:C20)</f>
        <v>0</v>
      </c>
      <c r="D21" s="1777">
        <f>SUM(D17:D20)</f>
        <v>0</v>
      </c>
      <c r="E21" s="1777">
        <f>SUM(E17:E20)</f>
        <v>0</v>
      </c>
      <c r="F21" s="1777">
        <f>SUM(F17:F20)</f>
        <v>0</v>
      </c>
      <c r="G21" s="552"/>
    </row>
    <row r="22" spans="1:11" ht="15.75" customHeight="1" thickTop="1" x14ac:dyDescent="0.2">
      <c r="A22" s="2285" t="s">
        <v>1174</v>
      </c>
      <c r="B22" s="2286"/>
      <c r="C22" s="2280"/>
      <c r="D22" s="2281"/>
      <c r="E22" s="2281"/>
      <c r="F22" s="2282"/>
    </row>
    <row r="23" spans="1:11" ht="13.5" thickBot="1" x14ac:dyDescent="0.25">
      <c r="A23" s="2287" t="s">
        <v>654</v>
      </c>
      <c r="B23" s="2288"/>
      <c r="C23" s="581"/>
      <c r="D23" s="581"/>
      <c r="E23" s="581"/>
      <c r="F23" s="1777">
        <f>SUM(C23+D23)-E23</f>
        <v>0</v>
      </c>
      <c r="G23" s="552"/>
    </row>
    <row r="24" spans="1:11" ht="15.75" customHeight="1" thickTop="1" x14ac:dyDescent="0.2">
      <c r="A24" s="2285" t="s">
        <v>1175</v>
      </c>
      <c r="B24" s="2286"/>
      <c r="C24" s="2280"/>
      <c r="D24" s="2281"/>
      <c r="E24" s="2281"/>
      <c r="F24" s="2282"/>
    </row>
    <row r="25" spans="1:11" ht="13.5" thickBot="1" x14ac:dyDescent="0.25">
      <c r="A25" s="2287" t="s">
        <v>655</v>
      </c>
      <c r="B25" s="2288"/>
      <c r="C25" s="581"/>
      <c r="D25" s="581"/>
      <c r="E25" s="581"/>
      <c r="F25" s="1777">
        <f>SUM(C25+D25)-E25</f>
        <v>0</v>
      </c>
      <c r="G25" s="552"/>
    </row>
    <row r="26" spans="1:11" ht="15.75" customHeight="1" thickTop="1" x14ac:dyDescent="0.2">
      <c r="A26" s="2291" t="s">
        <v>678</v>
      </c>
      <c r="B26" s="2286"/>
      <c r="C26" s="728"/>
      <c r="D26" s="728"/>
      <c r="E26" s="728"/>
      <c r="F26" s="729"/>
    </row>
    <row r="27" spans="1:11" ht="13.5" thickBot="1" x14ac:dyDescent="0.25">
      <c r="A27" s="2283" t="s">
        <v>1130</v>
      </c>
      <c r="B27" s="2284"/>
      <c r="C27" s="585"/>
      <c r="D27" s="585"/>
      <c r="E27" s="585"/>
      <c r="F27" s="1777">
        <f>SUM(C27+D27)-E27</f>
        <v>0</v>
      </c>
      <c r="G27" s="552"/>
    </row>
    <row r="28" spans="1:11" ht="7.5" customHeight="1" thickTop="1" x14ac:dyDescent="0.2">
      <c r="A28" s="594"/>
    </row>
    <row r="29" spans="1:11" ht="23.25" customHeight="1" x14ac:dyDescent="0.2">
      <c r="A29" s="2289" t="s">
        <v>603</v>
      </c>
      <c r="B29" s="2290"/>
      <c r="C29" s="730"/>
      <c r="D29" s="730"/>
      <c r="E29" s="730"/>
      <c r="F29" s="730"/>
      <c r="G29" s="730"/>
      <c r="H29" s="730"/>
      <c r="I29" s="730"/>
      <c r="J29" s="730"/>
    </row>
    <row r="30" spans="1:11" ht="33.75" x14ac:dyDescent="0.2">
      <c r="A30" s="1551" t="s">
        <v>1131</v>
      </c>
      <c r="B30" s="731" t="s">
        <v>1186</v>
      </c>
      <c r="C30" s="1908" t="s">
        <v>604</v>
      </c>
      <c r="D30" s="1908" t="s">
        <v>1772</v>
      </c>
      <c r="E30" s="1908" t="s">
        <v>2035</v>
      </c>
      <c r="F30" s="1908" t="s">
        <v>2036</v>
      </c>
      <c r="G30" s="1908" t="s">
        <v>2039</v>
      </c>
      <c r="H30" s="1908" t="s">
        <v>2037</v>
      </c>
      <c r="I30" s="1908" t="s">
        <v>2038</v>
      </c>
      <c r="J30" s="1909" t="s">
        <v>2</v>
      </c>
      <c r="K30" s="732"/>
    </row>
    <row r="31" spans="1:11" ht="12" customHeight="1" x14ac:dyDescent="0.2">
      <c r="A31" s="733" t="s">
        <v>2092</v>
      </c>
      <c r="B31" s="734">
        <v>39995</v>
      </c>
      <c r="C31" s="735">
        <v>69624</v>
      </c>
      <c r="D31" s="736">
        <v>8</v>
      </c>
      <c r="E31" s="735">
        <v>641744</v>
      </c>
      <c r="F31" s="735"/>
      <c r="G31" s="735">
        <v>56011561</v>
      </c>
      <c r="H31" s="735"/>
      <c r="I31" s="1778">
        <f>((E31+F31)-H31)+G31</f>
        <v>56653305</v>
      </c>
      <c r="J31" s="735">
        <v>56653305</v>
      </c>
      <c r="K31" s="737"/>
    </row>
    <row r="32" spans="1:11" ht="12" customHeight="1" x14ac:dyDescent="0.2">
      <c r="A32" s="733" t="s">
        <v>2093</v>
      </c>
      <c r="B32" s="734">
        <v>41730</v>
      </c>
      <c r="C32" s="735">
        <v>9440000</v>
      </c>
      <c r="D32" s="736">
        <v>4</v>
      </c>
      <c r="E32" s="735">
        <v>9110000</v>
      </c>
      <c r="F32" s="735"/>
      <c r="G32" s="735"/>
      <c r="H32" s="735"/>
      <c r="I32" s="1778">
        <f>((E32+F32)-H32)+G32</f>
        <v>9110000</v>
      </c>
      <c r="J32" s="735">
        <v>9110000</v>
      </c>
      <c r="K32" s="737"/>
    </row>
    <row r="33" spans="1:11" ht="12" customHeight="1" x14ac:dyDescent="0.2">
      <c r="A33" s="733" t="s">
        <v>2094</v>
      </c>
      <c r="B33" s="734">
        <v>42055</v>
      </c>
      <c r="C33" s="735">
        <v>9575000</v>
      </c>
      <c r="D33" s="736">
        <v>4</v>
      </c>
      <c r="E33" s="735">
        <v>8065000</v>
      </c>
      <c r="F33" s="735"/>
      <c r="G33" s="735"/>
      <c r="H33" s="735">
        <v>765000</v>
      </c>
      <c r="I33" s="1778">
        <f t="shared" ref="I33:I48" si="1">((E33+F33)-H33)+G33</f>
        <v>7300000</v>
      </c>
      <c r="J33" s="735">
        <v>7300000</v>
      </c>
      <c r="K33" s="737"/>
    </row>
    <row r="34" spans="1:11" ht="12" customHeight="1" x14ac:dyDescent="0.2">
      <c r="A34" s="733" t="s">
        <v>2095</v>
      </c>
      <c r="B34" s="734">
        <v>42185</v>
      </c>
      <c r="C34" s="735">
        <v>10885431</v>
      </c>
      <c r="D34" s="736">
        <v>9</v>
      </c>
      <c r="E34" s="735">
        <v>12633352</v>
      </c>
      <c r="F34" s="735"/>
      <c r="G34" s="735">
        <v>-3894906</v>
      </c>
      <c r="H34" s="735"/>
      <c r="I34" s="1778">
        <f t="shared" si="1"/>
        <v>8738446</v>
      </c>
      <c r="J34" s="735">
        <f>8738446-139890</f>
        <v>8598556</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29970055</v>
      </c>
      <c r="D49" s="746"/>
      <c r="E49" s="1778">
        <f t="shared" ref="E49:J49" si="2">SUM(E31:E48)</f>
        <v>30450096</v>
      </c>
      <c r="F49" s="1778">
        <f t="shared" si="2"/>
        <v>0</v>
      </c>
      <c r="G49" s="1778">
        <f t="shared" si="2"/>
        <v>52116655</v>
      </c>
      <c r="H49" s="1778">
        <f t="shared" si="2"/>
        <v>765000</v>
      </c>
      <c r="I49" s="1778">
        <f t="shared" si="2"/>
        <v>81801751</v>
      </c>
      <c r="J49" s="1778">
        <f t="shared" si="2"/>
        <v>81661861</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72" t="s">
        <v>605</v>
      </c>
      <c r="C52" s="2273"/>
      <c r="D52" s="2273"/>
      <c r="E52" s="750" t="s">
        <v>900</v>
      </c>
      <c r="F52" s="2274"/>
      <c r="G52" s="2275"/>
      <c r="H52" s="737"/>
      <c r="I52" s="737"/>
      <c r="J52" s="747"/>
    </row>
    <row r="53" spans="1:11" ht="11.25" customHeight="1" x14ac:dyDescent="0.2">
      <c r="A53" s="751" t="s">
        <v>969</v>
      </c>
      <c r="B53" s="752" t="s">
        <v>1008</v>
      </c>
      <c r="C53" s="747"/>
      <c r="D53" s="738"/>
      <c r="E53" s="750" t="s">
        <v>518</v>
      </c>
      <c r="F53" s="2276" t="s">
        <v>2096</v>
      </c>
      <c r="G53" s="2277"/>
      <c r="H53" s="737"/>
      <c r="I53" s="737"/>
      <c r="J53" s="747"/>
    </row>
    <row r="54" spans="1:11" ht="11.25" customHeight="1" x14ac:dyDescent="0.2">
      <c r="A54" s="753" t="s">
        <v>970</v>
      </c>
      <c r="B54" s="748" t="s">
        <v>1009</v>
      </c>
      <c r="C54" s="747"/>
      <c r="D54" s="738"/>
      <c r="E54" s="750" t="s">
        <v>519</v>
      </c>
      <c r="F54" s="2276" t="s">
        <v>2179</v>
      </c>
      <c r="G54" s="227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8" colorId="8" zoomScale="110" zoomScaleNormal="110" workbookViewId="0">
      <selection activeCell="AD19" sqref="AD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01" t="s">
        <v>911</v>
      </c>
      <c r="B1" s="2302"/>
      <c r="C1" s="2302"/>
      <c r="D1" s="2302"/>
      <c r="E1" s="2302"/>
      <c r="F1" s="2302"/>
      <c r="G1" s="2303"/>
      <c r="H1" s="1552"/>
      <c r="I1" s="761"/>
      <c r="J1" s="433"/>
    </row>
    <row r="2" spans="1:11" ht="26.25" x14ac:dyDescent="0.2">
      <c r="A2" s="2320" t="s">
        <v>1776</v>
      </c>
      <c r="B2" s="2321"/>
      <c r="C2" s="2321"/>
      <c r="D2" s="2321"/>
      <c r="E2" s="2322"/>
      <c r="F2" s="762" t="s">
        <v>960</v>
      </c>
      <c r="G2" s="763" t="s">
        <v>1773</v>
      </c>
      <c r="H2" s="763" t="s">
        <v>430</v>
      </c>
      <c r="I2" s="763" t="s">
        <v>1220</v>
      </c>
      <c r="J2" s="763" t="s">
        <v>1916</v>
      </c>
      <c r="K2" s="763" t="s">
        <v>140</v>
      </c>
    </row>
    <row r="3" spans="1:11" x14ac:dyDescent="0.2">
      <c r="A3" s="2323" t="s">
        <v>1698</v>
      </c>
      <c r="B3" s="2324"/>
      <c r="C3" s="2324"/>
      <c r="D3" s="2324"/>
      <c r="E3" s="2325"/>
      <c r="F3" s="764"/>
      <c r="G3" s="765"/>
      <c r="H3" s="765"/>
      <c r="I3" s="765"/>
      <c r="J3" s="766"/>
      <c r="K3" s="766"/>
    </row>
    <row r="4" spans="1:11" x14ac:dyDescent="0.2">
      <c r="A4" s="2326" t="s">
        <v>387</v>
      </c>
      <c r="B4" s="2327"/>
      <c r="C4" s="2327"/>
      <c r="D4" s="2327"/>
      <c r="E4" s="2273"/>
      <c r="F4" s="767"/>
      <c r="G4" s="768"/>
      <c r="H4" s="769"/>
      <c r="I4" s="768"/>
      <c r="J4" s="770"/>
      <c r="K4" s="770"/>
    </row>
    <row r="5" spans="1:11" x14ac:dyDescent="0.2">
      <c r="A5" s="2304" t="s">
        <v>1129</v>
      </c>
      <c r="B5" s="2305"/>
      <c r="C5" s="2305"/>
      <c r="D5" s="2305"/>
      <c r="E5" s="2306"/>
      <c r="F5" s="771" t="s">
        <v>903</v>
      </c>
      <c r="G5" s="772"/>
      <c r="H5" s="765">
        <v>1760262</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51786</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188338</v>
      </c>
    </row>
    <row r="10" spans="1:11" x14ac:dyDescent="0.2">
      <c r="A10" s="2304" t="s">
        <v>1917</v>
      </c>
      <c r="B10" s="2305"/>
      <c r="C10" s="2305"/>
      <c r="D10" s="2305"/>
      <c r="E10" s="2307"/>
      <c r="F10" s="784" t="s">
        <v>917</v>
      </c>
      <c r="G10" s="783"/>
      <c r="H10" s="785"/>
      <c r="I10" s="765"/>
      <c r="J10" s="766"/>
      <c r="K10" s="766"/>
    </row>
    <row r="11" spans="1:11" x14ac:dyDescent="0.2">
      <c r="A11" s="2304" t="s">
        <v>162</v>
      </c>
      <c r="B11" s="2305"/>
      <c r="C11" s="2305"/>
      <c r="D11" s="2305"/>
      <c r="E11" s="2306"/>
      <c r="F11" s="771" t="s">
        <v>907</v>
      </c>
      <c r="G11" s="772"/>
      <c r="H11" s="765"/>
      <c r="I11" s="765"/>
      <c r="J11" s="766"/>
      <c r="K11" s="774"/>
    </row>
    <row r="12" spans="1:11" ht="13.5" thickBot="1" x14ac:dyDescent="0.25">
      <c r="A12" s="2331" t="s">
        <v>961</v>
      </c>
      <c r="B12" s="2332"/>
      <c r="C12" s="2332"/>
      <c r="D12" s="2332"/>
      <c r="E12" s="2333"/>
      <c r="F12" s="1779"/>
      <c r="G12" s="1780">
        <f>SUM(G5:G11)</f>
        <v>0</v>
      </c>
      <c r="H12" s="1780">
        <f>SUM(H5:H11)</f>
        <v>1760262</v>
      </c>
      <c r="I12" s="1780">
        <f>SUM(I5:I11)</f>
        <v>0</v>
      </c>
      <c r="J12" s="1780">
        <f>SUM(J5:J11)</f>
        <v>0</v>
      </c>
      <c r="K12" s="1780">
        <f>SUM(K5:K11)</f>
        <v>240124</v>
      </c>
    </row>
    <row r="13" spans="1:11" ht="13.5" thickTop="1" x14ac:dyDescent="0.2">
      <c r="A13" s="2328" t="s">
        <v>388</v>
      </c>
      <c r="B13" s="2329"/>
      <c r="C13" s="2329"/>
      <c r="D13" s="2329"/>
      <c r="E13" s="2330"/>
      <c r="F13" s="786"/>
      <c r="G13" s="787"/>
      <c r="H13" s="788"/>
      <c r="I13" s="789"/>
      <c r="J13" s="789"/>
      <c r="K13" s="789"/>
    </row>
    <row r="14" spans="1:11" x14ac:dyDescent="0.2">
      <c r="A14" s="2311" t="s">
        <v>476</v>
      </c>
      <c r="B14" s="2311"/>
      <c r="C14" s="2311"/>
      <c r="D14" s="2311"/>
      <c r="E14" s="2312"/>
      <c r="F14" s="790" t="s">
        <v>909</v>
      </c>
      <c r="G14" s="783"/>
      <c r="H14" s="765">
        <v>1760262</v>
      </c>
      <c r="I14" s="772"/>
      <c r="J14" s="774"/>
      <c r="K14" s="766">
        <v>240124</v>
      </c>
    </row>
    <row r="15" spans="1:11" x14ac:dyDescent="0.2">
      <c r="A15" s="2305" t="s">
        <v>4</v>
      </c>
      <c r="B15" s="2305"/>
      <c r="C15" s="2305"/>
      <c r="D15" s="2305"/>
      <c r="E15" s="2306"/>
      <c r="F15" s="790" t="s">
        <v>910</v>
      </c>
      <c r="G15" s="772"/>
      <c r="H15" s="765"/>
      <c r="I15" s="765"/>
      <c r="J15" s="766"/>
      <c r="K15" s="766"/>
    </row>
    <row r="16" spans="1:11" x14ac:dyDescent="0.2">
      <c r="A16" s="2305" t="s">
        <v>316</v>
      </c>
      <c r="B16" s="2305"/>
      <c r="C16" s="2305"/>
      <c r="D16" s="2305"/>
      <c r="E16" s="2306"/>
      <c r="F16" s="790" t="s">
        <v>980</v>
      </c>
      <c r="G16" s="773"/>
      <c r="H16" s="768"/>
      <c r="I16" s="768"/>
      <c r="J16" s="770"/>
      <c r="K16" s="770"/>
    </row>
    <row r="17" spans="1:11" x14ac:dyDescent="0.2">
      <c r="A17" s="2336" t="s">
        <v>992</v>
      </c>
      <c r="B17" s="2336"/>
      <c r="C17" s="2336"/>
      <c r="D17" s="2336"/>
      <c r="E17" s="2337"/>
      <c r="F17" s="791"/>
      <c r="G17" s="792"/>
      <c r="H17" s="793"/>
      <c r="I17" s="793"/>
      <c r="J17" s="794"/>
      <c r="K17" s="795"/>
    </row>
    <row r="18" spans="1:11" x14ac:dyDescent="0.2">
      <c r="A18" s="2315" t="s">
        <v>386</v>
      </c>
      <c r="B18" s="2316"/>
      <c r="C18" s="2316"/>
      <c r="D18" s="2316"/>
      <c r="E18" s="2317"/>
      <c r="F18" s="790" t="s">
        <v>989</v>
      </c>
      <c r="G18" s="783"/>
      <c r="H18" s="783"/>
      <c r="I18" s="783"/>
      <c r="J18" s="766"/>
      <c r="K18" s="796"/>
    </row>
    <row r="19" spans="1:11" ht="21.75" customHeight="1" x14ac:dyDescent="0.2">
      <c r="A19" s="2313" t="s">
        <v>1913</v>
      </c>
      <c r="B19" s="2313"/>
      <c r="C19" s="2313"/>
      <c r="D19" s="2313"/>
      <c r="E19" s="2314"/>
      <c r="F19" s="790" t="s">
        <v>990</v>
      </c>
      <c r="G19" s="783"/>
      <c r="H19" s="783"/>
      <c r="I19" s="783"/>
      <c r="J19" s="766"/>
      <c r="K19" s="796"/>
    </row>
    <row r="20" spans="1:11" x14ac:dyDescent="0.2">
      <c r="A20" s="2315" t="s">
        <v>1918</v>
      </c>
      <c r="B20" s="2316"/>
      <c r="C20" s="2316"/>
      <c r="D20" s="2316"/>
      <c r="E20" s="2317"/>
      <c r="F20" s="790" t="s">
        <v>991</v>
      </c>
      <c r="G20" s="783"/>
      <c r="H20" s="783"/>
      <c r="I20" s="783"/>
      <c r="J20" s="766"/>
      <c r="K20" s="796"/>
    </row>
    <row r="21" spans="1:11" ht="13.5" thickBot="1" x14ac:dyDescent="0.25">
      <c r="A21" s="2334" t="s">
        <v>659</v>
      </c>
      <c r="B21" s="2334"/>
      <c r="C21" s="2334"/>
      <c r="D21" s="2334"/>
      <c r="E21" s="2334"/>
      <c r="F21" s="1781"/>
      <c r="G21" s="793"/>
      <c r="H21" s="797"/>
      <c r="I21" s="797"/>
      <c r="J21" s="1782">
        <f>SUM(J18:J20)</f>
        <v>0</v>
      </c>
      <c r="K21" s="794"/>
    </row>
    <row r="22" spans="1:11" ht="13.5" thickTop="1" x14ac:dyDescent="0.2">
      <c r="A22" s="2305" t="s">
        <v>1919</v>
      </c>
      <c r="B22" s="2305"/>
      <c r="C22" s="2305"/>
      <c r="D22" s="2305"/>
      <c r="E22" s="2306"/>
      <c r="F22" s="790" t="s">
        <v>917</v>
      </c>
      <c r="G22" s="783"/>
      <c r="H22" s="765"/>
      <c r="I22" s="765"/>
      <c r="J22" s="798"/>
      <c r="K22" s="766"/>
    </row>
    <row r="23" spans="1:11" ht="13.5" thickBot="1" x14ac:dyDescent="0.25">
      <c r="A23" s="2335" t="s">
        <v>962</v>
      </c>
      <c r="B23" s="2334"/>
      <c r="C23" s="2334"/>
      <c r="D23" s="2334"/>
      <c r="E23" s="2334"/>
      <c r="F23" s="1783"/>
      <c r="G23" s="1780">
        <f>SUM(G14:G16,G21,G22)</f>
        <v>0</v>
      </c>
      <c r="H23" s="1780">
        <f>SUM(H14:H16,H21,H22)</f>
        <v>1760262</v>
      </c>
      <c r="I23" s="1780">
        <f>SUM(I14:I16,I21,I22)</f>
        <v>0</v>
      </c>
      <c r="J23" s="1780">
        <f>SUM(J14:J16,J21,J22)</f>
        <v>0</v>
      </c>
      <c r="K23" s="1780">
        <f>SUM(K14:K16,K21,K22)</f>
        <v>240124</v>
      </c>
    </row>
    <row r="24" spans="1:11" ht="14.25" thickTop="1" thickBot="1" x14ac:dyDescent="0.25">
      <c r="A24" s="2335" t="s">
        <v>2021</v>
      </c>
      <c r="B24" s="2334"/>
      <c r="C24" s="2334"/>
      <c r="D24" s="2334"/>
      <c r="E24" s="2334"/>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3" t="s">
        <v>2031</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308"/>
      <c r="I31" s="2309"/>
      <c r="J31" s="2309"/>
      <c r="K31" s="2309"/>
    </row>
    <row r="32" spans="1:11" x14ac:dyDescent="0.2">
      <c r="A32" s="810"/>
      <c r="B32" s="237"/>
      <c r="C32" s="237"/>
      <c r="D32" s="237"/>
      <c r="E32" s="806"/>
      <c r="F32" s="812" t="s">
        <v>561</v>
      </c>
      <c r="G32" s="765"/>
      <c r="H32" s="2310"/>
      <c r="I32" s="2309"/>
      <c r="J32" s="2309"/>
      <c r="K32" s="2309"/>
    </row>
    <row r="33" spans="1:11" ht="1.5" customHeight="1" x14ac:dyDescent="0.2">
      <c r="A33" s="813" t="s">
        <v>1231</v>
      </c>
      <c r="B33" s="364"/>
      <c r="C33" s="364"/>
      <c r="D33" s="364"/>
      <c r="E33" s="364"/>
      <c r="F33" s="364"/>
      <c r="G33" s="814"/>
      <c r="H33" s="2310"/>
      <c r="I33" s="2309"/>
      <c r="J33" s="2309"/>
      <c r="K33" s="2309"/>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305" t="s">
        <v>562</v>
      </c>
      <c r="B41" s="2318"/>
      <c r="C41" s="2318"/>
      <c r="D41" s="2318"/>
      <c r="E41" s="2318"/>
      <c r="F41" s="231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D19" sqref="AD1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40" t="s">
        <v>2030</v>
      </c>
      <c r="B1" s="2341"/>
      <c r="C1" s="2342"/>
      <c r="D1" s="827"/>
      <c r="E1" s="828"/>
      <c r="F1" s="828"/>
      <c r="G1" s="829"/>
      <c r="H1" s="830"/>
      <c r="I1" s="831"/>
      <c r="J1" s="2338"/>
      <c r="K1" s="2339"/>
      <c r="L1" s="2339"/>
    </row>
    <row r="2" spans="1:14" ht="69.75" customHeight="1" x14ac:dyDescent="0.2">
      <c r="A2" s="832" t="s">
        <v>1777</v>
      </c>
      <c r="B2" s="833" t="s">
        <v>396</v>
      </c>
      <c r="C2" s="834" t="s">
        <v>2025</v>
      </c>
      <c r="D2" s="834" t="s">
        <v>2022</v>
      </c>
      <c r="E2" s="834" t="s">
        <v>2023</v>
      </c>
      <c r="F2" s="834" t="s">
        <v>2024</v>
      </c>
      <c r="G2" s="834" t="s">
        <v>626</v>
      </c>
      <c r="H2" s="834" t="s">
        <v>2026</v>
      </c>
      <c r="I2" s="834" t="s">
        <v>2027</v>
      </c>
      <c r="J2" s="834" t="s">
        <v>2042</v>
      </c>
      <c r="K2" s="834" t="s">
        <v>2028</v>
      </c>
      <c r="L2" s="834" t="s">
        <v>2029</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2330356</v>
      </c>
      <c r="D5" s="842"/>
      <c r="E5" s="842"/>
      <c r="F5" s="1782">
        <f>(C5+D5)-E5</f>
        <v>2330356</v>
      </c>
      <c r="G5" s="838"/>
      <c r="H5" s="843"/>
      <c r="I5" s="843"/>
      <c r="J5" s="843"/>
      <c r="K5" s="794"/>
      <c r="L5" s="1791">
        <f>F5-K5</f>
        <v>2330356</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102811229</v>
      </c>
      <c r="D8" s="845">
        <v>2275474</v>
      </c>
      <c r="E8" s="845"/>
      <c r="F8" s="1782">
        <f>(C8+D8)-E8</f>
        <v>105086703</v>
      </c>
      <c r="G8" s="844">
        <v>50</v>
      </c>
      <c r="H8" s="766">
        <v>26513684</v>
      </c>
      <c r="I8" s="766">
        <v>2357001</v>
      </c>
      <c r="J8" s="766"/>
      <c r="K8" s="1791">
        <f>(H8+I8)-J8</f>
        <v>28870685</v>
      </c>
      <c r="L8" s="1791">
        <f>F8-K8</f>
        <v>76216018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5021776</v>
      </c>
      <c r="D10" s="847">
        <v>83734</v>
      </c>
      <c r="E10" s="847">
        <v>47222</v>
      </c>
      <c r="F10" s="1786">
        <f>(C10+D10)-E10</f>
        <v>5058288</v>
      </c>
      <c r="G10" s="844">
        <v>20</v>
      </c>
      <c r="H10" s="848">
        <v>4001571</v>
      </c>
      <c r="I10" s="848">
        <v>87312</v>
      </c>
      <c r="J10" s="848">
        <v>47222</v>
      </c>
      <c r="K10" s="1791">
        <f>(H10+I10)-J10</f>
        <v>4041661</v>
      </c>
      <c r="L10" s="1791">
        <f>F10-K10</f>
        <v>1016627</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9075731</v>
      </c>
      <c r="D12" s="845">
        <v>383811</v>
      </c>
      <c r="E12" s="845"/>
      <c r="F12" s="1782">
        <f>(C12+D12)-E12</f>
        <v>9459542</v>
      </c>
      <c r="G12" s="844">
        <v>10</v>
      </c>
      <c r="H12" s="766">
        <v>7605582</v>
      </c>
      <c r="I12" s="766">
        <v>154788</v>
      </c>
      <c r="J12" s="766"/>
      <c r="K12" s="1791">
        <f>(H12+I12)-J12</f>
        <v>7760370</v>
      </c>
      <c r="L12" s="1791">
        <f>F12-K12</f>
        <v>1699172</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1030893</v>
      </c>
      <c r="D15" s="845">
        <v>6338689</v>
      </c>
      <c r="E15" s="845">
        <v>1030893</v>
      </c>
      <c r="F15" s="1782">
        <f>(C15+D15)-E15</f>
        <v>6338689</v>
      </c>
      <c r="G15" s="850" t="s">
        <v>917</v>
      </c>
      <c r="H15" s="782"/>
      <c r="I15" s="782"/>
      <c r="J15" s="782"/>
      <c r="K15" s="782"/>
      <c r="L15" s="1791">
        <f>F15-K15</f>
        <v>6338689</v>
      </c>
    </row>
    <row r="16" spans="1:14" ht="15" customHeight="1" thickTop="1" thickBot="1" x14ac:dyDescent="0.25">
      <c r="A16" s="1787" t="s">
        <v>664</v>
      </c>
      <c r="B16" s="1788">
        <v>200</v>
      </c>
      <c r="C16" s="1782">
        <f>SUM(C3,C5:C6,C8:C10,C12:C15)</f>
        <v>120269985</v>
      </c>
      <c r="D16" s="1782">
        <f>SUM(D3,D5:D6,D8:D10,D12:D15)</f>
        <v>9081708</v>
      </c>
      <c r="E16" s="1782">
        <f>SUM(E3,E5:E6,E8:E10,E12:E15)</f>
        <v>1078115</v>
      </c>
      <c r="F16" s="1782">
        <f>SUM(F3,F5:F6,F8:F10,F12:F15)</f>
        <v>128273578</v>
      </c>
      <c r="G16" s="844"/>
      <c r="H16" s="1782">
        <f>SUM(H3,H6,H8:H10,H12:H14,)</f>
        <v>38120837</v>
      </c>
      <c r="I16" s="1782">
        <f>SUM(I3,I6,I8:I10,I12:I14,)</f>
        <v>2599101</v>
      </c>
      <c r="J16" s="1782">
        <f>SUM(J3,J6,J8:J10,J12:J14,)</f>
        <v>47222</v>
      </c>
      <c r="K16" s="1782">
        <f>(H16+I16)-J16</f>
        <v>40672716</v>
      </c>
      <c r="L16" s="1782">
        <f>F16-K16</f>
        <v>87600862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1449510</v>
      </c>
      <c r="G17" s="838">
        <v>10</v>
      </c>
      <c r="H17" s="770"/>
      <c r="I17" s="1791">
        <f>F17/G17</f>
        <v>144951</v>
      </c>
      <c r="J17" s="770"/>
      <c r="K17" s="796"/>
      <c r="L17" s="796"/>
    </row>
    <row r="18" spans="1:12" ht="14.25" thickTop="1" thickBot="1" x14ac:dyDescent="0.25">
      <c r="A18" s="1789" t="s">
        <v>706</v>
      </c>
      <c r="B18" s="1790"/>
      <c r="C18" s="772"/>
      <c r="D18" s="772"/>
      <c r="E18" s="772"/>
      <c r="F18" s="851"/>
      <c r="G18" s="852"/>
      <c r="H18" s="774"/>
      <c r="I18" s="1782">
        <f>SUM(I16,I17)</f>
        <v>2744052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1" activePane="bottomLeft" state="frozen"/>
      <selection activeCell="AD19" sqref="AD19"/>
      <selection pane="bottomLeft" activeCell="AD19" sqref="AD1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46" t="s">
        <v>1699</v>
      </c>
      <c r="B1" s="2347"/>
      <c r="C1" s="2347"/>
      <c r="D1" s="2347"/>
      <c r="E1" s="2347"/>
      <c r="F1" s="2348"/>
      <c r="G1" s="856"/>
    </row>
    <row r="2" spans="1:7" ht="15" customHeight="1" thickBot="1" x14ac:dyDescent="0.25">
      <c r="A2" s="2349" t="s">
        <v>498</v>
      </c>
      <c r="B2" s="2350"/>
      <c r="C2" s="2350"/>
      <c r="D2" s="2350"/>
      <c r="E2" s="2350"/>
      <c r="F2" s="235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52"/>
      <c r="B5" s="2353"/>
      <c r="C5" s="2353"/>
      <c r="D5" s="2353"/>
      <c r="E5" s="2353"/>
      <c r="F5" s="2353"/>
    </row>
    <row r="6" spans="1:7" ht="13.5" customHeight="1" thickBot="1" x14ac:dyDescent="0.25">
      <c r="A6" s="2343" t="s">
        <v>1166</v>
      </c>
      <c r="B6" s="2344"/>
      <c r="C6" s="2344"/>
      <c r="D6" s="2344"/>
      <c r="E6" s="2344"/>
      <c r="F6" s="234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78017906</v>
      </c>
      <c r="G8" s="866"/>
    </row>
    <row r="9" spans="1:7" x14ac:dyDescent="0.2">
      <c r="A9" s="870" t="s">
        <v>480</v>
      </c>
      <c r="B9" s="871" t="s">
        <v>1985</v>
      </c>
      <c r="C9" s="872"/>
      <c r="D9" s="870" t="s">
        <v>522</v>
      </c>
      <c r="E9" s="869"/>
      <c r="F9" s="1933">
        <f>'Expenditures 15-22'!K151</f>
        <v>6642871</v>
      </c>
      <c r="G9" s="873"/>
    </row>
    <row r="10" spans="1:7" x14ac:dyDescent="0.2">
      <c r="A10" s="870" t="s">
        <v>520</v>
      </c>
      <c r="B10" s="871" t="s">
        <v>1986</v>
      </c>
      <c r="C10" s="872"/>
      <c r="D10" s="870" t="s">
        <v>522</v>
      </c>
      <c r="E10" s="869"/>
      <c r="F10" s="1933">
        <f>'Expenditures 15-22'!K174</f>
        <v>1371539</v>
      </c>
      <c r="G10" s="873"/>
    </row>
    <row r="11" spans="1:7" x14ac:dyDescent="0.2">
      <c r="A11" s="870" t="s">
        <v>481</v>
      </c>
      <c r="B11" s="871" t="s">
        <v>1987</v>
      </c>
      <c r="C11" s="872"/>
      <c r="D11" s="870" t="s">
        <v>522</v>
      </c>
      <c r="E11" s="869"/>
      <c r="F11" s="1933">
        <f>'Expenditures 15-22'!K210</f>
        <v>3644910</v>
      </c>
      <c r="G11" s="873"/>
    </row>
    <row r="12" spans="1:7" x14ac:dyDescent="0.2">
      <c r="A12" s="870" t="s">
        <v>482</v>
      </c>
      <c r="B12" s="871" t="s">
        <v>1988</v>
      </c>
      <c r="C12" s="872"/>
      <c r="D12" s="870" t="s">
        <v>522</v>
      </c>
      <c r="E12" s="869"/>
      <c r="F12" s="1933">
        <f>'Expenditures 15-22'!K295</f>
        <v>2249815</v>
      </c>
      <c r="G12" s="873"/>
    </row>
    <row r="13" spans="1:7" x14ac:dyDescent="0.2">
      <c r="A13" s="870" t="s">
        <v>108</v>
      </c>
      <c r="B13" s="871" t="s">
        <v>1989</v>
      </c>
      <c r="C13" s="872"/>
      <c r="D13" s="870" t="s">
        <v>522</v>
      </c>
      <c r="E13" s="869"/>
      <c r="F13" s="1933">
        <f>'Expenditures 15-22'!K342</f>
        <v>0</v>
      </c>
      <c r="G13" s="874"/>
    </row>
    <row r="14" spans="1:7" ht="12" customHeight="1" thickBot="1" x14ac:dyDescent="0.25">
      <c r="A14" s="1792"/>
      <c r="B14" s="1793"/>
      <c r="C14" s="1794"/>
      <c r="D14" s="1795" t="s">
        <v>522</v>
      </c>
      <c r="E14" s="1796" t="s">
        <v>1015</v>
      </c>
      <c r="F14" s="1797">
        <f>SUM(F8:F13)</f>
        <v>91927041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281279</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17902</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651627</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1223</v>
      </c>
      <c r="G52" s="866"/>
    </row>
    <row r="53" spans="1:7" x14ac:dyDescent="0.2">
      <c r="A53" s="870" t="s">
        <v>479</v>
      </c>
      <c r="B53" s="870" t="s">
        <v>1551</v>
      </c>
      <c r="C53" s="890">
        <f>'Expenditures 15-22'!B102</f>
        <v>4000</v>
      </c>
      <c r="D53" s="889" t="str">
        <f>'Expenditures 15-22'!A102</f>
        <v>Total Payments to Other Govt Units</v>
      </c>
      <c r="E53" s="869"/>
      <c r="F53" s="1937">
        <f>'Expenditures 15-22'!K102</f>
        <v>298515</v>
      </c>
      <c r="G53" s="866"/>
    </row>
    <row r="54" spans="1:7" x14ac:dyDescent="0.2">
      <c r="A54" s="870" t="s">
        <v>479</v>
      </c>
      <c r="B54" s="870" t="s">
        <v>1552</v>
      </c>
      <c r="C54" s="890" t="s">
        <v>1039</v>
      </c>
      <c r="D54" s="886" t="s">
        <v>1157</v>
      </c>
      <c r="E54" s="869"/>
      <c r="F54" s="1937">
        <f>'Expenditures 15-22'!G114</f>
        <v>214121</v>
      </c>
      <c r="G54" s="866"/>
    </row>
    <row r="55" spans="1:7" x14ac:dyDescent="0.2">
      <c r="A55" s="870" t="s">
        <v>479</v>
      </c>
      <c r="B55" s="870" t="s">
        <v>1553</v>
      </c>
      <c r="C55" s="890" t="s">
        <v>1039</v>
      </c>
      <c r="D55" s="886" t="s">
        <v>309</v>
      </c>
      <c r="E55" s="869"/>
      <c r="F55" s="1937">
        <f>'Expenditures 15-22'!I114</f>
        <v>1158925</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937">
        <f>'Expenditures 15-22'!K139</f>
        <v>0</v>
      </c>
      <c r="G57" s="866"/>
    </row>
    <row r="58" spans="1:7" x14ac:dyDescent="0.2">
      <c r="A58" s="870" t="s">
        <v>480</v>
      </c>
      <c r="B58" s="870" t="s">
        <v>1991</v>
      </c>
      <c r="C58" s="887" t="s">
        <v>1039</v>
      </c>
      <c r="D58" s="886" t="s">
        <v>1157</v>
      </c>
      <c r="E58" s="869"/>
      <c r="F58" s="1939">
        <f>'Expenditures 15-22'!G151</f>
        <v>301753</v>
      </c>
      <c r="G58" s="866"/>
    </row>
    <row r="59" spans="1:7" x14ac:dyDescent="0.2">
      <c r="A59" s="894" t="s">
        <v>480</v>
      </c>
      <c r="B59" s="857" t="s">
        <v>1992</v>
      </c>
      <c r="C59" s="895" t="s">
        <v>1039</v>
      </c>
      <c r="D59" s="857" t="s">
        <v>309</v>
      </c>
      <c r="F59" s="1940">
        <f>'Expenditures 15-22'!I151</f>
        <v>53355</v>
      </c>
      <c r="G59" s="866"/>
    </row>
    <row r="60" spans="1:7" x14ac:dyDescent="0.2">
      <c r="A60" s="894" t="s">
        <v>520</v>
      </c>
      <c r="B60" s="857" t="s">
        <v>1993</v>
      </c>
      <c r="C60" s="895">
        <v>4000</v>
      </c>
      <c r="D60" s="857" t="s">
        <v>330</v>
      </c>
      <c r="F60" s="1938">
        <f>'Expenditures 15-22'!K160</f>
        <v>0</v>
      </c>
      <c r="G60" s="866"/>
    </row>
    <row r="61" spans="1:7" x14ac:dyDescent="0.2">
      <c r="A61" s="896" t="s">
        <v>520</v>
      </c>
      <c r="B61" s="896" t="s">
        <v>1994</v>
      </c>
      <c r="C61" s="897" t="str">
        <f>'Expenditures 15-22'!B170</f>
        <v>5300</v>
      </c>
      <c r="D61" s="898" t="s">
        <v>329</v>
      </c>
      <c r="E61" s="880"/>
      <c r="F61" s="1937">
        <f>'Expenditures 15-22'!K170</f>
        <v>765000</v>
      </c>
      <c r="G61" s="866"/>
    </row>
    <row r="62" spans="1:7" x14ac:dyDescent="0.2">
      <c r="A62" s="870" t="s">
        <v>481</v>
      </c>
      <c r="B62" s="870" t="s">
        <v>1995</v>
      </c>
      <c r="C62" s="887">
        <f>'Expenditures 15-22'!B185</f>
        <v>3000</v>
      </c>
      <c r="D62" s="877" t="s">
        <v>469</v>
      </c>
      <c r="E62" s="869"/>
      <c r="F62" s="1937">
        <f>'Expenditures 15-22'!K185-SUM('Expenditures 15-22'!G185,'Expenditures 15-22'!I185)</f>
        <v>0</v>
      </c>
      <c r="G62" s="866"/>
    </row>
    <row r="63" spans="1:7" x14ac:dyDescent="0.2">
      <c r="A63" s="870" t="s">
        <v>481</v>
      </c>
      <c r="B63" s="870" t="s">
        <v>1996</v>
      </c>
      <c r="C63" s="887" t="str">
        <f>'Expenditures 15-22'!B196</f>
        <v>4000</v>
      </c>
      <c r="D63" s="888" t="str">
        <f>'Expenditures 15-22'!A196</f>
        <v>Total Payments to Other Govt Units</v>
      </c>
      <c r="E63" s="869"/>
      <c r="F63" s="1937">
        <f>'Expenditures 15-22'!K196</f>
        <v>0</v>
      </c>
      <c r="G63" s="866"/>
    </row>
    <row r="64" spans="1:7" x14ac:dyDescent="0.2">
      <c r="A64" s="896" t="s">
        <v>481</v>
      </c>
      <c r="B64" s="896" t="s">
        <v>1997</v>
      </c>
      <c r="C64" s="897" t="str">
        <f>'Expenditures 15-22'!B206</f>
        <v>5300</v>
      </c>
      <c r="D64" s="893" t="s">
        <v>329</v>
      </c>
      <c r="E64" s="869"/>
      <c r="F64" s="1937">
        <f>'Expenditures 15-22'!K206</f>
        <v>0</v>
      </c>
      <c r="G64" s="866"/>
    </row>
    <row r="65" spans="1:8" x14ac:dyDescent="0.2">
      <c r="A65" s="870" t="s">
        <v>481</v>
      </c>
      <c r="B65" s="870" t="s">
        <v>1998</v>
      </c>
      <c r="C65" s="887" t="s">
        <v>1039</v>
      </c>
      <c r="D65" s="886" t="s">
        <v>1157</v>
      </c>
      <c r="E65" s="869"/>
      <c r="F65" s="1937">
        <f>'Expenditures 15-22'!G210</f>
        <v>534065</v>
      </c>
      <c r="G65" s="866"/>
    </row>
    <row r="66" spans="1:8" x14ac:dyDescent="0.2">
      <c r="A66" s="870" t="s">
        <v>481</v>
      </c>
      <c r="B66" s="870" t="s">
        <v>1999</v>
      </c>
      <c r="C66" s="887" t="s">
        <v>1039</v>
      </c>
      <c r="D66" s="886" t="s">
        <v>309</v>
      </c>
      <c r="E66" s="869"/>
      <c r="F66" s="1937">
        <f>'Expenditures 15-22'!I210</f>
        <v>27628</v>
      </c>
      <c r="G66" s="866"/>
    </row>
    <row r="67" spans="1:8" x14ac:dyDescent="0.2">
      <c r="A67" s="870" t="s">
        <v>482</v>
      </c>
      <c r="B67" s="870" t="s">
        <v>2000</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2001</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2002</v>
      </c>
      <c r="C70" s="887">
        <f>'Expenditures 15-22'!B221</f>
        <v>1300</v>
      </c>
      <c r="D70" s="888" t="str">
        <f>'Expenditures 15-22'!A221</f>
        <v>Adult/Continuing Education Programs</v>
      </c>
      <c r="E70" s="869"/>
      <c r="F70" s="1937">
        <f>'Expenditures 15-22'!K221</f>
        <v>0</v>
      </c>
      <c r="G70" s="866"/>
    </row>
    <row r="71" spans="1:8" x14ac:dyDescent="0.2">
      <c r="A71" s="870" t="s">
        <v>482</v>
      </c>
      <c r="B71" s="870" t="s">
        <v>2003</v>
      </c>
      <c r="C71" s="887">
        <f>'Expenditures 15-22'!B224</f>
        <v>1600</v>
      </c>
      <c r="D71" s="888" t="str">
        <f>'Expenditures 15-22'!A224</f>
        <v>Summer School Programs</v>
      </c>
      <c r="E71" s="869"/>
      <c r="F71" s="1937">
        <f>'Expenditures 15-22'!K224</f>
        <v>4337</v>
      </c>
      <c r="G71" s="866"/>
    </row>
    <row r="72" spans="1:8" x14ac:dyDescent="0.2">
      <c r="A72" s="870" t="s">
        <v>482</v>
      </c>
      <c r="B72" s="870" t="s">
        <v>2004</v>
      </c>
      <c r="C72" s="887">
        <f>'Expenditures 15-22'!B280</f>
        <v>3000</v>
      </c>
      <c r="D72" s="877" t="s">
        <v>469</v>
      </c>
      <c r="E72" s="869"/>
      <c r="F72" s="1937">
        <f>'Expenditures 15-22'!K280</f>
        <v>0</v>
      </c>
      <c r="G72" s="866"/>
    </row>
    <row r="73" spans="1:8" x14ac:dyDescent="0.2">
      <c r="A73" s="870" t="s">
        <v>482</v>
      </c>
      <c r="B73" s="870" t="s">
        <v>2005</v>
      </c>
      <c r="C73" s="887" t="str">
        <f>'Expenditures 15-22'!B285</f>
        <v>4000</v>
      </c>
      <c r="D73" s="888" t="str">
        <f>'Expenditures 15-22'!A285</f>
        <v>Total Payments to Other Govt Units</v>
      </c>
      <c r="E73" s="869"/>
      <c r="F73" s="1937">
        <f>'Expenditures 15-22'!K285</f>
        <v>0</v>
      </c>
      <c r="G73" s="866"/>
    </row>
    <row r="74" spans="1:8" x14ac:dyDescent="0.2">
      <c r="A74" s="870" t="s">
        <v>456</v>
      </c>
      <c r="B74" s="870" t="s">
        <v>2006</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1015</v>
      </c>
      <c r="F76" s="1800">
        <f>SUM(F18:F74)</f>
        <v>4309730</v>
      </c>
      <c r="G76" s="866"/>
    </row>
    <row r="77" spans="1:8" s="894" customFormat="1" ht="12" customHeight="1" thickTop="1" thickBot="1" x14ac:dyDescent="0.25">
      <c r="A77" s="1801"/>
      <c r="B77" s="1798"/>
      <c r="C77" s="1794"/>
      <c r="D77" s="1799" t="s">
        <v>2008</v>
      </c>
      <c r="E77" s="1796"/>
      <c r="F77" s="1802">
        <f>(F14-F76)</f>
        <v>87617311</v>
      </c>
      <c r="G77" s="870"/>
    </row>
    <row r="78" spans="1:8" s="894" customFormat="1" ht="12" customHeight="1" thickTop="1" x14ac:dyDescent="0.2">
      <c r="A78" s="1803"/>
      <c r="B78" s="1798"/>
      <c r="C78" s="1794"/>
      <c r="D78" s="1799" t="s">
        <v>2054</v>
      </c>
      <c r="E78" s="1796"/>
      <c r="F78" s="899">
        <v>5585.74</v>
      </c>
      <c r="G78" s="900"/>
      <c r="H78" s="870"/>
    </row>
    <row r="79" spans="1:8" s="894" customFormat="1" ht="12" customHeight="1" thickBot="1" x14ac:dyDescent="0.25">
      <c r="A79" s="1804"/>
      <c r="B79" s="1798"/>
      <c r="C79" s="1794"/>
      <c r="D79" s="1799" t="s">
        <v>2009</v>
      </c>
      <c r="E79" s="1796" t="s">
        <v>1015</v>
      </c>
      <c r="F79" s="1805">
        <f>IF(F78&gt;0,F77/F78," Complete Line 78")</f>
        <v>15685.891394873375</v>
      </c>
      <c r="G79" s="870"/>
    </row>
    <row r="80" spans="1:8" s="894" customFormat="1" ht="8.25" customHeight="1" thickTop="1" x14ac:dyDescent="0.2">
      <c r="A80" s="901"/>
      <c r="B80" s="870"/>
      <c r="C80" s="872"/>
      <c r="D80" s="902"/>
      <c r="E80" s="869"/>
      <c r="F80" s="903"/>
      <c r="G80" s="870"/>
    </row>
    <row r="81" spans="1:7" s="894" customFormat="1" ht="12" thickBot="1" x14ac:dyDescent="0.25">
      <c r="A81" s="2343" t="s">
        <v>1167</v>
      </c>
      <c r="B81" s="2344"/>
      <c r="C81" s="2344"/>
      <c r="D81" s="2344"/>
      <c r="E81" s="2344"/>
      <c r="F81" s="234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172</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54994</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965178</v>
      </c>
      <c r="G94" s="913"/>
    </row>
    <row r="95" spans="1:7" x14ac:dyDescent="0.2">
      <c r="A95" s="909" t="s">
        <v>142</v>
      </c>
      <c r="B95" s="909" t="s">
        <v>177</v>
      </c>
      <c r="C95" s="911">
        <v>1700</v>
      </c>
      <c r="D95" s="919" t="str">
        <f>'Revenues 9-14'!A82</f>
        <v>Total District/School Activity Income</v>
      </c>
      <c r="E95" s="907"/>
      <c r="F95" s="1811">
        <f>SUM('Revenues 9-14'!C82,'Revenues 9-14'!D82)</f>
        <v>1798866</v>
      </c>
      <c r="G95" s="913"/>
    </row>
    <row r="96" spans="1:7" x14ac:dyDescent="0.2">
      <c r="A96" s="909" t="s">
        <v>479</v>
      </c>
      <c r="B96" s="909" t="s">
        <v>178</v>
      </c>
      <c r="C96" s="911">
        <f>'Revenues 9-14'!B84</f>
        <v>1811</v>
      </c>
      <c r="D96" s="912" t="str">
        <f>'Revenues 9-14'!A84</f>
        <v>Rentals - Regular Textbooks</v>
      </c>
      <c r="E96" s="907"/>
      <c r="F96" s="1811">
        <f>'Revenues 9-14'!C84</f>
        <v>1104370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182</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250</v>
      </c>
      <c r="G100" s="913"/>
    </row>
    <row r="101" spans="1:7" x14ac:dyDescent="0.2">
      <c r="A101" s="909" t="s">
        <v>142</v>
      </c>
      <c r="B101" s="909" t="s">
        <v>183</v>
      </c>
      <c r="C101" s="911">
        <f>'Revenues 9-14'!B95</f>
        <v>1910</v>
      </c>
      <c r="D101" s="912" t="str">
        <f>'Revenues 9-14'!A95</f>
        <v>Rentals</v>
      </c>
      <c r="E101" s="907"/>
      <c r="F101" s="1811">
        <f>SUM('Revenues 9-14'!C95:D95)</f>
        <v>92703</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1197</v>
      </c>
      <c r="G103" s="913"/>
    </row>
    <row r="104" spans="1:7" x14ac:dyDescent="0.2">
      <c r="A104" s="909" t="s">
        <v>479</v>
      </c>
      <c r="B104" s="909" t="s">
        <v>841</v>
      </c>
      <c r="C104" s="911">
        <f>'Revenues 9-14'!B106</f>
        <v>1993</v>
      </c>
      <c r="D104" s="912" t="str">
        <f>'Revenues 9-14'!A106</f>
        <v>Other Local Fees (Describe &amp; Itemize)</v>
      </c>
      <c r="E104" s="907"/>
      <c r="F104" s="1811">
        <f>('Revenues 9-14'!C106)</f>
        <v>115661</v>
      </c>
      <c r="G104" s="913"/>
    </row>
    <row r="105" spans="1:7" x14ac:dyDescent="0.2">
      <c r="A105" s="909" t="s">
        <v>524</v>
      </c>
      <c r="B105" s="909" t="s">
        <v>842</v>
      </c>
      <c r="C105" s="914">
        <v>3100</v>
      </c>
      <c r="D105" s="920" t="str">
        <f>'Revenues 9-14'!A131</f>
        <v>Total Special Education</v>
      </c>
      <c r="E105" s="907"/>
      <c r="F105" s="1811">
        <f>SUM('Revenues 9-14'!C131:D131,'Revenues 9-14'!F131)</f>
        <v>700167</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139324</v>
      </c>
      <c r="G106" s="913"/>
    </row>
    <row r="107" spans="1:7" x14ac:dyDescent="0.2">
      <c r="A107" s="922" t="s">
        <v>685</v>
      </c>
      <c r="B107" s="909" t="s">
        <v>843</v>
      </c>
      <c r="C107" s="921">
        <v>3300</v>
      </c>
      <c r="D107" s="912" t="str">
        <f>'Revenues 9-14'!A144</f>
        <v>Total Bilingual Ed</v>
      </c>
      <c r="E107" s="907"/>
      <c r="F107" s="1811">
        <f>SUM('Revenues 9-14'!C144,'Revenues 9-14'!G144)</f>
        <v>21506</v>
      </c>
      <c r="G107" s="913"/>
    </row>
    <row r="108" spans="1:7" x14ac:dyDescent="0.2">
      <c r="A108" s="909" t="s">
        <v>479</v>
      </c>
      <c r="B108" s="909" t="s">
        <v>844</v>
      </c>
      <c r="C108" s="921">
        <f>'Revenues 9-14'!B145</f>
        <v>3360</v>
      </c>
      <c r="D108" s="912" t="str">
        <f>'Revenues 9-14'!A145</f>
        <v>State Free Lunch &amp; Breakfast</v>
      </c>
      <c r="E108" s="907"/>
      <c r="F108" s="1811">
        <f>'Revenues 9-14'!C145</f>
        <v>3866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188338</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1209762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32803</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514302</v>
      </c>
      <c r="G129" s="931"/>
    </row>
    <row r="130" spans="1:7" x14ac:dyDescent="0.2">
      <c r="A130" s="928" t="s">
        <v>689</v>
      </c>
      <c r="B130" s="928" t="s">
        <v>804</v>
      </c>
      <c r="C130" s="933">
        <v>4300</v>
      </c>
      <c r="D130" s="934" t="str">
        <f>'Revenues 9-14'!A211</f>
        <v>Total Title I</v>
      </c>
      <c r="E130" s="907"/>
      <c r="F130" s="1811">
        <f>SUM('Revenues 9-14'!C211,'Revenues 9-14'!D211,'Revenues 9-14'!F211,'Revenues 9-14'!G211)</f>
        <v>428666</v>
      </c>
      <c r="G130" s="931"/>
    </row>
    <row r="131" spans="1:7" x14ac:dyDescent="0.2">
      <c r="A131" s="928" t="s">
        <v>689</v>
      </c>
      <c r="B131" s="928" t="s">
        <v>805</v>
      </c>
      <c r="C131" s="933">
        <v>4400</v>
      </c>
      <c r="D131" s="934" t="str">
        <f>'Revenues 9-14'!A216</f>
        <v>Total Title IV</v>
      </c>
      <c r="E131" s="907"/>
      <c r="F131" s="1811">
        <f>SUM('Revenues 9-14'!C216,'Revenues 9-14'!D216,'Revenues 9-14'!F216,'Revenues 9-14'!G216)</f>
        <v>6100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1182936</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142351</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121800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58954</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48370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131363</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19508</v>
      </c>
      <c r="G174" s="928"/>
    </row>
    <row r="175" spans="1:7" x14ac:dyDescent="0.2">
      <c r="A175" s="1942" t="s">
        <v>5</v>
      </c>
      <c r="B175" s="1943" t="s">
        <v>2053</v>
      </c>
      <c r="C175" s="1944">
        <v>3100</v>
      </c>
      <c r="D175" s="1945" t="s">
        <v>2056</v>
      </c>
      <c r="E175" s="907"/>
      <c r="F175" s="1929"/>
      <c r="G175" s="928"/>
    </row>
    <row r="176" spans="1:7" x14ac:dyDescent="0.2">
      <c r="A176" s="1942" t="s">
        <v>685</v>
      </c>
      <c r="B176" s="1943" t="s">
        <v>2053</v>
      </c>
      <c r="C176" s="1944">
        <v>3300</v>
      </c>
      <c r="D176" s="1945" t="s">
        <v>2057</v>
      </c>
      <c r="E176" s="907"/>
      <c r="F176" s="1929"/>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1015</v>
      </c>
      <c r="F178" s="1810">
        <f>SUM(F84:F136,F161:F176)</f>
        <v>9083689</v>
      </c>
    </row>
    <row r="179" spans="1:7" ht="12" customHeight="1" x14ac:dyDescent="0.2">
      <c r="A179" s="1792"/>
      <c r="B179" s="1806"/>
      <c r="C179" s="1807"/>
      <c r="D179" s="1808" t="s">
        <v>2011</v>
      </c>
      <c r="E179" s="1809"/>
      <c r="F179" s="1811">
        <f>'PCTC-OEPP 27-28'!F77-F178</f>
        <v>78533622</v>
      </c>
    </row>
    <row r="180" spans="1:7" ht="12" customHeight="1" x14ac:dyDescent="0.2">
      <c r="A180" s="1792"/>
      <c r="B180" s="1806"/>
      <c r="C180" s="1807"/>
      <c r="D180" s="1808" t="s">
        <v>1921</v>
      </c>
      <c r="E180" s="1809"/>
      <c r="F180" s="1811">
        <f>'Cap Outlay Deprec 26'!I18</f>
        <v>2744052</v>
      </c>
    </row>
    <row r="181" spans="1:7" ht="12" customHeight="1" x14ac:dyDescent="0.2">
      <c r="A181" s="1792"/>
      <c r="B181" s="1806"/>
      <c r="C181" s="1807"/>
      <c r="D181" s="1808" t="s">
        <v>2012</v>
      </c>
      <c r="E181" s="1809"/>
      <c r="F181" s="1811">
        <f>F179+F180</f>
        <v>81277674</v>
      </c>
    </row>
    <row r="182" spans="1:7" ht="12" customHeight="1" x14ac:dyDescent="0.2">
      <c r="A182" s="1792"/>
      <c r="B182" s="1812"/>
      <c r="C182" s="1807"/>
      <c r="D182" s="1808" t="str">
        <f>D78</f>
        <v>9 Month ADA from District Average Daily Attendance/Prior General State Aid Inquiry 2017-2018</v>
      </c>
      <c r="E182" s="1809"/>
      <c r="F182" s="1813">
        <f>'PCTC-OEPP 27-28'!F78</f>
        <v>5585.74</v>
      </c>
      <c r="G182" s="931"/>
    </row>
    <row r="183" spans="1:7" ht="12" customHeight="1" thickBot="1" x14ac:dyDescent="0.25">
      <c r="A183" s="1792"/>
      <c r="B183" s="1812"/>
      <c r="C183" s="1807"/>
      <c r="D183" s="1808" t="s">
        <v>2013</v>
      </c>
      <c r="E183" s="1809" t="s">
        <v>1626</v>
      </c>
      <c r="F183" s="1814">
        <f>F181/F182</f>
        <v>14550.923243831614</v>
      </c>
      <c r="G183" s="857">
        <v>6323</v>
      </c>
    </row>
    <row r="184" spans="1:7" ht="12" thickTop="1" x14ac:dyDescent="0.2">
      <c r="B184" s="931"/>
      <c r="C184" s="950"/>
      <c r="D184" s="931"/>
      <c r="E184" s="950"/>
      <c r="F184" s="931"/>
      <c r="G184" s="952">
        <v>6326</v>
      </c>
    </row>
    <row r="185" spans="1:7" ht="12.2" customHeight="1" x14ac:dyDescent="0.2">
      <c r="A185" s="931" t="s">
        <v>2055</v>
      </c>
      <c r="B185" s="931"/>
      <c r="C185" s="950"/>
      <c r="D185" s="931"/>
      <c r="E185" s="950"/>
      <c r="F185" s="931"/>
      <c r="G185" s="931"/>
    </row>
    <row r="186" spans="1:7" s="1946" customFormat="1" ht="12.2" customHeight="1" x14ac:dyDescent="0.2">
      <c r="A186" s="1946" t="s">
        <v>2060</v>
      </c>
      <c r="B186" s="1947"/>
      <c r="C186" s="1948"/>
      <c r="D186" s="1947"/>
      <c r="E186" s="1948"/>
      <c r="F186" s="1947"/>
      <c r="G186" s="1947"/>
    </row>
    <row r="187" spans="1:7" s="1946" customFormat="1" ht="12.2" customHeight="1" x14ac:dyDescent="0.2">
      <c r="A187" s="1949" t="s">
        <v>2061</v>
      </c>
      <c r="C187" s="1948"/>
      <c r="D187" s="1947"/>
      <c r="E187" s="1948"/>
      <c r="F187" s="1947"/>
      <c r="G187" s="1947"/>
    </row>
    <row r="188" spans="1:7" ht="12" customHeight="1" x14ac:dyDescent="0.2">
      <c r="C188" s="950"/>
      <c r="D188" s="931"/>
      <c r="E188" s="950"/>
      <c r="F188" s="931"/>
      <c r="G188" s="931"/>
    </row>
    <row r="189" spans="1:7" x14ac:dyDescent="0.2">
      <c r="A189" s="1950" t="s">
        <v>2059</v>
      </c>
      <c r="B189" s="1951" t="s">
        <v>2058</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D19" sqref="AD19"/>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357" t="s">
        <v>1922</v>
      </c>
      <c r="B4" s="2358"/>
      <c r="C4" s="2358"/>
      <c r="D4" s="2358"/>
      <c r="E4" s="2358"/>
      <c r="F4" s="2358"/>
      <c r="G4" s="2359"/>
    </row>
    <row r="5" spans="1:7" x14ac:dyDescent="0.25">
      <c r="A5" s="2360"/>
      <c r="B5" s="2361"/>
      <c r="C5" s="2361"/>
      <c r="D5" s="2361"/>
      <c r="E5" s="2361"/>
      <c r="F5" s="2361"/>
      <c r="G5" s="2362"/>
    </row>
    <row r="6" spans="1:7" ht="18.75" x14ac:dyDescent="0.25">
      <c r="A6" s="1556" t="s">
        <v>1923</v>
      </c>
      <c r="B6" s="1557"/>
      <c r="C6" s="1557"/>
      <c r="D6" s="1557"/>
      <c r="E6" s="1557"/>
      <c r="F6" s="1557"/>
      <c r="G6" s="1558"/>
    </row>
    <row r="7" spans="1:7" ht="30.75" customHeight="1" x14ac:dyDescent="0.25">
      <c r="A7" s="2363" t="s">
        <v>2070</v>
      </c>
      <c r="B7" s="2364"/>
      <c r="C7" s="2364"/>
      <c r="D7" s="2364"/>
      <c r="E7" s="2364"/>
      <c r="F7" s="2364"/>
      <c r="G7" s="2365"/>
    </row>
    <row r="8" spans="1:7" ht="15.75" customHeight="1" x14ac:dyDescent="0.25">
      <c r="A8" s="2366" t="s">
        <v>2019</v>
      </c>
      <c r="B8" s="2367"/>
      <c r="C8" s="2367"/>
      <c r="D8" s="2367"/>
      <c r="E8" s="2367"/>
      <c r="F8" s="2367"/>
      <c r="G8" s="2368"/>
    </row>
    <row r="9" spans="1:7" ht="35.25" customHeight="1" x14ac:dyDescent="0.25">
      <c r="A9" s="2363" t="s">
        <v>2073</v>
      </c>
      <c r="B9" s="2364"/>
      <c r="C9" s="2364"/>
      <c r="D9" s="2364"/>
      <c r="E9" s="2364"/>
      <c r="F9" s="2364"/>
      <c r="G9" s="2365"/>
    </row>
    <row r="10" spans="1:7" ht="15" customHeight="1" x14ac:dyDescent="0.25">
      <c r="A10" s="1559" t="s">
        <v>1924</v>
      </c>
      <c r="B10" s="1560"/>
      <c r="C10" s="1560"/>
      <c r="D10" s="1560"/>
      <c r="E10" s="1560"/>
      <c r="F10" s="1560"/>
      <c r="G10" s="1561"/>
    </row>
    <row r="11" spans="1:7" ht="17.25" customHeight="1" x14ac:dyDescent="0.25">
      <c r="A11" s="2363" t="s">
        <v>2072</v>
      </c>
      <c r="B11" s="2364"/>
      <c r="C11" s="2364"/>
      <c r="D11" s="2364"/>
      <c r="E11" s="2364"/>
      <c r="F11" s="2364"/>
      <c r="G11" s="2365"/>
    </row>
    <row r="12" spans="1:7" ht="15" customHeight="1" x14ac:dyDescent="0.25">
      <c r="A12" s="1559" t="s">
        <v>1929</v>
      </c>
      <c r="B12" s="1560"/>
      <c r="C12" s="1560"/>
      <c r="D12" s="1560"/>
      <c r="E12" s="1560"/>
      <c r="F12" s="1560"/>
      <c r="G12" s="1561"/>
    </row>
    <row r="13" spans="1:7" ht="32.25" customHeight="1" x14ac:dyDescent="0.25">
      <c r="A13" s="2354" t="s">
        <v>1930</v>
      </c>
      <c r="B13" s="2355"/>
      <c r="C13" s="2355"/>
      <c r="D13" s="2355"/>
      <c r="E13" s="2355"/>
      <c r="F13" s="2355"/>
      <c r="G13" s="2356"/>
    </row>
    <row r="14" spans="1:7" x14ac:dyDescent="0.25">
      <c r="A14" s="1683" t="s">
        <v>1938</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1939</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2001" t="s">
        <v>2188</v>
      </c>
      <c r="B17" s="2013" t="s">
        <v>1928</v>
      </c>
      <c r="C17" s="2027" t="s">
        <v>2189</v>
      </c>
      <c r="D17" s="2012">
        <v>94067</v>
      </c>
      <c r="E17" s="1562">
        <f t="shared" ref="E17:E141" si="1">IF(D17&lt;=25000,D17,IF(D17&gt;25000,25000,0))</f>
        <v>25000</v>
      </c>
      <c r="F17" s="1815">
        <f t="shared" si="0"/>
        <v>25000</v>
      </c>
      <c r="G17" s="1816">
        <f>IF(F17=0,0,D17-F17)</f>
        <v>69067</v>
      </c>
      <c r="H17" s="1669"/>
    </row>
    <row r="18" spans="1:8" x14ac:dyDescent="0.25">
      <c r="A18" s="2001" t="s">
        <v>2188</v>
      </c>
      <c r="B18" s="2014" t="s">
        <v>2190</v>
      </c>
      <c r="C18" s="2006" t="s">
        <v>2191</v>
      </c>
      <c r="D18" s="2020">
        <v>32160</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7160</v>
      </c>
    </row>
    <row r="19" spans="1:8" x14ac:dyDescent="0.25">
      <c r="A19" s="2002" t="s">
        <v>537</v>
      </c>
      <c r="B19" s="2015" t="s">
        <v>2192</v>
      </c>
      <c r="C19" s="2007" t="s">
        <v>2193</v>
      </c>
      <c r="D19" s="2021">
        <v>211164.22</v>
      </c>
      <c r="E19" s="1562">
        <f t="shared" si="2"/>
        <v>25000</v>
      </c>
      <c r="F19" s="1815">
        <f t="shared" si="3"/>
        <v>25000</v>
      </c>
      <c r="G19" s="1816">
        <f t="shared" si="4"/>
        <v>186164.22</v>
      </c>
    </row>
    <row r="20" spans="1:8" x14ac:dyDescent="0.25">
      <c r="A20" s="2001" t="s">
        <v>2188</v>
      </c>
      <c r="B20" s="2016" t="s">
        <v>1928</v>
      </c>
      <c r="C20" s="2008" t="s">
        <v>2194</v>
      </c>
      <c r="D20" s="2022">
        <v>64721.079999999994</v>
      </c>
      <c r="E20" s="1562">
        <f t="shared" si="2"/>
        <v>25000</v>
      </c>
      <c r="F20" s="1815">
        <f t="shared" si="3"/>
        <v>25000</v>
      </c>
      <c r="G20" s="1816">
        <f t="shared" si="4"/>
        <v>39721.079999999994</v>
      </c>
    </row>
    <row r="21" spans="1:8" x14ac:dyDescent="0.25">
      <c r="A21" s="2001" t="s">
        <v>2188</v>
      </c>
      <c r="B21" s="2017" t="s">
        <v>2190</v>
      </c>
      <c r="C21" s="2009" t="s">
        <v>2195</v>
      </c>
      <c r="D21" s="2023">
        <v>79999.98</v>
      </c>
      <c r="E21" s="1562">
        <f t="shared" si="2"/>
        <v>25000</v>
      </c>
      <c r="F21" s="1815">
        <f t="shared" si="3"/>
        <v>25000</v>
      </c>
      <c r="G21" s="1816">
        <f t="shared" si="4"/>
        <v>54999.979999999996</v>
      </c>
    </row>
    <row r="22" spans="1:8" x14ac:dyDescent="0.25">
      <c r="A22" s="2002" t="s">
        <v>537</v>
      </c>
      <c r="B22" s="2017" t="s">
        <v>2192</v>
      </c>
      <c r="C22" s="2010" t="s">
        <v>2196</v>
      </c>
      <c r="D22" s="2021">
        <v>248807.27999999997</v>
      </c>
      <c r="E22" s="1562">
        <f t="shared" si="2"/>
        <v>25000</v>
      </c>
      <c r="F22" s="1815">
        <f t="shared" si="3"/>
        <v>25000</v>
      </c>
      <c r="G22" s="1816">
        <f t="shared" si="4"/>
        <v>223807.27999999997</v>
      </c>
    </row>
    <row r="23" spans="1:8" x14ac:dyDescent="0.25">
      <c r="A23" s="2001" t="s">
        <v>2197</v>
      </c>
      <c r="B23" s="2017" t="s">
        <v>2198</v>
      </c>
      <c r="C23" s="2010" t="s">
        <v>2199</v>
      </c>
      <c r="D23" s="2021">
        <v>28958</v>
      </c>
      <c r="E23" s="1562">
        <f t="shared" si="2"/>
        <v>25000</v>
      </c>
      <c r="F23" s="1815">
        <f t="shared" si="3"/>
        <v>25000</v>
      </c>
      <c r="G23" s="1816">
        <f t="shared" si="4"/>
        <v>3958</v>
      </c>
    </row>
    <row r="24" spans="1:8" x14ac:dyDescent="0.25">
      <c r="A24" s="2001" t="s">
        <v>2188</v>
      </c>
      <c r="B24" s="2017" t="s">
        <v>1928</v>
      </c>
      <c r="C24" s="2010" t="s">
        <v>2200</v>
      </c>
      <c r="D24" s="2021">
        <v>34065.1</v>
      </c>
      <c r="E24" s="1562">
        <f t="shared" si="2"/>
        <v>25000</v>
      </c>
      <c r="F24" s="1815">
        <f t="shared" si="3"/>
        <v>25000</v>
      </c>
      <c r="G24" s="1816">
        <f t="shared" si="4"/>
        <v>9065.0999999999985</v>
      </c>
    </row>
    <row r="25" spans="1:8" x14ac:dyDescent="0.25">
      <c r="A25" s="2001" t="s">
        <v>2197</v>
      </c>
      <c r="B25" s="2018" t="s">
        <v>2201</v>
      </c>
      <c r="C25" s="2011" t="s">
        <v>2202</v>
      </c>
      <c r="D25" s="2024">
        <v>74063</v>
      </c>
      <c r="E25" s="1562">
        <f t="shared" si="2"/>
        <v>25000</v>
      </c>
      <c r="F25" s="1815">
        <f t="shared" si="3"/>
        <v>25000</v>
      </c>
      <c r="G25" s="1816">
        <f t="shared" si="4"/>
        <v>49063</v>
      </c>
    </row>
    <row r="26" spans="1:8" x14ac:dyDescent="0.25">
      <c r="A26" s="2001" t="s">
        <v>2188</v>
      </c>
      <c r="B26" s="2017" t="s">
        <v>2190</v>
      </c>
      <c r="C26" s="2010" t="s">
        <v>2203</v>
      </c>
      <c r="D26" s="2021">
        <v>241816.83</v>
      </c>
      <c r="E26" s="1562">
        <f t="shared" si="2"/>
        <v>25000</v>
      </c>
      <c r="F26" s="1815">
        <f t="shared" si="3"/>
        <v>25000</v>
      </c>
      <c r="G26" s="1816">
        <f t="shared" si="4"/>
        <v>216816.83</v>
      </c>
    </row>
    <row r="27" spans="1:8" x14ac:dyDescent="0.25">
      <c r="A27" s="2001" t="s">
        <v>2188</v>
      </c>
      <c r="B27" s="2017" t="s">
        <v>2190</v>
      </c>
      <c r="C27" s="2010" t="s">
        <v>2204</v>
      </c>
      <c r="D27" s="2021">
        <v>125328</v>
      </c>
      <c r="E27" s="1562">
        <f t="shared" si="2"/>
        <v>25000</v>
      </c>
      <c r="F27" s="1815">
        <f t="shared" si="3"/>
        <v>25000</v>
      </c>
      <c r="G27" s="1816">
        <f t="shared" si="4"/>
        <v>100328</v>
      </c>
    </row>
    <row r="28" spans="1:8" x14ac:dyDescent="0.25">
      <c r="A28" s="2003" t="s">
        <v>537</v>
      </c>
      <c r="B28" s="2017" t="s">
        <v>2205</v>
      </c>
      <c r="C28" s="2010" t="s">
        <v>2206</v>
      </c>
      <c r="D28" s="2021">
        <v>35655</v>
      </c>
      <c r="E28" s="1562">
        <f t="shared" si="2"/>
        <v>25000</v>
      </c>
      <c r="F28" s="1815">
        <f t="shared" si="3"/>
        <v>25000</v>
      </c>
      <c r="G28" s="1816">
        <f t="shared" si="4"/>
        <v>10655</v>
      </c>
    </row>
    <row r="29" spans="1:8" x14ac:dyDescent="0.25">
      <c r="A29" s="2003" t="s">
        <v>537</v>
      </c>
      <c r="B29" s="2017" t="s">
        <v>2205</v>
      </c>
      <c r="C29" s="2010" t="s">
        <v>2207</v>
      </c>
      <c r="D29" s="2021">
        <v>53500</v>
      </c>
      <c r="E29" s="1562">
        <f t="shared" si="2"/>
        <v>25000</v>
      </c>
      <c r="F29" s="1815">
        <f t="shared" si="3"/>
        <v>25000</v>
      </c>
      <c r="G29" s="1816">
        <f t="shared" si="4"/>
        <v>28500</v>
      </c>
    </row>
    <row r="30" spans="1:8" x14ac:dyDescent="0.25">
      <c r="A30" s="2001" t="s">
        <v>2188</v>
      </c>
      <c r="B30" s="2017" t="s">
        <v>1928</v>
      </c>
      <c r="C30" s="2010" t="s">
        <v>2208</v>
      </c>
      <c r="D30" s="2021">
        <v>190889.47</v>
      </c>
      <c r="E30" s="1562">
        <f t="shared" si="2"/>
        <v>25000</v>
      </c>
      <c r="F30" s="1815">
        <f t="shared" si="3"/>
        <v>25000</v>
      </c>
      <c r="G30" s="1816">
        <f t="shared" si="4"/>
        <v>165889.47</v>
      </c>
    </row>
    <row r="31" spans="1:8" x14ac:dyDescent="0.25">
      <c r="A31" s="2001" t="s">
        <v>2209</v>
      </c>
      <c r="B31" s="2017" t="s">
        <v>2210</v>
      </c>
      <c r="C31" s="2010" t="s">
        <v>2211</v>
      </c>
      <c r="D31" s="2021">
        <v>217727.09</v>
      </c>
      <c r="E31" s="1562">
        <f t="shared" si="2"/>
        <v>25000</v>
      </c>
      <c r="F31" s="1815">
        <f t="shared" si="3"/>
        <v>25000</v>
      </c>
      <c r="G31" s="1816">
        <f t="shared" si="4"/>
        <v>192727.09</v>
      </c>
    </row>
    <row r="32" spans="1:8" x14ac:dyDescent="0.25">
      <c r="A32" s="2004" t="s">
        <v>537</v>
      </c>
      <c r="B32" s="2017" t="s">
        <v>2192</v>
      </c>
      <c r="C32" s="2010" t="s">
        <v>2212</v>
      </c>
      <c r="D32" s="2025">
        <v>990804.97000000044</v>
      </c>
      <c r="E32" s="1562">
        <f t="shared" si="2"/>
        <v>25000</v>
      </c>
      <c r="F32" s="1815">
        <f t="shared" si="3"/>
        <v>25000</v>
      </c>
      <c r="G32" s="1816">
        <f t="shared" si="4"/>
        <v>965804.97000000044</v>
      </c>
    </row>
    <row r="33" spans="1:7" x14ac:dyDescent="0.25">
      <c r="A33" s="2001" t="s">
        <v>2188</v>
      </c>
      <c r="B33" s="2017" t="s">
        <v>2213</v>
      </c>
      <c r="C33" s="2010" t="s">
        <v>2214</v>
      </c>
      <c r="D33" s="2021">
        <v>48622.3</v>
      </c>
      <c r="E33" s="1562">
        <f t="shared" si="2"/>
        <v>25000</v>
      </c>
      <c r="F33" s="1815">
        <f t="shared" si="3"/>
        <v>25000</v>
      </c>
      <c r="G33" s="1816">
        <f t="shared" si="4"/>
        <v>23622.300000000003</v>
      </c>
    </row>
    <row r="34" spans="1:7" x14ac:dyDescent="0.25">
      <c r="A34" s="2001" t="s">
        <v>2188</v>
      </c>
      <c r="B34" s="2017" t="s">
        <v>1928</v>
      </c>
      <c r="C34" s="2010" t="s">
        <v>2215</v>
      </c>
      <c r="D34" s="2021">
        <v>51432.480000000003</v>
      </c>
      <c r="E34" s="1562">
        <f t="shared" si="2"/>
        <v>25000</v>
      </c>
      <c r="F34" s="1815">
        <f t="shared" si="3"/>
        <v>25000</v>
      </c>
      <c r="G34" s="1816">
        <f t="shared" si="4"/>
        <v>26432.480000000003</v>
      </c>
    </row>
    <row r="35" spans="1:7" x14ac:dyDescent="0.25">
      <c r="A35" s="2001" t="s">
        <v>2216</v>
      </c>
      <c r="B35" s="2017" t="s">
        <v>2217</v>
      </c>
      <c r="C35" s="2010" t="s">
        <v>2218</v>
      </c>
      <c r="D35" s="2021">
        <v>97458.74</v>
      </c>
      <c r="E35" s="1562">
        <f t="shared" si="2"/>
        <v>25000</v>
      </c>
      <c r="F35" s="1815">
        <f t="shared" si="3"/>
        <v>25000</v>
      </c>
      <c r="G35" s="1816">
        <f t="shared" si="4"/>
        <v>72458.740000000005</v>
      </c>
    </row>
    <row r="36" spans="1:7" x14ac:dyDescent="0.25">
      <c r="A36" s="2001" t="s">
        <v>2188</v>
      </c>
      <c r="B36" s="2017" t="s">
        <v>2190</v>
      </c>
      <c r="C36" s="2010" t="s">
        <v>2219</v>
      </c>
      <c r="D36" s="2021">
        <v>47700</v>
      </c>
      <c r="E36" s="1562">
        <f t="shared" si="2"/>
        <v>25000</v>
      </c>
      <c r="F36" s="1815">
        <f t="shared" si="3"/>
        <v>25000</v>
      </c>
      <c r="G36" s="1816">
        <f t="shared" si="4"/>
        <v>22700</v>
      </c>
    </row>
    <row r="37" spans="1:7" x14ac:dyDescent="0.25">
      <c r="A37" s="2005" t="s">
        <v>538</v>
      </c>
      <c r="B37" s="2017" t="s">
        <v>2220</v>
      </c>
      <c r="C37" s="2010" t="s">
        <v>2221</v>
      </c>
      <c r="D37" s="2021">
        <v>39584</v>
      </c>
      <c r="E37" s="1562">
        <f t="shared" si="2"/>
        <v>25000</v>
      </c>
      <c r="F37" s="1815">
        <f t="shared" si="3"/>
        <v>25000</v>
      </c>
      <c r="G37" s="1816">
        <f t="shared" si="4"/>
        <v>14584</v>
      </c>
    </row>
    <row r="38" spans="1:7" x14ac:dyDescent="0.25">
      <c r="A38" s="2001" t="s">
        <v>2188</v>
      </c>
      <c r="B38" s="2017" t="s">
        <v>1928</v>
      </c>
      <c r="C38" s="2010" t="s">
        <v>2222</v>
      </c>
      <c r="D38" s="2021">
        <v>206573.74</v>
      </c>
      <c r="E38" s="1562">
        <f t="shared" si="2"/>
        <v>25000</v>
      </c>
      <c r="F38" s="1815">
        <f t="shared" si="3"/>
        <v>25000</v>
      </c>
      <c r="G38" s="1816">
        <f t="shared" si="4"/>
        <v>181573.74</v>
      </c>
    </row>
    <row r="39" spans="1:7" x14ac:dyDescent="0.25">
      <c r="A39" s="2003" t="s">
        <v>537</v>
      </c>
      <c r="B39" s="2017" t="s">
        <v>2205</v>
      </c>
      <c r="C39" s="2010" t="s">
        <v>2223</v>
      </c>
      <c r="D39" s="2021">
        <v>53958</v>
      </c>
      <c r="E39" s="1562">
        <f t="shared" si="2"/>
        <v>25000</v>
      </c>
      <c r="F39" s="1815">
        <f t="shared" si="3"/>
        <v>25000</v>
      </c>
      <c r="G39" s="1816">
        <f t="shared" si="4"/>
        <v>28958</v>
      </c>
    </row>
    <row r="40" spans="1:7" x14ac:dyDescent="0.25">
      <c r="A40" s="2001" t="s">
        <v>2224</v>
      </c>
      <c r="B40" s="2017" t="s">
        <v>2225</v>
      </c>
      <c r="C40" s="2010" t="s">
        <v>2226</v>
      </c>
      <c r="D40" s="2021">
        <v>94537.5</v>
      </c>
      <c r="E40" s="1562">
        <f t="shared" si="2"/>
        <v>25000</v>
      </c>
      <c r="F40" s="1815">
        <f t="shared" si="3"/>
        <v>25000</v>
      </c>
      <c r="G40" s="1816">
        <f t="shared" si="4"/>
        <v>69537.5</v>
      </c>
    </row>
    <row r="41" spans="1:7" x14ac:dyDescent="0.25">
      <c r="A41" s="2001" t="s">
        <v>2224</v>
      </c>
      <c r="B41" s="2017" t="s">
        <v>2227</v>
      </c>
      <c r="C41" s="2010" t="s">
        <v>2228</v>
      </c>
      <c r="D41" s="2021">
        <v>42380</v>
      </c>
      <c r="E41" s="1562">
        <f t="shared" si="2"/>
        <v>25000</v>
      </c>
      <c r="F41" s="1815">
        <f t="shared" si="3"/>
        <v>25000</v>
      </c>
      <c r="G41" s="1816">
        <f t="shared" si="4"/>
        <v>17380</v>
      </c>
    </row>
    <row r="42" spans="1:7" x14ac:dyDescent="0.25">
      <c r="A42" s="2005" t="s">
        <v>2229</v>
      </c>
      <c r="B42" s="2017" t="s">
        <v>2230</v>
      </c>
      <c r="C42" s="2010" t="s">
        <v>2231</v>
      </c>
      <c r="D42" s="2021">
        <v>1025330.6400000001</v>
      </c>
      <c r="E42" s="1562">
        <f t="shared" si="2"/>
        <v>25000</v>
      </c>
      <c r="F42" s="1815">
        <f t="shared" si="3"/>
        <v>25000</v>
      </c>
      <c r="G42" s="1816">
        <f t="shared" si="4"/>
        <v>1000330.6400000001</v>
      </c>
    </row>
    <row r="43" spans="1:7" x14ac:dyDescent="0.25">
      <c r="A43" s="2001" t="s">
        <v>2209</v>
      </c>
      <c r="B43" s="2017" t="s">
        <v>2210</v>
      </c>
      <c r="C43" s="2010" t="s">
        <v>2232</v>
      </c>
      <c r="D43" s="2021">
        <v>35000</v>
      </c>
      <c r="E43" s="1562">
        <f t="shared" si="2"/>
        <v>25000</v>
      </c>
      <c r="F43" s="1815">
        <f t="shared" si="3"/>
        <v>25000</v>
      </c>
      <c r="G43" s="1816">
        <f t="shared" si="4"/>
        <v>10000</v>
      </c>
    </row>
    <row r="44" spans="1:7" x14ac:dyDescent="0.25">
      <c r="A44" s="2005" t="s">
        <v>538</v>
      </c>
      <c r="B44" s="2019" t="s">
        <v>2220</v>
      </c>
      <c r="C44" s="2009" t="s">
        <v>2233</v>
      </c>
      <c r="D44" s="2026">
        <v>2961927.67</v>
      </c>
      <c r="E44" s="1562">
        <f t="shared" si="2"/>
        <v>25000</v>
      </c>
      <c r="F44" s="1815">
        <f t="shared" si="3"/>
        <v>25000</v>
      </c>
      <c r="G44" s="1816">
        <f t="shared" si="4"/>
        <v>2936927.67</v>
      </c>
    </row>
    <row r="45" spans="1:7" x14ac:dyDescent="0.25">
      <c r="A45" s="2001" t="s">
        <v>2216</v>
      </c>
      <c r="B45" s="2017" t="s">
        <v>2234</v>
      </c>
      <c r="C45" s="2010" t="s">
        <v>2235</v>
      </c>
      <c r="D45" s="2021">
        <v>79306.259999999995</v>
      </c>
      <c r="E45" s="1562">
        <f t="shared" si="2"/>
        <v>25000</v>
      </c>
      <c r="F45" s="1815">
        <f t="shared" si="3"/>
        <v>25000</v>
      </c>
      <c r="G45" s="1816">
        <f t="shared" si="4"/>
        <v>54306.259999999995</v>
      </c>
    </row>
    <row r="46" spans="1:7" x14ac:dyDescent="0.25">
      <c r="A46" s="2003" t="s">
        <v>537</v>
      </c>
      <c r="B46" s="2017" t="s">
        <v>2205</v>
      </c>
      <c r="C46" s="2010" t="s">
        <v>2236</v>
      </c>
      <c r="D46" s="2021">
        <v>93065.270000000033</v>
      </c>
      <c r="E46" s="1562">
        <f t="shared" si="2"/>
        <v>25000</v>
      </c>
      <c r="F46" s="1815">
        <f t="shared" si="3"/>
        <v>25000</v>
      </c>
      <c r="G46" s="1816">
        <f t="shared" si="4"/>
        <v>68065.270000000033</v>
      </c>
    </row>
    <row r="47" spans="1:7" x14ac:dyDescent="0.25">
      <c r="A47" s="2001" t="s">
        <v>2188</v>
      </c>
      <c r="B47" s="2017" t="s">
        <v>2190</v>
      </c>
      <c r="C47" s="2010" t="s">
        <v>2237</v>
      </c>
      <c r="D47" s="2021">
        <v>46231.299999999988</v>
      </c>
      <c r="E47" s="1562">
        <f t="shared" si="2"/>
        <v>25000</v>
      </c>
      <c r="F47" s="1815">
        <f t="shared" si="3"/>
        <v>25000</v>
      </c>
      <c r="G47" s="1816">
        <f t="shared" si="4"/>
        <v>21231.299999999988</v>
      </c>
    </row>
    <row r="48" spans="1:7" x14ac:dyDescent="0.25">
      <c r="A48" s="2001" t="s">
        <v>2188</v>
      </c>
      <c r="B48" s="2017" t="s">
        <v>1928</v>
      </c>
      <c r="C48" s="2010" t="s">
        <v>2238</v>
      </c>
      <c r="D48" s="2021">
        <v>42996.1</v>
      </c>
      <c r="E48" s="1562">
        <f t="shared" si="2"/>
        <v>25000</v>
      </c>
      <c r="F48" s="1815">
        <f t="shared" si="3"/>
        <v>25000</v>
      </c>
      <c r="G48" s="1816">
        <f t="shared" si="4"/>
        <v>17996.099999999999</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7689831.0199999996</v>
      </c>
      <c r="E141" s="1563">
        <f t="shared" si="1"/>
        <v>25000</v>
      </c>
      <c r="F141" s="1817">
        <f>SUM(F17:F140)</f>
        <v>800000</v>
      </c>
      <c r="G141" s="1818">
        <f>SUM(G17:G140)</f>
        <v>6889831.0199999996</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F24" sqref="F2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69" t="s">
        <v>1778</v>
      </c>
      <c r="B5" s="2370"/>
      <c r="C5" s="2370"/>
      <c r="D5" s="2370"/>
      <c r="E5" s="2370"/>
      <c r="F5" s="2370"/>
      <c r="G5" s="237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2071</v>
      </c>
      <c r="B10" s="972"/>
      <c r="C10" s="977"/>
      <c r="D10" s="973"/>
      <c r="E10" s="974"/>
      <c r="F10" s="975"/>
      <c r="G10" s="976"/>
      <c r="H10" s="162"/>
      <c r="I10" s="162"/>
    </row>
    <row r="11" spans="1:9" s="669" customFormat="1" ht="22.5" customHeight="1" x14ac:dyDescent="0.2">
      <c r="A11" s="2374" t="s">
        <v>1941</v>
      </c>
      <c r="B11" s="2375"/>
      <c r="C11" s="2375"/>
      <c r="D11" s="2376"/>
      <c r="E11" s="978">
        <v>74971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54349399</v>
      </c>
      <c r="F19" s="1822"/>
      <c r="G19" s="1824">
        <f>'Expenditures 15-22'!K33-SUM('Expenditures 15-22'!G33,'Expenditures 15-22'!I33)+'Expenditures 15-22'!D229</f>
        <v>54349399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6969259</v>
      </c>
      <c r="F21" s="1825"/>
      <c r="G21" s="1828">
        <f>'Expenditures 15-22'!K42-SUM('Expenditures 15-22'!G42,'Expenditures 15-22'!I42)+'Expenditures 15-22'!K120-SUM('Expenditures 15-22'!G120,'Expenditures 15-22'!I120)+'Expenditures 15-22'!K180-SUM('Expenditures 15-22'!G180,'Expenditures 15-22'!I180)+'Expenditures 15-22'!D238</f>
        <v>6969259</v>
      </c>
      <c r="H21" s="988"/>
      <c r="I21" s="162"/>
    </row>
    <row r="22" spans="1:9" s="669" customFormat="1" ht="12" customHeight="1" x14ac:dyDescent="0.2">
      <c r="A22" s="995" t="s">
        <v>585</v>
      </c>
      <c r="B22" s="996"/>
      <c r="C22" s="994">
        <v>2200</v>
      </c>
      <c r="D22" s="1825"/>
      <c r="E22" s="1827">
        <f>'Expenditures 15-22'!K47-SUM('Expenditures 15-22'!G47,'Expenditures 15-22'!I47)+'Expenditures 15-22'!D243</f>
        <v>6113027</v>
      </c>
      <c r="F22" s="1825"/>
      <c r="G22" s="1828">
        <f>'Expenditures 15-22'!K47-SUM('Expenditures 15-22'!G47,'Expenditures 15-22'!I47)+'Expenditures 15-22'!D243</f>
        <v>6113027</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1659350</v>
      </c>
      <c r="F23" s="1825"/>
      <c r="G23" s="1827">
        <f>'Expenditures 15-22'!K53-SUM('Expenditures 15-22'!G53,'Expenditures 15-22'!I53)+'Expenditures 15-22'!D257+'Expenditures 15-22'!K330-SUM('Expenditures 15-22'!G330,'Expenditures 15-22'!I330)</f>
        <v>1659350</v>
      </c>
      <c r="H23" s="988"/>
      <c r="I23" s="162"/>
    </row>
    <row r="24" spans="1:9" s="669" customFormat="1" ht="12" customHeight="1" x14ac:dyDescent="0.2">
      <c r="A24" s="995" t="s">
        <v>587</v>
      </c>
      <c r="B24" s="996"/>
      <c r="C24" s="994">
        <v>2400</v>
      </c>
      <c r="D24" s="1825"/>
      <c r="E24" s="1827">
        <f>'Expenditures 15-22'!K57-SUM('Expenditures 15-22'!G57,'Expenditures 15-22'!I57)+'Expenditures 15-22'!D261</f>
        <v>3865272</v>
      </c>
      <c r="F24" s="1825"/>
      <c r="G24" s="1828">
        <f>'Expenditures 15-22'!K57-SUM('Expenditures 15-22'!G57,'Expenditures 15-22'!I57)+'Expenditures 15-22'!D261</f>
        <v>3865272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179078</v>
      </c>
      <c r="E26" s="1827">
        <f>'Expenditures 15-22'!K122-SUM('Expenditures 15-22'!G122,'Expenditures 15-22'!I122)+E7</f>
        <v>0</v>
      </c>
      <c r="F26" s="1827">
        <f>'Expenditures 15-22'!K59-SUM('Expenditures 15-22'!G59,'Expenditures 15-22'!I59)+'Expenditures 15-22'!D263-E7</f>
        <v>179078</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776526</v>
      </c>
      <c r="E27" s="1827">
        <f>E8</f>
        <v>0</v>
      </c>
      <c r="F27" s="1827">
        <f>'Expenditures 15-22'!K60-SUM('Expenditures 15-22'!G60,'Expenditures 15-22'!I60)+'Expenditures 15-22'!D264-E8</f>
        <v>776526</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6736300</v>
      </c>
      <c r="F28" s="1829">
        <f>'Expenditures 15-22'!K61-SUM('Expenditures 15-22'!G61,'Expenditures 15-22'!I61)+'Expenditures 15-22'!K124-SUM('Expenditures 15-22'!G124,'Expenditures 15-22'!I124)+'Expenditures 15-22'!D266-E9</f>
        <v>6736300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3083217</v>
      </c>
      <c r="F29" s="1825"/>
      <c r="G29" s="1828">
        <f>'Expenditures 15-22'!K62-SUM('Expenditures 15-22'!G62,'Expenditures 15-22'!I62)+'Expenditures 15-22'!K125-SUM('Expenditures 15-22'!G125,'Expenditures 15-22'!I125)+'Expenditures 15-22'!K182-SUM('Expenditures 15-22'!G182,'Expenditures 15-22'!I182)+'Expenditures 15-22'!D267</f>
        <v>3083217</v>
      </c>
      <c r="H29" s="986"/>
    </row>
    <row r="30" spans="1:9" ht="12" customHeight="1" x14ac:dyDescent="0.2">
      <c r="A30" s="995" t="s">
        <v>102</v>
      </c>
      <c r="B30" s="998"/>
      <c r="C30" s="994">
        <v>2560</v>
      </c>
      <c r="D30" s="1825"/>
      <c r="E30" s="1827">
        <f>'Expenditures 15-22'!K63-SUM('Expenditures 15-22'!G63,'Expenditures 15-22'!I63)+'Expenditures 15-22'!D268-E10</f>
        <v>1592126</v>
      </c>
      <c r="F30" s="1825"/>
      <c r="G30" s="1827">
        <f>'Expenditures 15-22'!K63-SUM('Expenditures 15-22'!G63,'Expenditures 15-22'!I63)+'Expenditures 15-22'!D268-E10</f>
        <v>1592126</v>
      </c>
    </row>
    <row r="31" spans="1:9" ht="12" customHeight="1" x14ac:dyDescent="0.2">
      <c r="A31" s="995" t="s">
        <v>103</v>
      </c>
      <c r="B31" s="998"/>
      <c r="C31" s="994">
        <v>2570</v>
      </c>
      <c r="D31" s="1827">
        <f>'Expenditures 15-22'!K64-SUM('Expenditures 15-22'!G64,'Expenditures 15-22'!I64)+'Expenditures 15-22'!D269-E12</f>
        <v>74144</v>
      </c>
      <c r="E31" s="1827">
        <f>E12</f>
        <v>0</v>
      </c>
      <c r="F31" s="1827">
        <f>'Expenditures 15-22'!K64-SUM('Expenditures 15-22'!G64,'Expenditures 15-22'!I64)+'Expenditures 15-22'!D269-E12</f>
        <v>74144</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147150</v>
      </c>
      <c r="F35" s="1825"/>
      <c r="G35" s="1827">
        <f>'Expenditures 15-22'!K69-SUM('Expenditures 15-22'!G69,'Expenditures 15-22'!I69)+'Expenditures 15-22'!D274</f>
        <v>147150</v>
      </c>
    </row>
    <row r="36" spans="1:7" ht="12" customHeight="1" x14ac:dyDescent="0.2">
      <c r="A36" s="995" t="s">
        <v>423</v>
      </c>
      <c r="B36" s="998"/>
      <c r="C36" s="994">
        <v>2640</v>
      </c>
      <c r="D36" s="1827">
        <f>'Expenditures 15-22'!K70-SUM('Expenditures 15-22'!G70,'Expenditures 15-22'!I70)+'Expenditures 15-22'!D275-E13</f>
        <v>514434</v>
      </c>
      <c r="E36" s="1827">
        <f>E13</f>
        <v>0</v>
      </c>
      <c r="F36" s="1827">
        <f>'Expenditures 15-22'!K70-SUM('Expenditures 15-22'!G70,'Expenditures 15-22'!I70)+'Expenditures 15-22'!D275-E13</f>
        <v>514434</v>
      </c>
      <c r="G36" s="1827">
        <f>E13</f>
        <v>0</v>
      </c>
    </row>
    <row r="37" spans="1:7" ht="12" customHeight="1" x14ac:dyDescent="0.2">
      <c r="A37" s="995" t="s">
        <v>424</v>
      </c>
      <c r="B37" s="998"/>
      <c r="C37" s="994">
        <v>2660</v>
      </c>
      <c r="D37" s="1827">
        <f>'Expenditures 15-22'!K71-SUM('Expenditures 15-22'!G71,'Expenditures 15-22'!I71)+'Expenditures 15-22'!D276-E14</f>
        <v>1906635</v>
      </c>
      <c r="E37" s="1827">
        <f>E14</f>
        <v>0</v>
      </c>
      <c r="F37" s="1827">
        <f>'Expenditures 15-22'!K71-SUM('Expenditures 15-22'!G71,'Expenditures 15-22'!I71)+'Expenditures 15-22'!D276-E14</f>
        <v>1906635</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1223</v>
      </c>
      <c r="F39" s="1825"/>
      <c r="G39" s="1827">
        <f>'Expenditures 15-22'!K75-SUM('Expenditures 15-22'!G75,'Expenditures 15-22'!I75)+'Expenditures 15-22'!K130-SUM('Expenditures 15-22'!G130,'Expenditures 15-22'!I130)+'Expenditures 15-22'!K185-SUM('Expenditures 15-22'!G185,'Expenditures 15-22'!I185)+'Expenditures 15-22'!D280</f>
        <v>1223</v>
      </c>
    </row>
    <row r="40" spans="1:7" ht="12" customHeight="1" x14ac:dyDescent="0.2">
      <c r="A40" s="991" t="s">
        <v>1927</v>
      </c>
      <c r="B40" s="992"/>
      <c r="C40" s="994"/>
      <c r="D40" s="1825"/>
      <c r="E40" s="1829">
        <f>-'Contracts Paid in CY 29'!G141</f>
        <v>-6889831.0199999996</v>
      </c>
      <c r="F40" s="1825"/>
      <c r="G40" s="1829">
        <f>-'Contracts Paid in CY 29'!G141</f>
        <v>-6889831.0199999996</v>
      </c>
    </row>
    <row r="41" spans="1:7" ht="12" customHeight="1" x14ac:dyDescent="0.2">
      <c r="A41" s="999" t="s">
        <v>158</v>
      </c>
      <c r="B41" s="1000"/>
      <c r="C41" s="1001"/>
      <c r="D41" s="1829">
        <f>SUM(D19:D39)</f>
        <v>3450817</v>
      </c>
      <c r="E41" s="1829">
        <f>SUM(E19:E40)</f>
        <v>77626491.980000004</v>
      </c>
      <c r="F41" s="1829">
        <f>SUM(F19:F39)</f>
        <v>10187117</v>
      </c>
      <c r="G41" s="1829">
        <f>SUM(G19:G40)</f>
        <v>70890191.980000004</v>
      </c>
    </row>
    <row r="42" spans="1:7" x14ac:dyDescent="0.2">
      <c r="A42" s="988"/>
      <c r="B42" s="162"/>
      <c r="C42" s="1002"/>
      <c r="D42" s="2372" t="s">
        <v>543</v>
      </c>
      <c r="E42" s="2373"/>
      <c r="F42" s="1003" t="s">
        <v>544</v>
      </c>
      <c r="G42" s="1004"/>
    </row>
    <row r="43" spans="1:7" ht="12" customHeight="1" x14ac:dyDescent="0.2">
      <c r="A43" s="988"/>
      <c r="B43" s="162"/>
      <c r="C43" s="1002"/>
      <c r="D43" s="1830" t="s">
        <v>493</v>
      </c>
      <c r="E43" s="1831">
        <f>D41</f>
        <v>3450817</v>
      </c>
      <c r="F43" s="1830" t="s">
        <v>495</v>
      </c>
      <c r="G43" s="1831">
        <f>F41</f>
        <v>10187117</v>
      </c>
    </row>
    <row r="44" spans="1:7" ht="12" customHeight="1" x14ac:dyDescent="0.2">
      <c r="A44" s="988"/>
      <c r="B44" s="162"/>
      <c r="C44" s="1002"/>
      <c r="D44" s="1830" t="s">
        <v>494</v>
      </c>
      <c r="E44" s="1831">
        <f>E41</f>
        <v>77626491.980000004</v>
      </c>
      <c r="F44" s="1830" t="s">
        <v>494</v>
      </c>
      <c r="G44" s="1831">
        <f>G41</f>
        <v>70890191.980000004</v>
      </c>
    </row>
    <row r="45" spans="1:7" ht="12" customHeight="1" x14ac:dyDescent="0.2">
      <c r="A45" s="988"/>
      <c r="B45" s="162"/>
      <c r="C45" s="162"/>
      <c r="D45" s="1832" t="s">
        <v>1063</v>
      </c>
      <c r="E45" s="1833">
        <f>(E43/E44)</f>
        <v>4.4454114980348229E-2</v>
      </c>
      <c r="F45" s="1832" t="s">
        <v>1063</v>
      </c>
      <c r="G45" s="1833">
        <f>(G43/G44)</f>
        <v>0.14370277065795017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D19" sqref="AD19"/>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91" t="s">
        <v>1446</v>
      </c>
      <c r="B1" s="2391"/>
      <c r="C1" s="2391"/>
      <c r="D1" s="2391"/>
      <c r="E1" s="2391"/>
      <c r="F1" s="2391"/>
    </row>
    <row r="2" spans="1:10" x14ac:dyDescent="0.2">
      <c r="A2" s="1910" t="s">
        <v>2043</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92" t="s">
        <v>1627</v>
      </c>
      <c r="B5" s="2393"/>
      <c r="C5" s="2394"/>
      <c r="D5" s="2394"/>
      <c r="E5" s="2394"/>
      <c r="F5" s="2394"/>
    </row>
    <row r="6" spans="1:10" ht="12" customHeight="1" x14ac:dyDescent="0.25">
      <c r="A6" s="1873"/>
      <c r="B6" s="1874"/>
      <c r="C6" s="2395" t="str">
        <f>COVER!A17</f>
        <v>CHSD 155 Crystal Lake</v>
      </c>
      <c r="D6" s="2395"/>
      <c r="E6" s="2395"/>
      <c r="F6" s="1875"/>
    </row>
    <row r="7" spans="1:10" ht="11.25" customHeight="1" thickBot="1" x14ac:dyDescent="0.3">
      <c r="A7" s="1873"/>
      <c r="B7" s="1874"/>
      <c r="C7" s="2396">
        <f>COVER!A13</f>
        <v>44063155016</v>
      </c>
      <c r="D7" s="2396"/>
      <c r="E7" s="2396"/>
      <c r="F7" s="1875"/>
    </row>
    <row r="8" spans="1:10" ht="25.5" customHeight="1" thickBot="1" x14ac:dyDescent="0.25">
      <c r="A8" s="1916" t="s">
        <v>2020</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2075</v>
      </c>
      <c r="D26" s="1888" t="s">
        <v>2075</v>
      </c>
      <c r="E26" s="1891"/>
      <c r="F26" s="1890" t="s">
        <v>2097</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t="s">
        <v>2075</v>
      </c>
      <c r="D30" s="1888" t="s">
        <v>2075</v>
      </c>
      <c r="E30" s="1891" t="s">
        <v>2075</v>
      </c>
      <c r="F30" s="1890" t="s">
        <v>2098</v>
      </c>
      <c r="H30" s="1901">
        <f t="shared" si="0"/>
        <v>5</v>
      </c>
      <c r="I30" s="1901">
        <f t="shared" si="1"/>
        <v>5</v>
      </c>
      <c r="J30" s="1901">
        <f t="shared" si="2"/>
        <v>5</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10</v>
      </c>
      <c r="I34" s="1901">
        <f>SUM(I11:I32)</f>
        <v>10</v>
      </c>
      <c r="J34" s="1901">
        <f>SUM(J11:J32)</f>
        <v>5</v>
      </c>
      <c r="K34" s="1901">
        <f>SUM(H34:J34)</f>
        <v>25</v>
      </c>
    </row>
    <row r="35" spans="1:11" ht="12" customHeight="1" x14ac:dyDescent="0.2">
      <c r="A35" s="1894" t="s">
        <v>1459</v>
      </c>
      <c r="B35" s="1895"/>
      <c r="C35" s="2397"/>
      <c r="D35" s="2397"/>
      <c r="E35" s="2397"/>
      <c r="F35" s="2398"/>
    </row>
    <row r="36" spans="1:11" ht="12" customHeight="1" x14ac:dyDescent="0.2">
      <c r="A36" s="2380"/>
      <c r="B36" s="2381"/>
      <c r="C36" s="2381"/>
      <c r="D36" s="2381"/>
      <c r="E36" s="2381"/>
      <c r="F36" s="2382"/>
    </row>
    <row r="37" spans="1:11" ht="12" customHeight="1" x14ac:dyDescent="0.2">
      <c r="A37" s="2380"/>
      <c r="B37" s="2381"/>
      <c r="C37" s="2381"/>
      <c r="D37" s="2381"/>
      <c r="E37" s="2381"/>
      <c r="F37" s="2382"/>
    </row>
    <row r="38" spans="1:11" ht="12" customHeight="1" x14ac:dyDescent="0.2">
      <c r="A38" s="2383"/>
      <c r="B38" s="2384"/>
      <c r="C38" s="2384"/>
      <c r="D38" s="2384"/>
      <c r="E38" s="2384"/>
      <c r="F38" s="2385"/>
    </row>
    <row r="39" spans="1:11" ht="4.5" hidden="1" customHeight="1" x14ac:dyDescent="0.2">
      <c r="A39" s="1896"/>
      <c r="B39" s="1896"/>
      <c r="C39" s="1896"/>
      <c r="D39" s="1896"/>
      <c r="E39" s="1896"/>
      <c r="F39" s="1896"/>
    </row>
    <row r="40" spans="1:11" s="1893" customFormat="1" ht="12" customHeight="1" x14ac:dyDescent="0.25">
      <c r="A40" s="1897" t="s">
        <v>1458</v>
      </c>
      <c r="B40" s="1898"/>
      <c r="C40" s="2386"/>
      <c r="D40" s="2386"/>
      <c r="E40" s="2386"/>
      <c r="F40" s="2387"/>
      <c r="H40" s="1902"/>
      <c r="I40" s="1902"/>
      <c r="J40" s="1902"/>
      <c r="K40" s="1902"/>
    </row>
    <row r="41" spans="1:11" s="1893" customFormat="1" ht="12" customHeight="1" x14ac:dyDescent="0.25">
      <c r="A41" s="2388"/>
      <c r="B41" s="2389"/>
      <c r="C41" s="2389"/>
      <c r="D41" s="2389"/>
      <c r="E41" s="2389"/>
      <c r="F41" s="2390"/>
      <c r="H41" s="1902"/>
      <c r="I41" s="1902"/>
      <c r="J41" s="1902"/>
      <c r="K41" s="1902"/>
    </row>
    <row r="42" spans="1:11" s="1893" customFormat="1" ht="12" customHeight="1" x14ac:dyDescent="0.25">
      <c r="A42" s="2388"/>
      <c r="B42" s="2389"/>
      <c r="C42" s="2389"/>
      <c r="D42" s="2389"/>
      <c r="E42" s="2389"/>
      <c r="F42" s="2390"/>
      <c r="H42" s="1902"/>
      <c r="I42" s="1902"/>
      <c r="J42" s="1902"/>
      <c r="K42" s="1902"/>
    </row>
    <row r="43" spans="1:11" s="1893" customFormat="1" ht="15" x14ac:dyDescent="0.25">
      <c r="A43" s="2377"/>
      <c r="B43" s="2378"/>
      <c r="C43" s="2378"/>
      <c r="D43" s="2378"/>
      <c r="E43" s="2378"/>
      <c r="F43" s="2379"/>
      <c r="H43" s="1902"/>
      <c r="I43" s="1902"/>
      <c r="J43" s="1902"/>
      <c r="K43" s="1902"/>
    </row>
    <row r="44" spans="1:11" s="1893" customFormat="1" ht="12" hidden="1" customHeight="1" x14ac:dyDescent="0.25">
      <c r="A44" s="2377"/>
      <c r="B44" s="2378"/>
      <c r="C44" s="2378"/>
      <c r="D44" s="2378"/>
      <c r="E44" s="2378"/>
      <c r="F44" s="2379"/>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3" sqref="C33:I3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404" t="str">
        <f>COVER!A17</f>
        <v>CHSD 155 Crystal Lake</v>
      </c>
      <c r="J6" s="2405"/>
      <c r="Q6" s="1686"/>
    </row>
    <row r="7" spans="1:17" x14ac:dyDescent="0.2">
      <c r="A7" s="2406" t="s">
        <v>924</v>
      </c>
      <c r="B7" s="2407"/>
      <c r="C7" s="2407"/>
      <c r="D7" s="2407"/>
      <c r="E7" s="2408"/>
      <c r="F7" s="1018"/>
      <c r="G7" s="1010"/>
      <c r="H7" s="1017" t="s">
        <v>390</v>
      </c>
      <c r="I7" s="2409">
        <f>COVER!A13</f>
        <v>44063155016</v>
      </c>
      <c r="J7" s="240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410" t="s">
        <v>502</v>
      </c>
      <c r="B11" s="2411"/>
      <c r="C11" s="241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493745</v>
      </c>
      <c r="F12" s="1040"/>
      <c r="G12" s="1834">
        <f t="shared" ref="G12:G18" si="0">SUM(E12:F12)</f>
        <v>493745</v>
      </c>
      <c r="H12" s="1041">
        <v>502764</v>
      </c>
      <c r="I12" s="1040"/>
      <c r="J12" s="1834">
        <f t="shared" ref="J12:J18" si="1">SUM(H12:I12)</f>
        <v>502764</v>
      </c>
    </row>
    <row r="13" spans="1:17" ht="15" customHeight="1" x14ac:dyDescent="0.2">
      <c r="A13" s="1036">
        <v>2</v>
      </c>
      <c r="B13" s="1037" t="s">
        <v>44</v>
      </c>
      <c r="C13" s="1038"/>
      <c r="D13" s="1039">
        <v>2330</v>
      </c>
      <c r="E13" s="1834">
        <f>'Expenditures 15-22'!K51</f>
        <v>258</v>
      </c>
      <c r="F13" s="1040"/>
      <c r="G13" s="1834">
        <f t="shared" si="0"/>
        <v>258</v>
      </c>
      <c r="H13" s="1041"/>
      <c r="I13" s="1040"/>
      <c r="J13" s="1834">
        <f t="shared" si="1"/>
        <v>0</v>
      </c>
    </row>
    <row r="14" spans="1:17" ht="15" customHeight="1" x14ac:dyDescent="0.2">
      <c r="A14" s="1036">
        <v>3</v>
      </c>
      <c r="B14" s="1037" t="s">
        <v>45</v>
      </c>
      <c r="C14" s="1038"/>
      <c r="D14" s="1042">
        <v>2490</v>
      </c>
      <c r="E14" s="1834">
        <f>'Expenditures 15-22'!K56</f>
        <v>1544225</v>
      </c>
      <c r="F14" s="1040"/>
      <c r="G14" s="1834">
        <f t="shared" si="0"/>
        <v>1544225</v>
      </c>
      <c r="H14" s="1041">
        <v>988820</v>
      </c>
      <c r="I14" s="1040"/>
      <c r="J14" s="1834">
        <f t="shared" si="1"/>
        <v>988820</v>
      </c>
    </row>
    <row r="15" spans="1:17" ht="15" customHeight="1" x14ac:dyDescent="0.2">
      <c r="A15" s="1036">
        <v>4</v>
      </c>
      <c r="B15" s="1037" t="s">
        <v>1128</v>
      </c>
      <c r="C15" s="1038"/>
      <c r="D15" s="1039">
        <v>2510</v>
      </c>
      <c r="E15" s="1834">
        <f>'Expenditures 15-22'!K59</f>
        <v>177073</v>
      </c>
      <c r="F15" s="1834">
        <f>'Expenditures 15-22'!K122</f>
        <v>0</v>
      </c>
      <c r="G15" s="1834">
        <f t="shared" si="0"/>
        <v>177073</v>
      </c>
      <c r="H15" s="1041">
        <v>188173</v>
      </c>
      <c r="I15" s="1041"/>
      <c r="J15" s="1834">
        <f t="shared" si="1"/>
        <v>188173</v>
      </c>
    </row>
    <row r="16" spans="1:17" ht="15" customHeight="1" x14ac:dyDescent="0.2">
      <c r="A16" s="1036">
        <v>5</v>
      </c>
      <c r="B16" s="1037" t="s">
        <v>103</v>
      </c>
      <c r="C16" s="1038"/>
      <c r="D16" s="1039">
        <v>2570</v>
      </c>
      <c r="E16" s="1834">
        <f>'Expenditures 15-22'!K64</f>
        <v>67243</v>
      </c>
      <c r="F16" s="1040"/>
      <c r="G16" s="1834">
        <f t="shared" si="0"/>
        <v>67243</v>
      </c>
      <c r="H16" s="1041">
        <v>64907</v>
      </c>
      <c r="I16" s="1040"/>
      <c r="J16" s="1834">
        <f t="shared" si="1"/>
        <v>64907</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413" t="s">
        <v>7</v>
      </c>
      <c r="C18" s="2414"/>
      <c r="D18" s="241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2282544</v>
      </c>
      <c r="F19" s="1836">
        <f t="shared" si="2"/>
        <v>0</v>
      </c>
      <c r="G19" s="1836">
        <f t="shared" si="2"/>
        <v>2282544</v>
      </c>
      <c r="H19" s="1836">
        <f t="shared" si="2"/>
        <v>1744664</v>
      </c>
      <c r="I19" s="1836">
        <f t="shared" si="2"/>
        <v>0</v>
      </c>
      <c r="J19" s="1836">
        <f t="shared" si="2"/>
        <v>1744664</v>
      </c>
    </row>
    <row r="20" spans="1:10" ht="13.5" thickTop="1" x14ac:dyDescent="0.2">
      <c r="A20" s="1036">
        <v>9</v>
      </c>
      <c r="B20" s="2416" t="s">
        <v>1703</v>
      </c>
      <c r="C20" s="2416"/>
      <c r="D20" s="2417"/>
      <c r="E20" s="1047"/>
      <c r="F20" s="1047"/>
      <c r="G20" s="1047"/>
      <c r="H20" s="1047"/>
      <c r="I20" s="1047"/>
      <c r="J20" s="1837">
        <f>IF(AND(G19&gt;0,J19&gt;0),(((J19-G19)/G19)),"Enter Budget Data")</f>
        <v>-0.23564934564240603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422"/>
      <c r="D26" s="2422"/>
      <c r="E26" s="1051"/>
      <c r="F26" s="2421"/>
      <c r="G26" s="2421"/>
    </row>
    <row r="27" spans="1:10" x14ac:dyDescent="0.2">
      <c r="B27" s="1048"/>
      <c r="C27" s="1052" t="s">
        <v>1093</v>
      </c>
      <c r="D27" s="1053"/>
      <c r="E27" s="1054"/>
      <c r="F27" s="2418" t="s">
        <v>1589</v>
      </c>
      <c r="G27" s="2418"/>
    </row>
    <row r="28" spans="1:10" ht="28.5" customHeight="1" x14ac:dyDescent="0.2">
      <c r="B28" s="1048"/>
      <c r="C28" s="2420"/>
      <c r="D28" s="2420"/>
      <c r="E28" s="1055"/>
      <c r="F28" s="2420"/>
      <c r="G28" s="2420"/>
    </row>
    <row r="29" spans="1:10" x14ac:dyDescent="0.2">
      <c r="B29" s="1048"/>
      <c r="C29" s="1056" t="s">
        <v>1642</v>
      </c>
      <c r="E29" s="1057"/>
      <c r="F29" s="2419" t="s">
        <v>1590</v>
      </c>
      <c r="G29" s="241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401" t="s">
        <v>134</v>
      </c>
      <c r="D33" s="2402"/>
      <c r="E33" s="2402"/>
      <c r="F33" s="2402"/>
      <c r="G33" s="2402"/>
      <c r="H33" s="2402"/>
      <c r="I33" s="2402"/>
    </row>
    <row r="34" spans="1:10" ht="10.35" customHeight="1" x14ac:dyDescent="0.2">
      <c r="C34" s="2402"/>
      <c r="D34" s="2402"/>
      <c r="E34" s="2402"/>
      <c r="F34" s="2402"/>
      <c r="G34" s="2402"/>
      <c r="H34" s="2402"/>
      <c r="I34" s="2402"/>
    </row>
    <row r="35" spans="1:10" ht="7.5" customHeight="1" x14ac:dyDescent="0.2">
      <c r="C35" s="1063"/>
    </row>
    <row r="36" spans="1:10" ht="13.5" customHeight="1" x14ac:dyDescent="0.2">
      <c r="B36" s="1062"/>
      <c r="C36" s="2403" t="s">
        <v>1940</v>
      </c>
      <c r="D36" s="2402"/>
      <c r="E36" s="2402"/>
      <c r="F36" s="2402"/>
      <c r="G36" s="2402"/>
      <c r="H36" s="2402"/>
      <c r="I36" s="2402"/>
      <c r="J36" s="1064"/>
    </row>
    <row r="37" spans="1:10" ht="22.5" customHeight="1" x14ac:dyDescent="0.2">
      <c r="C37" s="2402"/>
      <c r="D37" s="2402"/>
      <c r="E37" s="2402"/>
      <c r="F37" s="2402"/>
      <c r="G37" s="2402"/>
      <c r="H37" s="2402"/>
      <c r="I37" s="2402"/>
      <c r="J37" s="1064"/>
    </row>
    <row r="38" spans="1:10" ht="7.5" customHeight="1" x14ac:dyDescent="0.2">
      <c r="C38" s="1063"/>
      <c r="D38" s="1065"/>
      <c r="E38" s="1066"/>
      <c r="F38" s="1067"/>
      <c r="G38" s="1066"/>
    </row>
    <row r="39" spans="1:10" ht="13.5" customHeight="1" x14ac:dyDescent="0.2">
      <c r="B39" s="1062"/>
      <c r="C39" s="2399" t="s">
        <v>937</v>
      </c>
      <c r="D39" s="2400"/>
      <c r="E39" s="2400"/>
      <c r="F39" s="2400"/>
      <c r="G39" s="2400"/>
      <c r="H39" s="2400"/>
      <c r="I39" s="240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zoomScale="110" zoomScaleNormal="110" workbookViewId="0">
      <selection activeCell="C33" sqref="C33:I3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1957" t="s">
        <v>2099</v>
      </c>
    </row>
    <row r="6" spans="1:2" x14ac:dyDescent="0.2">
      <c r="A6" s="1069">
        <v>2</v>
      </c>
      <c r="B6" s="1957" t="s">
        <v>2100</v>
      </c>
    </row>
    <row r="7" spans="1:2" x14ac:dyDescent="0.2">
      <c r="A7" s="1069">
        <v>3</v>
      </c>
      <c r="B7" s="1957" t="s">
        <v>2180</v>
      </c>
    </row>
    <row r="8" spans="1:2" x14ac:dyDescent="0.2">
      <c r="A8" s="1069">
        <v>4</v>
      </c>
      <c r="B8" s="1957" t="s">
        <v>2101</v>
      </c>
    </row>
    <row r="9" spans="1:2" x14ac:dyDescent="0.2">
      <c r="A9" s="1069">
        <v>5</v>
      </c>
      <c r="B9" s="1957" t="s">
        <v>2181</v>
      </c>
    </row>
    <row r="10" spans="1:2" x14ac:dyDescent="0.2">
      <c r="A10" s="1069">
        <f>+A9+1</f>
        <v>6</v>
      </c>
      <c r="B10" s="1957" t="s">
        <v>2182</v>
      </c>
    </row>
    <row r="11" spans="1:2" x14ac:dyDescent="0.2">
      <c r="A11" s="1069">
        <f t="shared" ref="A11:A24" si="0">+A10+1</f>
        <v>7</v>
      </c>
      <c r="B11" s="1957" t="s">
        <v>2102</v>
      </c>
    </row>
    <row r="12" spans="1:2" x14ac:dyDescent="0.2">
      <c r="A12" s="1069">
        <f t="shared" si="0"/>
        <v>8</v>
      </c>
      <c r="B12" s="1957" t="s">
        <v>2103</v>
      </c>
    </row>
    <row r="13" spans="1:2" x14ac:dyDescent="0.2">
      <c r="A13" s="1069">
        <f t="shared" si="0"/>
        <v>9</v>
      </c>
      <c r="B13" s="1957" t="s">
        <v>2104</v>
      </c>
    </row>
    <row r="14" spans="1:2" x14ac:dyDescent="0.2">
      <c r="A14" s="1069">
        <f t="shared" si="0"/>
        <v>10</v>
      </c>
      <c r="B14" s="1957" t="s">
        <v>2105</v>
      </c>
    </row>
    <row r="15" spans="1:2" x14ac:dyDescent="0.2">
      <c r="A15" s="1069">
        <f t="shared" si="0"/>
        <v>11</v>
      </c>
      <c r="B15" s="1957" t="s">
        <v>2106</v>
      </c>
    </row>
    <row r="16" spans="1:2" x14ac:dyDescent="0.2">
      <c r="A16" s="1069">
        <f t="shared" si="0"/>
        <v>12</v>
      </c>
      <c r="B16" s="1957" t="s">
        <v>2184</v>
      </c>
    </row>
    <row r="17" spans="1:2" x14ac:dyDescent="0.2">
      <c r="A17" s="1069">
        <f t="shared" si="0"/>
        <v>13</v>
      </c>
      <c r="B17" s="1957" t="s">
        <v>2107</v>
      </c>
    </row>
    <row r="18" spans="1:2" x14ac:dyDescent="0.2">
      <c r="A18" s="1069">
        <f t="shared" si="0"/>
        <v>14</v>
      </c>
      <c r="B18" s="1957" t="s">
        <v>2108</v>
      </c>
    </row>
    <row r="19" spans="1:2" x14ac:dyDescent="0.2">
      <c r="A19" s="1069">
        <f t="shared" si="0"/>
        <v>15</v>
      </c>
      <c r="B19" s="1957" t="s">
        <v>2109</v>
      </c>
    </row>
    <row r="20" spans="1:2" x14ac:dyDescent="0.2">
      <c r="A20" s="1069">
        <f t="shared" si="0"/>
        <v>16</v>
      </c>
      <c r="B20" s="1957" t="s">
        <v>2110</v>
      </c>
    </row>
    <row r="21" spans="1:2" x14ac:dyDescent="0.2">
      <c r="A21" s="1069">
        <f t="shared" si="0"/>
        <v>17</v>
      </c>
      <c r="B21" s="1957" t="s">
        <v>2111</v>
      </c>
    </row>
    <row r="22" spans="1:2" x14ac:dyDescent="0.2">
      <c r="A22" s="1069">
        <f t="shared" si="0"/>
        <v>18</v>
      </c>
      <c r="B22" s="1957" t="s">
        <v>2112</v>
      </c>
    </row>
    <row r="23" spans="1:2" x14ac:dyDescent="0.2">
      <c r="A23" s="1069">
        <f t="shared" si="0"/>
        <v>19</v>
      </c>
      <c r="B23" s="1958" t="s">
        <v>2239</v>
      </c>
    </row>
    <row r="24" spans="1:2" x14ac:dyDescent="0.2">
      <c r="A24" s="1069">
        <f t="shared" si="0"/>
        <v>20</v>
      </c>
      <c r="B24" s="1957" t="s">
        <v>2113</v>
      </c>
    </row>
    <row r="25" spans="1:2" x14ac:dyDescent="0.2">
      <c r="A25" s="1069"/>
    </row>
    <row r="26" spans="1:2" x14ac:dyDescent="0.2">
      <c r="A26" s="1069"/>
    </row>
    <row r="27" spans="1:2" x14ac:dyDescent="0.2">
      <c r="A27" s="1069"/>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c r="B65" s="258" t="str">
        <f>COVER!A17</f>
        <v>CHSD 155 Crystal Lake</v>
      </c>
    </row>
    <row r="66" spans="1:2" x14ac:dyDescent="0.2">
      <c r="B66" s="1071">
        <f>COVER!A13</f>
        <v>44063155016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AD19" sqref="AD1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9" t="s">
        <v>1709</v>
      </c>
    </row>
    <row r="23" spans="1:5" x14ac:dyDescent="0.2">
      <c r="A23" s="168"/>
      <c r="B23" s="162" t="s">
        <v>1965</v>
      </c>
      <c r="D23" s="167" t="s">
        <v>658</v>
      </c>
      <c r="E23" s="1859"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40" t="s">
        <v>1125</v>
      </c>
      <c r="B35" s="2140"/>
      <c r="C35" s="2140"/>
      <c r="D35" s="2140"/>
      <c r="E35" s="214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37" t="s">
        <v>715</v>
      </c>
      <c r="B40" s="2137"/>
      <c r="C40" s="2137"/>
      <c r="D40" s="2137"/>
      <c r="E40" s="2137"/>
    </row>
    <row r="41" spans="1:5" x14ac:dyDescent="0.2">
      <c r="A41" s="2138" t="s">
        <v>1706</v>
      </c>
      <c r="B41" s="2138"/>
      <c r="C41" s="2138"/>
      <c r="D41" s="2138"/>
      <c r="E41" s="2138"/>
    </row>
    <row r="42" spans="1:5" ht="12.75" customHeight="1" x14ac:dyDescent="0.2">
      <c r="A42" s="2139" t="s">
        <v>1080</v>
      </c>
      <c r="B42" s="2139"/>
      <c r="C42" s="2139"/>
      <c r="D42" s="2139"/>
      <c r="E42" s="2139"/>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D19" sqref="AD1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423" t="s">
        <v>1784</v>
      </c>
      <c r="B18" s="242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5841" r:id="rId4">
          <objectPr defaultSize="0" r:id="rId5">
            <anchor moveWithCells="1">
              <from>
                <xdr:col>0</xdr:col>
                <xdr:colOff>95250</xdr:colOff>
                <xdr:row>6</xdr:row>
                <xdr:rowOff>66675</xdr:rowOff>
              </from>
              <to>
                <xdr:col>1</xdr:col>
                <xdr:colOff>885825</xdr:colOff>
                <xdr:row>10</xdr:row>
                <xdr:rowOff>104775</xdr:rowOff>
              </to>
            </anchor>
          </objectPr>
        </oleObject>
      </mc:Choice>
      <mc:Fallback>
        <oleObject progId="Acrobat.Document.2015" dvAspect="DVASPECT_ICON" shapeId="35841" r:id="rId4"/>
      </mc:Fallback>
    </mc:AlternateContent>
    <mc:AlternateContent xmlns:mc="http://schemas.openxmlformats.org/markup-compatibility/2006">
      <mc:Choice Requires="x14">
        <oleObject progId="Acrobat.Document.2015" dvAspect="DVASPECT_ICON" shapeId="35842" r:id="rId6">
          <objectPr defaultSize="0" r:id="rId7">
            <anchor moveWithCells="1">
              <from>
                <xdr:col>1</xdr:col>
                <xdr:colOff>952500</xdr:colOff>
                <xdr:row>6</xdr:row>
                <xdr:rowOff>66675</xdr:rowOff>
              </from>
              <to>
                <xdr:col>1</xdr:col>
                <xdr:colOff>1866900</xdr:colOff>
                <xdr:row>10</xdr:row>
                <xdr:rowOff>104775</xdr:rowOff>
              </to>
            </anchor>
          </objectPr>
        </oleObject>
      </mc:Choice>
      <mc:Fallback>
        <oleObject progId="Acrobat.Document.2015"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D19" sqref="AD1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24" t="s">
        <v>1790</v>
      </c>
      <c r="B1" s="2425"/>
      <c r="C1" s="2425"/>
      <c r="D1" s="2425"/>
      <c r="E1" s="2425"/>
      <c r="F1" s="2426"/>
    </row>
    <row r="2" spans="1:8" ht="45" customHeight="1" x14ac:dyDescent="0.2">
      <c r="A2" s="2434" t="s">
        <v>1791</v>
      </c>
      <c r="B2" s="2435"/>
      <c r="C2" s="2435"/>
      <c r="D2" s="2435"/>
      <c r="E2" s="2435"/>
      <c r="F2" s="2436"/>
      <c r="G2" s="1075"/>
      <c r="H2" s="1075"/>
    </row>
    <row r="3" spans="1:8" ht="57" customHeight="1" x14ac:dyDescent="0.2">
      <c r="A3" s="2437" t="s">
        <v>1786</v>
      </c>
      <c r="B3" s="2438"/>
      <c r="C3" s="2438"/>
      <c r="D3" s="2438"/>
      <c r="E3" s="2438"/>
      <c r="F3" s="2439"/>
      <c r="G3" s="1075"/>
      <c r="H3" s="1075"/>
    </row>
    <row r="4" spans="1:8" ht="14.25" customHeight="1" x14ac:dyDescent="0.2">
      <c r="A4" s="2443" t="s">
        <v>2051</v>
      </c>
      <c r="B4" s="2444"/>
      <c r="C4" s="2444"/>
      <c r="D4" s="2444"/>
      <c r="E4" s="2444"/>
      <c r="F4" s="2445"/>
      <c r="G4" s="1075"/>
      <c r="H4" s="1075"/>
    </row>
    <row r="5" spans="1:8" ht="14.25" customHeight="1" x14ac:dyDescent="0.2">
      <c r="A5" s="2446" t="s">
        <v>2052</v>
      </c>
      <c r="B5" s="2447"/>
      <c r="C5" s="2447"/>
      <c r="D5" s="2447"/>
      <c r="E5" s="2447"/>
      <c r="F5" s="2448"/>
      <c r="G5" s="1075"/>
      <c r="H5" s="1075"/>
    </row>
    <row r="6" spans="1:8" s="1076" customFormat="1" ht="41.25" customHeight="1" x14ac:dyDescent="0.2">
      <c r="A6" s="2440" t="s">
        <v>1792</v>
      </c>
      <c r="B6" s="2441"/>
      <c r="C6" s="2441"/>
      <c r="D6" s="2441"/>
      <c r="E6" s="2441"/>
      <c r="F6" s="244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80086698</v>
      </c>
      <c r="C8" s="1838">
        <f>'Acct Summary 7-8'!D8</f>
        <v>5452342</v>
      </c>
      <c r="D8" s="1838">
        <f>'Acct Summary 7-8'!F8</f>
        <v>2752778</v>
      </c>
      <c r="E8" s="1838">
        <f>'Acct Summary 7-8'!I8</f>
        <v>23510</v>
      </c>
      <c r="F8" s="1838">
        <f>SUM(B8:E8)</f>
        <v>88315328</v>
      </c>
    </row>
    <row r="9" spans="1:8" s="1080" customFormat="1" ht="14.25" customHeight="1" thickBot="1" x14ac:dyDescent="0.25">
      <c r="A9" s="1079" t="s">
        <v>1436</v>
      </c>
      <c r="B9" s="1839">
        <f>'Acct Summary 7-8'!C17</f>
        <v>78017906</v>
      </c>
      <c r="C9" s="1839">
        <f>'Acct Summary 7-8'!D17</f>
        <v>6642871</v>
      </c>
      <c r="D9" s="1839">
        <f>'Acct Summary 7-8'!F17</f>
        <v>3644910</v>
      </c>
      <c r="E9" s="1838"/>
      <c r="F9" s="1838">
        <f>SUM(B9:E9)</f>
        <v>88305687</v>
      </c>
    </row>
    <row r="10" spans="1:8" s="1080" customFormat="1" ht="14.25" thickTop="1" thickBot="1" x14ac:dyDescent="0.25">
      <c r="A10" s="1081" t="s">
        <v>1437</v>
      </c>
      <c r="B10" s="1840">
        <f>(B8-B9)</f>
        <v>2068792</v>
      </c>
      <c r="C10" s="1840">
        <f>(C8-C9)</f>
        <v>-1190529</v>
      </c>
      <c r="D10" s="1840">
        <f>(D8-D9)</f>
        <v>-892132</v>
      </c>
      <c r="E10" s="1839">
        <f>(E8-E9)</f>
        <v>23510</v>
      </c>
      <c r="F10" s="1841">
        <f>SUM(F8-F9)</f>
        <v>9641</v>
      </c>
    </row>
    <row r="11" spans="1:8" s="1080" customFormat="1" ht="14.25" thickTop="1" thickBot="1" x14ac:dyDescent="0.25">
      <c r="A11" s="1082" t="s">
        <v>1785</v>
      </c>
      <c r="B11" s="1842">
        <f>'Acct Summary 7-8'!C81</f>
        <v>33600382</v>
      </c>
      <c r="C11" s="1842">
        <f>'Acct Summary 7-8'!D81</f>
        <v>6449899</v>
      </c>
      <c r="D11" s="1842">
        <f>'Acct Summary 7-8'!F81</f>
        <v>4732456</v>
      </c>
      <c r="E11" s="1842">
        <f>'Acct Summary 7-8'!I81</f>
        <v>2061633</v>
      </c>
      <c r="F11" s="1843">
        <f>SUM(B11:E11)</f>
        <v>46844370</v>
      </c>
    </row>
    <row r="12" spans="1:8" ht="16.5" customHeight="1" thickTop="1" x14ac:dyDescent="0.2">
      <c r="A12" s="1083"/>
      <c r="B12" s="1084"/>
      <c r="C12" s="2428" t="str">
        <f>IF(AND(F10&lt;0,F11&gt;=0,ABS(F10*3)&gt;ABS(F11)),A16,IF(AND(F10&lt;0,F11&gt;0,ABS(F10*3)&lt;=ABS(F11)),A17,IF(AND(F10&lt;0,F11&lt;0),A16,IF(F11=0,A19,A18))))</f>
        <v>Balanced - no deficit reduction plan is required.</v>
      </c>
      <c r="D12" s="2429"/>
      <c r="E12" s="2429"/>
      <c r="F12" s="2430"/>
    </row>
    <row r="13" spans="1:8" ht="19.5" customHeight="1" x14ac:dyDescent="0.2">
      <c r="A13" s="1085"/>
      <c r="B13" s="1086"/>
      <c r="C13" s="2428"/>
      <c r="D13" s="2429"/>
      <c r="E13" s="2429"/>
      <c r="F13" s="2430"/>
      <c r="H13" s="1075"/>
    </row>
    <row r="14" spans="1:8" ht="19.5" customHeight="1" x14ac:dyDescent="0.2">
      <c r="A14" s="1085"/>
      <c r="B14" s="1086"/>
      <c r="C14" s="2428"/>
      <c r="D14" s="2429"/>
      <c r="E14" s="2429"/>
      <c r="F14" s="2430"/>
      <c r="H14" s="1075"/>
    </row>
    <row r="15" spans="1:8" ht="17.25" customHeight="1" x14ac:dyDescent="0.2">
      <c r="A15" s="1085"/>
      <c r="B15" s="1086"/>
      <c r="C15" s="2431"/>
      <c r="D15" s="2432"/>
      <c r="E15" s="2432"/>
      <c r="F15" s="2433"/>
      <c r="H15" s="1075"/>
    </row>
    <row r="16" spans="1:8" s="310" customFormat="1" ht="51.75" hidden="1" customHeight="1" x14ac:dyDescent="0.2">
      <c r="A16" s="2427" t="s">
        <v>1787</v>
      </c>
      <c r="B16" s="2427"/>
      <c r="C16" s="2427"/>
      <c r="D16" s="2427"/>
      <c r="E16" s="242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449" t="s">
        <v>686</v>
      </c>
      <c r="B3" s="2450"/>
      <c r="C3" s="2450"/>
      <c r="D3" s="2451"/>
    </row>
    <row r="4" spans="1:4" x14ac:dyDescent="0.2">
      <c r="A4" s="1153" t="s">
        <v>1793</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60" t="s">
        <v>1584</v>
      </c>
      <c r="D7" s="2461"/>
    </row>
    <row r="8" spans="1:4" s="669" customFormat="1" ht="12.75" x14ac:dyDescent="0.2">
      <c r="A8" s="1139"/>
      <c r="B8" s="1094"/>
      <c r="C8" s="1097" t="s">
        <v>1583</v>
      </c>
      <c r="D8" s="1098"/>
    </row>
    <row r="9" spans="1:4" s="669" customFormat="1" ht="14.25" customHeight="1" x14ac:dyDescent="0.2">
      <c r="A9" s="1139"/>
      <c r="B9" s="1094">
        <f>B7+1</f>
        <v>4</v>
      </c>
      <c r="C9" s="1095" t="s">
        <v>2044</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52" t="s">
        <v>1065</v>
      </c>
      <c r="B15" s="2453"/>
      <c r="C15" s="2453"/>
      <c r="D15" s="2454"/>
    </row>
    <row r="16" spans="1:4" s="669" customFormat="1" ht="24" customHeight="1" x14ac:dyDescent="0.2">
      <c r="A16" s="2455" t="s">
        <v>684</v>
      </c>
      <c r="B16" s="2456"/>
      <c r="C16" s="2456"/>
      <c r="D16" s="245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64" t="s">
        <v>332</v>
      </c>
      <c r="D21" s="2465"/>
    </row>
    <row r="22" spans="1:10" ht="12.75" x14ac:dyDescent="0.2">
      <c r="A22" s="1140"/>
      <c r="B22" s="1141">
        <v>2</v>
      </c>
      <c r="C22" s="2462" t="s">
        <v>1605</v>
      </c>
      <c r="D22" s="2463"/>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ENTER ACCOUNTING INFO</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66" t="s">
        <v>557</v>
      </c>
      <c r="D43" s="246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58" t="s">
        <v>817</v>
      </c>
      <c r="D56" s="245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2045</v>
      </c>
      <c r="D66" s="1126"/>
    </row>
    <row r="67" spans="1:4" x14ac:dyDescent="0.2">
      <c r="A67" s="1120"/>
      <c r="B67" s="1141"/>
      <c r="C67" s="1148" t="s">
        <v>1079</v>
      </c>
      <c r="D67" s="1126"/>
    </row>
    <row r="68" spans="1:4" x14ac:dyDescent="0.2">
      <c r="A68" s="1101"/>
      <c r="B68" s="1111"/>
      <c r="C68" s="1103" t="s">
        <v>2046</v>
      </c>
      <c r="D68" s="1125" t="str">
        <f>IF('Short-Term Long-Term Debt 24'!F49=SUM(,'Acct Summary 7-8'!C33:K33),"OK","ERROR!")</f>
        <v>OK</v>
      </c>
    </row>
    <row r="69" spans="1:4" x14ac:dyDescent="0.2">
      <c r="A69" s="1101"/>
      <c r="B69" s="1111"/>
      <c r="C69" s="1103" t="s">
        <v>2047</v>
      </c>
      <c r="D69" s="1125" t="str">
        <f>IF('Expenditures 15-22'!H170&lt;&gt;'Short-Term Long-Term Debt 24'!H49,"ERROR!","OK")</f>
        <v>OK</v>
      </c>
    </row>
    <row r="70" spans="1:4" x14ac:dyDescent="0.2">
      <c r="A70" s="1099"/>
      <c r="B70" s="1121">
        <f>B66+1</f>
        <v>9</v>
      </c>
      <c r="C70" s="2458" t="s">
        <v>1797</v>
      </c>
      <c r="D70" s="245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2048</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2049</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2050</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44063155016</v>
      </c>
    </row>
    <row r="3" spans="1:2" x14ac:dyDescent="0.2">
      <c r="A3" t="s">
        <v>1013</v>
      </c>
      <c r="B3" s="138" t="str">
        <f>COVER!A15</f>
        <v>McHenry County</v>
      </c>
    </row>
    <row r="4" spans="1:2" x14ac:dyDescent="0.2">
      <c r="A4" t="s">
        <v>1064</v>
      </c>
      <c r="B4" s="138" t="str">
        <f>COVER!A17</f>
        <v>CHSD 155 Crystal Lake</v>
      </c>
    </row>
    <row r="5" spans="1:2" x14ac:dyDescent="0.2">
      <c r="A5" t="s">
        <v>728</v>
      </c>
      <c r="B5" s="138" t="str">
        <f>COVER!A38</f>
        <v>Steve Olson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065-036379</v>
      </c>
    </row>
    <row r="16" spans="1:2" x14ac:dyDescent="0.2">
      <c r="A16" t="s">
        <v>442</v>
      </c>
      <c r="B16" s="138" t="str">
        <f>COVER!T13</f>
        <v>Tighe, Kress, &amp; Orr, P.C.</v>
      </c>
    </row>
    <row r="17" spans="1:2" x14ac:dyDescent="0.2">
      <c r="A17" t="s">
        <v>939</v>
      </c>
      <c r="B17" s="138" t="str">
        <f>COVER!T15</f>
        <v>Cynthia Petschke</v>
      </c>
    </row>
    <row r="18" spans="1:2" x14ac:dyDescent="0.2">
      <c r="A18" t="s">
        <v>1212</v>
      </c>
      <c r="B18" s="138" t="str">
        <f>COVER!T17</f>
        <v>2001 Larkin Ave, Suite 202</v>
      </c>
    </row>
    <row r="19" spans="1:2" x14ac:dyDescent="0.2">
      <c r="A19" t="s">
        <v>941</v>
      </c>
      <c r="B19" s="138" t="str">
        <f>COVER!T25</f>
        <v>Cynthia.Petschke@tkocpa.com</v>
      </c>
    </row>
    <row r="20" spans="1:2" x14ac:dyDescent="0.2">
      <c r="A20" t="s">
        <v>942</v>
      </c>
      <c r="B20" s="138" t="str">
        <f>COVER!T19</f>
        <v>Elgin</v>
      </c>
    </row>
    <row r="21" spans="1:2" x14ac:dyDescent="0.2">
      <c r="A21" t="s">
        <v>500</v>
      </c>
      <c r="B21" s="138" t="str">
        <f>COVER!X19</f>
        <v>IL</v>
      </c>
    </row>
    <row r="22" spans="1:2" x14ac:dyDescent="0.2">
      <c r="A22" t="s">
        <v>943</v>
      </c>
      <c r="B22" s="138">
        <f>COVER!Z19</f>
        <v>60123</v>
      </c>
    </row>
    <row r="23" spans="1:2" x14ac:dyDescent="0.2">
      <c r="A23" t="s">
        <v>1214</v>
      </c>
      <c r="B23" s="138" t="str">
        <f>COVER!T21</f>
        <v>847-695-2700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33420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30106242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56298790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54663</v>
      </c>
      <c r="D76" s="2" t="str">
        <f t="shared" si="0"/>
        <v>Error?</v>
      </c>
    </row>
    <row r="77" spans="1:4" x14ac:dyDescent="0.2">
      <c r="A77" s="5">
        <v>16</v>
      </c>
      <c r="B77" s="138">
        <f>'Assets-Liab 5-6'!C13</f>
        <v>108052292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65300701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74451910</v>
      </c>
      <c r="C91" s="2" t="s">
        <v>594</v>
      </c>
      <c r="D91" s="2" t="str">
        <f t="shared" si="0"/>
        <v>Error?</v>
      </c>
    </row>
    <row r="92" spans="1:4" x14ac:dyDescent="0.2">
      <c r="A92" s="5">
        <v>31</v>
      </c>
      <c r="B92" s="138">
        <f>'Assets-Liab 5-6'!C39</f>
        <v>26858240</v>
      </c>
      <c r="D92" s="2" t="str">
        <f t="shared" si="0"/>
        <v>Error?</v>
      </c>
    </row>
    <row r="93" spans="1:4" x14ac:dyDescent="0.2">
      <c r="A93" s="5">
        <v>32</v>
      </c>
      <c r="B93" s="138">
        <f>'Assets-Liab 5-6'!C41</f>
        <v>108052292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2411830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12176134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5344255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5726235</v>
      </c>
      <c r="C122" s="2" t="s">
        <v>594</v>
      </c>
      <c r="D122" s="2" t="str">
        <f t="shared" si="0"/>
        <v>Error?</v>
      </c>
    </row>
    <row r="123" spans="1:4" x14ac:dyDescent="0.2">
      <c r="A123" s="5">
        <v>62</v>
      </c>
      <c r="B123" s="138">
        <f>'Assets-Liab 5-6'!D39</f>
        <v>6449899</v>
      </c>
      <c r="D123" s="2" t="str">
        <f t="shared" si="0"/>
        <v>Error?</v>
      </c>
    </row>
    <row r="124" spans="1:4" x14ac:dyDescent="0.2">
      <c r="A124" s="5">
        <v>63</v>
      </c>
      <c r="B124" s="138">
        <f>'Assets-Liab 5-6'!D41</f>
        <v>12176134</v>
      </c>
      <c r="C124" s="2" t="s">
        <v>594</v>
      </c>
      <c r="D124" s="2" t="str">
        <f t="shared" si="0"/>
        <v>Error?</v>
      </c>
    </row>
    <row r="125" spans="1:4" x14ac:dyDescent="0.2">
      <c r="A125" s="10">
        <v>64</v>
      </c>
      <c r="D125" s="2" t="str">
        <f t="shared" si="0"/>
        <v>OK</v>
      </c>
    </row>
    <row r="126" spans="1:4" x14ac:dyDescent="0.2">
      <c r="A126" s="5">
        <v>65</v>
      </c>
      <c r="B126" s="138">
        <f>'Assets-Liab 5-6'!E6</f>
        <v>82709</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318111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178221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178221</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318111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675166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6946669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1732424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2214213</v>
      </c>
      <c r="C169" s="2" t="s">
        <v>594</v>
      </c>
      <c r="D169" s="2" t="str">
        <f t="shared" si="1"/>
        <v>Error?</v>
      </c>
    </row>
    <row r="170" spans="1:4" x14ac:dyDescent="0.2">
      <c r="A170" s="5">
        <v>109</v>
      </c>
      <c r="B170" s="138">
        <f>'Assets-Liab 5-6'!F39</f>
        <v>4732456</v>
      </c>
      <c r="D170" s="2" t="str">
        <f t="shared" si="1"/>
        <v>Error?</v>
      </c>
    </row>
    <row r="171" spans="1:4" x14ac:dyDescent="0.2">
      <c r="A171" s="5">
        <v>110</v>
      </c>
      <c r="B171" s="138">
        <f>'Assets-Liab 5-6'!F41</f>
        <v>6946669</v>
      </c>
      <c r="C171" s="2" t="s">
        <v>594</v>
      </c>
      <c r="D171" s="2" t="str">
        <f t="shared" si="1"/>
        <v>Error?</v>
      </c>
    </row>
    <row r="172" spans="1:4" x14ac:dyDescent="0.2">
      <c r="A172" s="10">
        <v>111</v>
      </c>
      <c r="D172" s="2" t="str">
        <f t="shared" si="1"/>
        <v>OK</v>
      </c>
    </row>
    <row r="173" spans="1:4" x14ac:dyDescent="0.2">
      <c r="A173" s="5">
        <v>112</v>
      </c>
      <c r="B173" s="138">
        <f>'Assets-Liab 5-6'!G6</f>
        <v>838678</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4880859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161539</v>
      </c>
      <c r="D184" s="2" t="str">
        <f t="shared" si="1"/>
        <v>Error?</v>
      </c>
    </row>
    <row r="185" spans="1:4" x14ac:dyDescent="0.2">
      <c r="A185" s="5">
        <v>124</v>
      </c>
      <c r="B185" s="138">
        <f>'Assets-Liab 5-6'!G32</f>
        <v>1807164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1968703</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4880859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10606027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5332488</v>
      </c>
      <c r="C211" s="2" t="s">
        <v>594</v>
      </c>
      <c r="D211" s="2" t="str">
        <f t="shared" si="2"/>
        <v>Error?</v>
      </c>
    </row>
    <row r="212" spans="1:4" x14ac:dyDescent="0.2">
      <c r="A212" s="5">
        <v>151</v>
      </c>
      <c r="B212" s="138">
        <f>'Assets-Liab 5-6'!H39</f>
        <v>5073712</v>
      </c>
      <c r="D212" s="2" t="str">
        <f t="shared" si="2"/>
        <v>Error?</v>
      </c>
    </row>
    <row r="213" spans="1:4" x14ac:dyDescent="0.2">
      <c r="A213" s="12">
        <v>152</v>
      </c>
      <c r="B213" s="138">
        <f>'Assets-Liab 5-6'!H41</f>
        <v>10606027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2330356</v>
      </c>
      <c r="D273" s="2" t="str">
        <f t="shared" si="3"/>
        <v>Error?</v>
      </c>
    </row>
    <row r="274" spans="1:4" x14ac:dyDescent="0.2">
      <c r="A274" s="5">
        <v>213</v>
      </c>
      <c r="B274" s="138">
        <f>'Assets-Liab 5-6'!M17</f>
        <v>77232645</v>
      </c>
      <c r="D274" s="2" t="str">
        <f t="shared" si="3"/>
        <v>Error?</v>
      </c>
    </row>
    <row r="275" spans="1:4" x14ac:dyDescent="0.2">
      <c r="A275" s="5">
        <v>214</v>
      </c>
      <c r="B275" s="138">
        <f>'Assets-Liab 5-6'!M18</f>
        <v>0</v>
      </c>
      <c r="D275" s="2" t="str">
        <f t="shared" si="3"/>
        <v>Error?</v>
      </c>
    </row>
    <row r="276" spans="1:4" x14ac:dyDescent="0.2">
      <c r="A276" s="5">
        <v>215</v>
      </c>
      <c r="B276" s="138">
        <f>'Assets-Liab 5-6'!M19</f>
        <v>1699171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87600861</v>
      </c>
      <c r="C279" s="2" t="s">
        <v>594</v>
      </c>
      <c r="D279" s="2" t="str">
        <f t="shared" si="3"/>
        <v>Error?</v>
      </c>
    </row>
    <row r="280" spans="1:4" x14ac:dyDescent="0.2">
      <c r="A280" s="5">
        <v>219</v>
      </c>
      <c r="B280" s="138">
        <f>'Assets-Liab 5-6'!M40</f>
        <v>87600861</v>
      </c>
      <c r="D280" s="2" t="str">
        <f t="shared" si="3"/>
        <v>Error?</v>
      </c>
    </row>
    <row r="281" spans="1:4" x14ac:dyDescent="0.2">
      <c r="A281" s="5">
        <v>220</v>
      </c>
      <c r="B281" s="138">
        <f>'Assets-Liab 5-6'!M41</f>
        <v>87600861</v>
      </c>
      <c r="C281" s="2" t="s">
        <v>594</v>
      </c>
      <c r="D281" s="2" t="str">
        <f t="shared" si="3"/>
        <v>Error?</v>
      </c>
    </row>
    <row r="282" spans="1:4" x14ac:dyDescent="0.2">
      <c r="A282" s="5">
        <v>221</v>
      </c>
      <c r="B282" s="138">
        <f>'Assets-Liab 5-6'!N21</f>
        <v>139890</v>
      </c>
      <c r="D282" s="2" t="str">
        <f t="shared" si="3"/>
        <v>Error?</v>
      </c>
    </row>
    <row r="283" spans="1:4" x14ac:dyDescent="0.2">
      <c r="A283" s="5">
        <v>222</v>
      </c>
      <c r="B283" s="138">
        <f>'Assets-Liab 5-6'!N22</f>
        <v>81661861</v>
      </c>
      <c r="D283" s="2" t="str">
        <f t="shared" si="3"/>
        <v>Error?</v>
      </c>
    </row>
    <row r="284" spans="1:4" x14ac:dyDescent="0.2">
      <c r="A284" s="5">
        <v>223</v>
      </c>
      <c r="B284" s="138">
        <f>'Assets-Liab 5-6'!N23</f>
        <v>81801751</v>
      </c>
      <c r="C284" s="2" t="s">
        <v>594</v>
      </c>
      <c r="D284" s="2" t="str">
        <f t="shared" si="3"/>
        <v>Error?</v>
      </c>
    </row>
    <row r="285" spans="1:4" x14ac:dyDescent="0.2">
      <c r="A285" s="5">
        <v>224</v>
      </c>
      <c r="B285" s="138">
        <f>'Assets-Liab 5-6'!N36</f>
        <v>81801751</v>
      </c>
      <c r="D285" s="2" t="str">
        <f t="shared" si="3"/>
        <v>Error?</v>
      </c>
    </row>
    <row r="286" spans="1:4" x14ac:dyDescent="0.2">
      <c r="A286" s="10">
        <v>225</v>
      </c>
      <c r="D286" s="2" t="str">
        <f t="shared" si="3"/>
        <v>OK</v>
      </c>
    </row>
    <row r="287" spans="1:4" x14ac:dyDescent="0.2">
      <c r="A287" s="5">
        <v>226</v>
      </c>
      <c r="B287" s="138">
        <f>'Assets-Liab 5-6'!N37</f>
        <v>81801751</v>
      </c>
      <c r="C287" s="2" t="s">
        <v>594</v>
      </c>
      <c r="D287" s="2" t="str">
        <f t="shared" si="3"/>
        <v>Error?</v>
      </c>
    </row>
    <row r="288" spans="1:4" x14ac:dyDescent="0.2">
      <c r="A288" s="5">
        <v>227</v>
      </c>
      <c r="B288" s="138">
        <f>'Assets-Liab 5-6'!N41</f>
        <v>81801751</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26819656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2533399</v>
      </c>
      <c r="D717" s="2" t="str">
        <f t="shared" si="10"/>
        <v>Error?</v>
      </c>
    </row>
    <row r="718" spans="1:4" x14ac:dyDescent="0.2">
      <c r="A718" s="5">
        <v>657</v>
      </c>
      <c r="B718" s="138">
        <f>'Expenditures 15-22'!C14</f>
        <v>2971797</v>
      </c>
      <c r="D718" s="2" t="str">
        <f t="shared" si="10"/>
        <v>Error?</v>
      </c>
    </row>
    <row r="719" spans="1:4" x14ac:dyDescent="0.2">
      <c r="A719" s="5">
        <v>658</v>
      </c>
      <c r="B719" s="138">
        <f>'Expenditures 15-22'!C15</f>
        <v>262210</v>
      </c>
      <c r="D719" s="2" t="str">
        <f t="shared" si="10"/>
        <v>Error?</v>
      </c>
    </row>
    <row r="720" spans="1:4" x14ac:dyDescent="0.2">
      <c r="A720" s="5">
        <v>659</v>
      </c>
      <c r="B720" s="138">
        <f>'Expenditures 15-22'!C33</f>
        <v>39419536</v>
      </c>
      <c r="C720" s="2" t="s">
        <v>594</v>
      </c>
      <c r="D720" s="2" t="str">
        <f t="shared" si="10"/>
        <v>Error?</v>
      </c>
    </row>
    <row r="721" spans="1:4" x14ac:dyDescent="0.2">
      <c r="A721" s="5">
        <v>660</v>
      </c>
      <c r="B721" s="138">
        <f>'Expenditures 15-22'!C36</f>
        <v>1207150</v>
      </c>
      <c r="D721" s="2" t="str">
        <f t="shared" si="10"/>
        <v>Error?</v>
      </c>
    </row>
    <row r="722" spans="1:4" x14ac:dyDescent="0.2">
      <c r="A722" s="5">
        <v>661</v>
      </c>
      <c r="B722" s="138">
        <f>'Expenditures 15-22'!C37</f>
        <v>2803172</v>
      </c>
      <c r="D722" s="2" t="str">
        <f t="shared" si="10"/>
        <v>Error?</v>
      </c>
    </row>
    <row r="723" spans="1:4" x14ac:dyDescent="0.2">
      <c r="A723" s="5">
        <v>662</v>
      </c>
      <c r="B723" s="138">
        <f>'Expenditures 15-22'!C38</f>
        <v>447048</v>
      </c>
      <c r="D723" s="2" t="str">
        <f t="shared" si="10"/>
        <v>Error?</v>
      </c>
    </row>
    <row r="724" spans="1:4" x14ac:dyDescent="0.2">
      <c r="A724" s="5">
        <v>663</v>
      </c>
      <c r="B724" s="138">
        <f>'Expenditures 15-22'!C39</f>
        <v>382789</v>
      </c>
      <c r="D724" s="2" t="str">
        <f t="shared" si="10"/>
        <v>Error?</v>
      </c>
    </row>
    <row r="725" spans="1:4" x14ac:dyDescent="0.2">
      <c r="A725" s="5">
        <v>664</v>
      </c>
      <c r="B725" s="138">
        <f>'Expenditures 15-22'!C40</f>
        <v>348830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5188989</v>
      </c>
      <c r="C727" s="2" t="s">
        <v>594</v>
      </c>
      <c r="D727" s="2" t="str">
        <f t="shared" si="10"/>
        <v>Error?</v>
      </c>
    </row>
    <row r="728" spans="1:4" x14ac:dyDescent="0.2">
      <c r="A728" s="5">
        <v>667</v>
      </c>
      <c r="B728" s="138">
        <f>'Expenditures 15-22'!C44</f>
        <v>3176382</v>
      </c>
      <c r="D728" s="2" t="str">
        <f t="shared" si="10"/>
        <v>Error?</v>
      </c>
    </row>
    <row r="729" spans="1:4" x14ac:dyDescent="0.2">
      <c r="A729" s="5">
        <v>668</v>
      </c>
      <c r="B729" s="138">
        <f>'Expenditures 15-22'!C45</f>
        <v>636307</v>
      </c>
      <c r="D729" s="2" t="str">
        <f t="shared" si="10"/>
        <v>Error?</v>
      </c>
    </row>
    <row r="730" spans="1:4" x14ac:dyDescent="0.2">
      <c r="A730" s="5">
        <v>669</v>
      </c>
      <c r="B730" s="138">
        <f>'Expenditures 15-22'!C46</f>
        <v>5950</v>
      </c>
      <c r="D730" s="2" t="str">
        <f t="shared" si="10"/>
        <v>Error?</v>
      </c>
    </row>
    <row r="731" spans="1:4" x14ac:dyDescent="0.2">
      <c r="A731" s="5">
        <v>670</v>
      </c>
      <c r="B731" s="138">
        <f>'Expenditures 15-22'!C47</f>
        <v>3818639</v>
      </c>
      <c r="C731" s="2" t="s">
        <v>594</v>
      </c>
      <c r="D731" s="2" t="str">
        <f t="shared" si="10"/>
        <v>Error?</v>
      </c>
    </row>
    <row r="732" spans="1:4" x14ac:dyDescent="0.2">
      <c r="A732" s="5">
        <v>671</v>
      </c>
      <c r="B732" s="138">
        <f>'Expenditures 15-22'!C49</f>
        <v>59359</v>
      </c>
      <c r="D732" s="2" t="str">
        <f t="shared" si="10"/>
        <v>Error?</v>
      </c>
    </row>
    <row r="733" spans="1:4" x14ac:dyDescent="0.2">
      <c r="A733" s="5">
        <v>672</v>
      </c>
      <c r="B733" s="138">
        <f>'Expenditures 15-22'!C50</f>
        <v>364524</v>
      </c>
      <c r="D733" s="2" t="str">
        <f t="shared" si="10"/>
        <v>Error?</v>
      </c>
    </row>
    <row r="734" spans="1:4" x14ac:dyDescent="0.2">
      <c r="A734" s="5">
        <v>673</v>
      </c>
      <c r="B734" s="138">
        <f>'Expenditures 15-22'!C53</f>
        <v>423883</v>
      </c>
      <c r="C734" s="2" t="s">
        <v>594</v>
      </c>
      <c r="D734" s="2" t="str">
        <f t="shared" si="10"/>
        <v>Error?</v>
      </c>
    </row>
    <row r="735" spans="1:4" x14ac:dyDescent="0.2">
      <c r="A735" s="5">
        <v>674</v>
      </c>
      <c r="B735" s="138">
        <f>'Expenditures 15-22'!C55</f>
        <v>1517884</v>
      </c>
      <c r="D735" s="2" t="str">
        <f t="shared" si="10"/>
        <v>Error?</v>
      </c>
    </row>
    <row r="736" spans="1:4" x14ac:dyDescent="0.2">
      <c r="A736" s="5">
        <v>675</v>
      </c>
      <c r="B736" s="138">
        <f>'Expenditures 15-22'!C56</f>
        <v>1166524</v>
      </c>
      <c r="D736" s="2" t="str">
        <f t="shared" si="10"/>
        <v>Error?</v>
      </c>
    </row>
    <row r="737" spans="1:4" x14ac:dyDescent="0.2">
      <c r="A737" s="5">
        <v>676</v>
      </c>
      <c r="B737" s="138">
        <f>'Expenditures 15-22'!C57</f>
        <v>2684408</v>
      </c>
      <c r="C737" s="2" t="s">
        <v>594</v>
      </c>
      <c r="D737" s="2" t="str">
        <f t="shared" si="10"/>
        <v>Error?</v>
      </c>
    </row>
    <row r="738" spans="1:4" x14ac:dyDescent="0.2">
      <c r="A738" s="5">
        <v>677</v>
      </c>
      <c r="B738" s="138">
        <f>'Expenditures 15-22'!C59</f>
        <v>140006</v>
      </c>
      <c r="D738" s="2" t="str">
        <f t="shared" si="10"/>
        <v>Error?</v>
      </c>
    </row>
    <row r="739" spans="1:4" x14ac:dyDescent="0.2">
      <c r="A739" s="5">
        <v>678</v>
      </c>
      <c r="B739" s="138">
        <f>'Expenditures 15-22'!C60</f>
        <v>410430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328325</v>
      </c>
      <c r="D742" s="2" t="str">
        <f t="shared" si="10"/>
        <v>Error?</v>
      </c>
    </row>
    <row r="743" spans="1:4" x14ac:dyDescent="0.2">
      <c r="A743" s="5">
        <v>682</v>
      </c>
      <c r="B743" s="138">
        <f>'Expenditures 15-22'!C64</f>
        <v>37966</v>
      </c>
      <c r="D743" s="2" t="str">
        <f t="shared" si="10"/>
        <v>Error?</v>
      </c>
    </row>
    <row r="744" spans="1:4" x14ac:dyDescent="0.2">
      <c r="A744" s="10">
        <v>683</v>
      </c>
      <c r="D744" s="2" t="str">
        <f t="shared" si="10"/>
        <v>OK</v>
      </c>
    </row>
    <row r="745" spans="1:4" x14ac:dyDescent="0.2">
      <c r="A745" s="5">
        <v>684</v>
      </c>
      <c r="B745" s="138">
        <f>'Expenditures 15-22'!C65</f>
        <v>916727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104243</v>
      </c>
      <c r="D748" s="2" t="str">
        <f t="shared" si="10"/>
        <v>Error?</v>
      </c>
    </row>
    <row r="749" spans="1:4" x14ac:dyDescent="0.2">
      <c r="A749" s="5">
        <v>688</v>
      </c>
      <c r="B749" s="138">
        <f>'Expenditures 15-22'!C70</f>
        <v>299063</v>
      </c>
      <c r="D749" s="2" t="str">
        <f t="shared" si="10"/>
        <v>Error?</v>
      </c>
    </row>
    <row r="750" spans="1:4" x14ac:dyDescent="0.2">
      <c r="A750" s="10">
        <v>689</v>
      </c>
      <c r="D750" s="2" t="str">
        <f t="shared" si="10"/>
        <v>OK</v>
      </c>
    </row>
    <row r="751" spans="1:4" x14ac:dyDescent="0.2">
      <c r="A751" s="5">
        <v>690</v>
      </c>
      <c r="B751" s="138">
        <f>'Expenditures 15-22'!C71</f>
        <v>938584</v>
      </c>
      <c r="D751" s="2" t="str">
        <f t="shared" si="10"/>
        <v>Error?</v>
      </c>
    </row>
    <row r="752" spans="1:4" x14ac:dyDescent="0.2">
      <c r="A752" s="10">
        <v>691</v>
      </c>
      <c r="D752" s="2" t="str">
        <f t="shared" si="10"/>
        <v>OK</v>
      </c>
    </row>
    <row r="753" spans="1:4" x14ac:dyDescent="0.2">
      <c r="A753" s="5">
        <v>692</v>
      </c>
      <c r="B753" s="138">
        <f>'Expenditures 15-22'!C72</f>
        <v>1341890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14374536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53794072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6795053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658875</v>
      </c>
      <c r="D775" s="2" t="str">
        <f t="shared" si="11"/>
        <v>Error?</v>
      </c>
    </row>
    <row r="776" spans="1:4" x14ac:dyDescent="0.2">
      <c r="A776" s="5">
        <v>715</v>
      </c>
      <c r="B776" s="138">
        <f>'Expenditures 15-22'!D14</f>
        <v>244585</v>
      </c>
      <c r="D776" s="2" t="str">
        <f t="shared" si="11"/>
        <v>Error?</v>
      </c>
    </row>
    <row r="777" spans="1:4" x14ac:dyDescent="0.2">
      <c r="A777" s="5">
        <v>716</v>
      </c>
      <c r="B777" s="138">
        <f>'Expenditures 15-22'!D15</f>
        <v>17486</v>
      </c>
      <c r="D777" s="2" t="str">
        <f t="shared" si="11"/>
        <v>Error?</v>
      </c>
    </row>
    <row r="778" spans="1:4" x14ac:dyDescent="0.2">
      <c r="A778" s="5">
        <v>717</v>
      </c>
      <c r="B778" s="138">
        <f>'Expenditures 15-22'!D33</f>
        <v>9585709</v>
      </c>
      <c r="C778" s="2" t="s">
        <v>594</v>
      </c>
      <c r="D778" s="2" t="str">
        <f t="shared" si="11"/>
        <v>Error?</v>
      </c>
    </row>
    <row r="779" spans="1:4" x14ac:dyDescent="0.2">
      <c r="A779" s="5">
        <v>718</v>
      </c>
      <c r="B779" s="138">
        <f>'Expenditures 15-22'!D36</f>
        <v>331959</v>
      </c>
      <c r="D779" s="2" t="str">
        <f t="shared" si="11"/>
        <v>Error?</v>
      </c>
    </row>
    <row r="780" spans="1:4" x14ac:dyDescent="0.2">
      <c r="A780" s="5">
        <v>719</v>
      </c>
      <c r="B780" s="138">
        <f>'Expenditures 15-22'!D37</f>
        <v>770379</v>
      </c>
      <c r="D780" s="2" t="str">
        <f t="shared" si="11"/>
        <v>Error?</v>
      </c>
    </row>
    <row r="781" spans="1:4" x14ac:dyDescent="0.2">
      <c r="A781" s="5">
        <v>720</v>
      </c>
      <c r="B781" s="138">
        <f>'Expenditures 15-22'!D38</f>
        <v>122207</v>
      </c>
      <c r="D781" s="2" t="str">
        <f t="shared" si="11"/>
        <v>Error?</v>
      </c>
    </row>
    <row r="782" spans="1:4" x14ac:dyDescent="0.2">
      <c r="A782" s="5">
        <v>721</v>
      </c>
      <c r="B782" s="138">
        <f>'Expenditures 15-22'!D39</f>
        <v>80217</v>
      </c>
      <c r="D782" s="2" t="str">
        <f t="shared" si="11"/>
        <v>Error?</v>
      </c>
    </row>
    <row r="783" spans="1:4" x14ac:dyDescent="0.2">
      <c r="A783" s="5">
        <v>722</v>
      </c>
      <c r="B783" s="138">
        <f>'Expenditures 15-22'!D40</f>
        <v>68601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1373363</v>
      </c>
      <c r="C785" s="2" t="s">
        <v>594</v>
      </c>
      <c r="D785" s="2" t="str">
        <f t="shared" si="11"/>
        <v>Error?</v>
      </c>
    </row>
    <row r="786" spans="1:4" x14ac:dyDescent="0.2">
      <c r="A786" s="5">
        <v>725</v>
      </c>
      <c r="B786" s="138">
        <f>'Expenditures 15-22'!D44</f>
        <v>1096173</v>
      </c>
      <c r="D786" s="2" t="str">
        <f t="shared" si="11"/>
        <v>Error?</v>
      </c>
    </row>
    <row r="787" spans="1:4" x14ac:dyDescent="0.2">
      <c r="A787" s="5">
        <v>726</v>
      </c>
      <c r="B787" s="138">
        <f>'Expenditures 15-22'!D45</f>
        <v>162227</v>
      </c>
      <c r="D787" s="2" t="str">
        <f t="shared" si="11"/>
        <v>Error?</v>
      </c>
    </row>
    <row r="788" spans="1:4" x14ac:dyDescent="0.2">
      <c r="A788" s="5">
        <v>727</v>
      </c>
      <c r="B788" s="138">
        <f>'Expenditures 15-22'!D46</f>
        <v>17</v>
      </c>
      <c r="D788" s="2" t="str">
        <f t="shared" si="11"/>
        <v>Error?</v>
      </c>
    </row>
    <row r="789" spans="1:4" x14ac:dyDescent="0.2">
      <c r="A789" s="5">
        <v>728</v>
      </c>
      <c r="B789" s="138">
        <f>'Expenditures 15-22'!D47</f>
        <v>1258417</v>
      </c>
      <c r="C789" s="2" t="s">
        <v>594</v>
      </c>
      <c r="D789" s="2" t="str">
        <f t="shared" si="11"/>
        <v>Error?</v>
      </c>
    </row>
    <row r="790" spans="1:4" x14ac:dyDescent="0.2">
      <c r="A790" s="5">
        <v>729</v>
      </c>
      <c r="B790" s="138">
        <f>'Expenditures 15-22'!D49</f>
        <v>11194</v>
      </c>
      <c r="D790" s="2" t="str">
        <f t="shared" si="11"/>
        <v>Error?</v>
      </c>
    </row>
    <row r="791" spans="1:4" x14ac:dyDescent="0.2">
      <c r="A791" s="5">
        <v>730</v>
      </c>
      <c r="B791" s="138">
        <f>'Expenditures 15-22'!D50</f>
        <v>112494</v>
      </c>
      <c r="D791" s="2" t="str">
        <f t="shared" si="11"/>
        <v>Error?</v>
      </c>
    </row>
    <row r="792" spans="1:4" x14ac:dyDescent="0.2">
      <c r="A792" s="5">
        <v>731</v>
      </c>
      <c r="B792" s="138">
        <f>'Expenditures 15-22'!D53</f>
        <v>123946</v>
      </c>
      <c r="C792" s="2" t="s">
        <v>594</v>
      </c>
      <c r="D792" s="2" t="str">
        <f t="shared" si="11"/>
        <v>Error?</v>
      </c>
    </row>
    <row r="793" spans="1:4" x14ac:dyDescent="0.2">
      <c r="A793" s="5">
        <v>732</v>
      </c>
      <c r="B793" s="138">
        <f>'Expenditures 15-22'!D55</f>
        <v>467085</v>
      </c>
      <c r="D793" s="2" t="str">
        <f t="shared" si="11"/>
        <v>Error?</v>
      </c>
    </row>
    <row r="794" spans="1:4" x14ac:dyDescent="0.2">
      <c r="A794" s="5">
        <v>733</v>
      </c>
      <c r="B794" s="138">
        <f>'Expenditures 15-22'!D56</f>
        <v>375267</v>
      </c>
      <c r="D794" s="2" t="str">
        <f t="shared" si="11"/>
        <v>Error?</v>
      </c>
    </row>
    <row r="795" spans="1:4" x14ac:dyDescent="0.2">
      <c r="A795" s="5">
        <v>734</v>
      </c>
      <c r="B795" s="138">
        <f>'Expenditures 15-22'!D57</f>
        <v>842352</v>
      </c>
      <c r="C795" s="2" t="s">
        <v>594</v>
      </c>
      <c r="D795" s="2" t="str">
        <f t="shared" si="11"/>
        <v>Error?</v>
      </c>
    </row>
    <row r="796" spans="1:4" x14ac:dyDescent="0.2">
      <c r="A796" s="5">
        <v>735</v>
      </c>
      <c r="B796" s="138">
        <f>'Expenditures 15-22'!D59</f>
        <v>37067</v>
      </c>
      <c r="D796" s="2" t="str">
        <f t="shared" si="11"/>
        <v>Error?</v>
      </c>
    </row>
    <row r="797" spans="1:4" x14ac:dyDescent="0.2">
      <c r="A797" s="5">
        <v>736</v>
      </c>
      <c r="B797" s="138">
        <f>'Expenditures 15-22'!D60</f>
        <v>95848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188611</v>
      </c>
      <c r="D800" s="2" t="str">
        <f t="shared" si="11"/>
        <v>Error?</v>
      </c>
    </row>
    <row r="801" spans="1:4" x14ac:dyDescent="0.2">
      <c r="A801" s="5">
        <v>740</v>
      </c>
      <c r="B801" s="138">
        <f>'Expenditures 15-22'!D64</f>
        <v>1378</v>
      </c>
      <c r="D801" s="2" t="str">
        <f t="shared" si="11"/>
        <v>Error?</v>
      </c>
    </row>
    <row r="802" spans="1:4" x14ac:dyDescent="0.2">
      <c r="A802" s="10">
        <v>741</v>
      </c>
      <c r="D802" s="2" t="str">
        <f t="shared" si="11"/>
        <v>OK</v>
      </c>
    </row>
    <row r="803" spans="1:4" x14ac:dyDescent="0.2">
      <c r="A803" s="5">
        <v>742</v>
      </c>
      <c r="B803" s="138">
        <f>'Expenditures 15-22'!D65</f>
        <v>322904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15815</v>
      </c>
      <c r="D806" s="2" t="str">
        <f t="shared" si="11"/>
        <v>Error?</v>
      </c>
    </row>
    <row r="807" spans="1:4" x14ac:dyDescent="0.2">
      <c r="A807" s="5">
        <v>746</v>
      </c>
      <c r="B807" s="138">
        <f>'Expenditures 15-22'!D70</f>
        <v>104993</v>
      </c>
      <c r="D807" s="2" t="str">
        <f t="shared" si="11"/>
        <v>Error?</v>
      </c>
    </row>
    <row r="808" spans="1:4" x14ac:dyDescent="0.2">
      <c r="A808" s="10">
        <v>747</v>
      </c>
      <c r="D808" s="2" t="str">
        <f t="shared" si="11"/>
        <v>OK</v>
      </c>
    </row>
    <row r="809" spans="1:4" x14ac:dyDescent="0.2">
      <c r="A809" s="5">
        <v>748</v>
      </c>
      <c r="B809" s="138">
        <f>'Expenditures 15-22'!D71</f>
        <v>154592</v>
      </c>
      <c r="D809" s="2" t="str">
        <f t="shared" si="11"/>
        <v>Error?</v>
      </c>
    </row>
    <row r="810" spans="1:4" x14ac:dyDescent="0.2">
      <c r="A810" s="10">
        <v>749</v>
      </c>
      <c r="D810" s="2" t="str">
        <f t="shared" si="11"/>
        <v>OK</v>
      </c>
    </row>
    <row r="811" spans="1:4" x14ac:dyDescent="0.2">
      <c r="A811" s="5">
        <v>750</v>
      </c>
      <c r="B811" s="138">
        <f>'Expenditures 15-22'!D72</f>
        <v>275400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4196382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13782091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590199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21120</v>
      </c>
      <c r="D833" s="2" t="str">
        <f t="shared" si="12"/>
        <v>Error?</v>
      </c>
    </row>
    <row r="834" spans="1:4" x14ac:dyDescent="0.2">
      <c r="A834" s="5">
        <v>773</v>
      </c>
      <c r="B834" s="138">
        <f>'Expenditures 15-22'!E14</f>
        <v>464911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1324685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12298</v>
      </c>
      <c r="D838" s="2" t="str">
        <f t="shared" si="12"/>
        <v>Error?</v>
      </c>
    </row>
    <row r="839" spans="1:4" x14ac:dyDescent="0.2">
      <c r="A839" s="5">
        <v>778</v>
      </c>
      <c r="B839" s="138">
        <f>'Expenditures 15-22'!E38</f>
        <v>157938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170236</v>
      </c>
      <c r="C843" s="2" t="s">
        <v>594</v>
      </c>
      <c r="D843" s="2" t="str">
        <f t="shared" si="12"/>
        <v>Error?</v>
      </c>
    </row>
    <row r="844" spans="1:4" x14ac:dyDescent="0.2">
      <c r="A844" s="5">
        <v>783</v>
      </c>
      <c r="B844" s="138">
        <f>'Expenditures 15-22'!E44</f>
        <v>266893</v>
      </c>
      <c r="D844" s="2" t="str">
        <f t="shared" si="12"/>
        <v>Error?</v>
      </c>
    </row>
    <row r="845" spans="1:4" x14ac:dyDescent="0.2">
      <c r="A845" s="5">
        <v>784</v>
      </c>
      <c r="B845" s="138">
        <f>'Expenditures 15-22'!E45</f>
        <v>67519</v>
      </c>
      <c r="D845" s="2" t="str">
        <f t="shared" si="12"/>
        <v>Error?</v>
      </c>
    </row>
    <row r="846" spans="1:4" x14ac:dyDescent="0.2">
      <c r="A846" s="5">
        <v>785</v>
      </c>
      <c r="B846" s="138">
        <f>'Expenditures 15-22'!E46</f>
        <v>131147</v>
      </c>
      <c r="D846" s="2" t="str">
        <f t="shared" si="12"/>
        <v>Error?</v>
      </c>
    </row>
    <row r="847" spans="1:4" x14ac:dyDescent="0.2">
      <c r="A847" s="5">
        <v>786</v>
      </c>
      <c r="B847" s="138">
        <f>'Expenditures 15-22'!E47</f>
        <v>465559</v>
      </c>
      <c r="C847" s="2" t="s">
        <v>594</v>
      </c>
      <c r="D847" s="2" t="str">
        <f t="shared" si="12"/>
        <v>Error?</v>
      </c>
    </row>
    <row r="848" spans="1:4" x14ac:dyDescent="0.2">
      <c r="A848" s="5">
        <v>787</v>
      </c>
      <c r="B848" s="138">
        <f>'Expenditures 15-22'!E49</f>
        <v>314694</v>
      </c>
      <c r="D848" s="2" t="str">
        <f t="shared" si="12"/>
        <v>Error?</v>
      </c>
    </row>
    <row r="849" spans="1:4" x14ac:dyDescent="0.2">
      <c r="A849" s="5">
        <v>788</v>
      </c>
      <c r="B849" s="138">
        <f>'Expenditures 15-22'!E50</f>
        <v>8213</v>
      </c>
      <c r="D849" s="2" t="str">
        <f t="shared" si="12"/>
        <v>Error?</v>
      </c>
    </row>
    <row r="850" spans="1:4" x14ac:dyDescent="0.2">
      <c r="A850" s="5">
        <v>789</v>
      </c>
      <c r="B850" s="138">
        <f>'Expenditures 15-22'!E53</f>
        <v>1009538</v>
      </c>
      <c r="C850" s="2" t="s">
        <v>594</v>
      </c>
      <c r="D850" s="2" t="str">
        <f t="shared" si="12"/>
        <v>Error?</v>
      </c>
    </row>
    <row r="851" spans="1:4" x14ac:dyDescent="0.2">
      <c r="A851" s="5">
        <v>790</v>
      </c>
      <c r="B851" s="138">
        <f>'Expenditures 15-22'!E55</f>
        <v>65853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65853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130260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1067023</v>
      </c>
      <c r="D858" s="2" t="str">
        <f t="shared" si="12"/>
        <v>Error?</v>
      </c>
    </row>
    <row r="859" spans="1:4" x14ac:dyDescent="0.2">
      <c r="A859" s="5">
        <v>798</v>
      </c>
      <c r="B859" s="138">
        <f>'Expenditures 15-22'!E64</f>
        <v>396</v>
      </c>
      <c r="D859" s="2" t="str">
        <f t="shared" si="12"/>
        <v>Error?</v>
      </c>
    </row>
    <row r="860" spans="1:4" x14ac:dyDescent="0.2">
      <c r="A860" s="10">
        <v>799</v>
      </c>
      <c r="D860" s="2" t="str">
        <f t="shared" si="12"/>
        <v>OK</v>
      </c>
    </row>
    <row r="861" spans="1:4" x14ac:dyDescent="0.2">
      <c r="A861" s="5">
        <v>800</v>
      </c>
      <c r="B861" s="138">
        <f>'Expenditures 15-22'!E65</f>
        <v>1197679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7825</v>
      </c>
      <c r="D864" s="2" t="str">
        <f t="shared" si="12"/>
        <v>Error?</v>
      </c>
    </row>
    <row r="865" spans="1:4" x14ac:dyDescent="0.2">
      <c r="A865" s="5">
        <v>804</v>
      </c>
      <c r="B865" s="138">
        <f>'Expenditures 15-22'!E70</f>
        <v>37712</v>
      </c>
      <c r="D865" s="2" t="str">
        <f t="shared" si="12"/>
        <v>Error?</v>
      </c>
    </row>
    <row r="866" spans="1:4" x14ac:dyDescent="0.2">
      <c r="A866" s="10">
        <v>805</v>
      </c>
      <c r="D866" s="2" t="str">
        <f t="shared" si="12"/>
        <v>OK</v>
      </c>
    </row>
    <row r="867" spans="1:4" x14ac:dyDescent="0.2">
      <c r="A867" s="5">
        <v>806</v>
      </c>
      <c r="B867" s="138">
        <f>'Expenditures 15-22'!E71</f>
        <v>495391</v>
      </c>
      <c r="D867" s="2" t="str">
        <f t="shared" si="12"/>
        <v>Error?</v>
      </c>
    </row>
    <row r="868" spans="1:4" x14ac:dyDescent="0.2">
      <c r="A868" s="10">
        <v>807</v>
      </c>
      <c r="D868" s="2" t="str">
        <f t="shared" si="12"/>
        <v>OK</v>
      </c>
    </row>
    <row r="869" spans="1:4" x14ac:dyDescent="0.2">
      <c r="A869" s="5">
        <v>808</v>
      </c>
      <c r="B869" s="138">
        <f>'Expenditures 15-22'!E72</f>
        <v>540928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3449793</v>
      </c>
      <c r="C871" s="2" t="s">
        <v>594</v>
      </c>
      <c r="D871" s="2" t="str">
        <f t="shared" si="12"/>
        <v>Error?</v>
      </c>
    </row>
    <row r="872" spans="1:4" x14ac:dyDescent="0.2">
      <c r="A872" s="5">
        <v>811</v>
      </c>
      <c r="B872" s="138">
        <f>'Expenditures 15-22'!E75</f>
        <v>1223</v>
      </c>
      <c r="D872" s="2" t="str">
        <f t="shared" si="12"/>
        <v>Error?</v>
      </c>
    </row>
    <row r="873" spans="1:4" x14ac:dyDescent="0.2">
      <c r="A873" s="5">
        <v>812</v>
      </c>
      <c r="B873" s="138">
        <f>'Expenditures 15-22'!E114</f>
        <v>4982789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1205537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43740</v>
      </c>
      <c r="D891" s="2" t="str">
        <f t="shared" si="12"/>
        <v>Error?</v>
      </c>
    </row>
    <row r="892" spans="1:4" x14ac:dyDescent="0.2">
      <c r="A892" s="5">
        <v>831</v>
      </c>
      <c r="B892" s="138">
        <f>'Expenditures 15-22'!F14</f>
        <v>435794</v>
      </c>
      <c r="D892" s="2" t="str">
        <f t="shared" si="12"/>
        <v>Error?</v>
      </c>
    </row>
    <row r="893" spans="1:4" x14ac:dyDescent="0.2">
      <c r="A893" s="5">
        <v>832</v>
      </c>
      <c r="B893" s="138">
        <f>'Expenditures 15-22'!F15</f>
        <v>1583</v>
      </c>
      <c r="D893" s="2" t="str">
        <f t="shared" si="12"/>
        <v>Error?</v>
      </c>
    </row>
    <row r="894" spans="1:4" x14ac:dyDescent="0.2">
      <c r="A894" s="5">
        <v>833</v>
      </c>
      <c r="B894" s="138">
        <f>'Expenditures 15-22'!F33</f>
        <v>1844376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42725</v>
      </c>
      <c r="D896" s="2" t="str">
        <f t="shared" si="13"/>
        <v>Error?</v>
      </c>
    </row>
    <row r="897" spans="1:4" x14ac:dyDescent="0.2">
      <c r="A897" s="5">
        <v>836</v>
      </c>
      <c r="B897" s="138">
        <f>'Expenditures 15-22'!F38</f>
        <v>3450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46175</v>
      </c>
      <c r="C901" s="2" t="s">
        <v>594</v>
      </c>
      <c r="D901" s="2" t="str">
        <f t="shared" si="13"/>
        <v>Error?</v>
      </c>
    </row>
    <row r="902" spans="1:4" x14ac:dyDescent="0.2">
      <c r="A902" s="5">
        <v>841</v>
      </c>
      <c r="B902" s="138">
        <f>'Expenditures 15-22'!F44</f>
        <v>15507</v>
      </c>
      <c r="D902" s="2" t="str">
        <f t="shared" si="13"/>
        <v>Error?</v>
      </c>
    </row>
    <row r="903" spans="1:4" x14ac:dyDescent="0.2">
      <c r="A903" s="5">
        <v>842</v>
      </c>
      <c r="B903" s="138">
        <f>'Expenditures 15-22'!F45</f>
        <v>90934</v>
      </c>
      <c r="D903" s="2" t="str">
        <f t="shared" si="13"/>
        <v>Error?</v>
      </c>
    </row>
    <row r="904" spans="1:4" x14ac:dyDescent="0.2">
      <c r="A904" s="5">
        <v>843</v>
      </c>
      <c r="B904" s="138">
        <f>'Expenditures 15-22'!F46</f>
        <v>357923</v>
      </c>
      <c r="D904" s="2" t="str">
        <f t="shared" si="13"/>
        <v>Error?</v>
      </c>
    </row>
    <row r="905" spans="1:4" x14ac:dyDescent="0.2">
      <c r="A905" s="5">
        <v>844</v>
      </c>
      <c r="B905" s="138">
        <f>'Expenditures 15-22'!F47</f>
        <v>464364</v>
      </c>
      <c r="C905" s="2" t="s">
        <v>594</v>
      </c>
      <c r="D905" s="2" t="str">
        <f t="shared" si="13"/>
        <v>Error?</v>
      </c>
    </row>
    <row r="906" spans="1:4" x14ac:dyDescent="0.2">
      <c r="A906" s="5">
        <v>845</v>
      </c>
      <c r="B906" s="138">
        <f>'Expenditures 15-22'!F49</f>
        <v>22487</v>
      </c>
      <c r="D906" s="2" t="str">
        <f t="shared" si="13"/>
        <v>Error?</v>
      </c>
    </row>
    <row r="907" spans="1:4" x14ac:dyDescent="0.2">
      <c r="A907" s="5">
        <v>846</v>
      </c>
      <c r="B907" s="138">
        <f>'Expenditures 15-22'!F50</f>
        <v>5658</v>
      </c>
      <c r="D907" s="2" t="str">
        <f t="shared" si="13"/>
        <v>Error?</v>
      </c>
    </row>
    <row r="908" spans="1:4" x14ac:dyDescent="0.2">
      <c r="A908" s="5">
        <v>847</v>
      </c>
      <c r="B908" s="138">
        <f>'Expenditures 15-22'!F53</f>
        <v>28145</v>
      </c>
      <c r="C908" s="2" t="s">
        <v>594</v>
      </c>
      <c r="D908" s="2" t="str">
        <f t="shared" si="13"/>
        <v>Error?</v>
      </c>
    </row>
    <row r="909" spans="1:4" x14ac:dyDescent="0.2">
      <c r="A909" s="5">
        <v>848</v>
      </c>
      <c r="B909" s="138">
        <f>'Expenditures 15-22'!F55</f>
        <v>146524</v>
      </c>
      <c r="D909" s="2" t="str">
        <f t="shared" si="13"/>
        <v>Error?</v>
      </c>
    </row>
    <row r="910" spans="1:4" x14ac:dyDescent="0.2">
      <c r="A910" s="5">
        <v>849</v>
      </c>
      <c r="B910" s="138">
        <f>'Expenditures 15-22'!F56</f>
        <v>2434</v>
      </c>
      <c r="D910" s="2" t="str">
        <f t="shared" si="13"/>
        <v>Error?</v>
      </c>
    </row>
    <row r="911" spans="1:4" x14ac:dyDescent="0.2">
      <c r="A911" s="5">
        <v>850</v>
      </c>
      <c r="B911" s="138">
        <f>'Expenditures 15-22'!F57</f>
        <v>148958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84586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7547</v>
      </c>
      <c r="D916" s="2" t="str">
        <f t="shared" si="13"/>
        <v>Error?</v>
      </c>
    </row>
    <row r="917" spans="1:4" x14ac:dyDescent="0.2">
      <c r="A917" s="5">
        <v>856</v>
      </c>
      <c r="B917" s="138">
        <f>'Expenditures 15-22'!F64</f>
        <v>27503</v>
      </c>
      <c r="D917" s="2" t="str">
        <f t="shared" si="13"/>
        <v>Error?</v>
      </c>
    </row>
    <row r="918" spans="1:4" x14ac:dyDescent="0.2">
      <c r="A918" s="10">
        <v>857</v>
      </c>
      <c r="D918" s="2" t="str">
        <f t="shared" si="13"/>
        <v>OK</v>
      </c>
    </row>
    <row r="919" spans="1:4" x14ac:dyDescent="0.2">
      <c r="A919" s="5">
        <v>858</v>
      </c>
      <c r="B919" s="138">
        <f>'Expenditures 15-22'!F65</f>
        <v>119636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1385</v>
      </c>
      <c r="D922" s="2" t="str">
        <f t="shared" si="13"/>
        <v>Error?</v>
      </c>
    </row>
    <row r="923" spans="1:4" x14ac:dyDescent="0.2">
      <c r="A923" s="5">
        <v>862</v>
      </c>
      <c r="B923" s="138">
        <f>'Expenditures 15-22'!F70</f>
        <v>42635</v>
      </c>
      <c r="D923" s="2" t="str">
        <f t="shared" si="13"/>
        <v>Error?</v>
      </c>
    </row>
    <row r="924" spans="1:4" x14ac:dyDescent="0.2">
      <c r="A924" s="10">
        <v>863</v>
      </c>
      <c r="D924" s="2" t="str">
        <f t="shared" si="13"/>
        <v>OK</v>
      </c>
    </row>
    <row r="925" spans="1:4" x14ac:dyDescent="0.2">
      <c r="A925" s="5">
        <v>864</v>
      </c>
      <c r="B925" s="138">
        <f>'Expenditures 15-22'!F71</f>
        <v>149980</v>
      </c>
      <c r="D925" s="2" t="str">
        <f t="shared" si="13"/>
        <v>Error?</v>
      </c>
    </row>
    <row r="926" spans="1:4" x14ac:dyDescent="0.2">
      <c r="A926" s="10">
        <v>865</v>
      </c>
      <c r="D926" s="2" t="str">
        <f t="shared" si="13"/>
        <v>OK</v>
      </c>
    </row>
    <row r="927" spans="1:4" x14ac:dyDescent="0.2">
      <c r="A927" s="5">
        <v>866</v>
      </c>
      <c r="B927" s="138">
        <f>'Expenditures 15-22'!F72</f>
        <v>194000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1001278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2845654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95036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50756</v>
      </c>
      <c r="D949" s="2" t="str">
        <f t="shared" si="13"/>
        <v>Error?</v>
      </c>
    </row>
    <row r="950" spans="1:4" x14ac:dyDescent="0.2">
      <c r="A950" s="5">
        <v>889</v>
      </c>
      <c r="B950" s="138">
        <f>'Expenditures 15-22'!G14</f>
        <v>30282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176074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31753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31753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6294</v>
      </c>
      <c r="D983" s="2" t="str">
        <f t="shared" si="14"/>
        <v>Error?</v>
      </c>
    </row>
    <row r="984" spans="1:4" x14ac:dyDescent="0.2">
      <c r="A984" s="10">
        <v>923</v>
      </c>
      <c r="D984" s="2" t="str">
        <f t="shared" si="14"/>
        <v>OK</v>
      </c>
    </row>
    <row r="985" spans="1:4" x14ac:dyDescent="0.2">
      <c r="A985" s="5">
        <v>924</v>
      </c>
      <c r="B985" s="138">
        <f>'Expenditures 15-22'!G72</f>
        <v>6294</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38047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214121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9182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258489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938250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3028</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3028</v>
      </c>
      <c r="C1017" s="2" t="s">
        <v>594</v>
      </c>
      <c r="D1017" s="2" t="str">
        <f t="shared" si="14"/>
        <v>Error?</v>
      </c>
    </row>
    <row r="1018" spans="1:4" x14ac:dyDescent="0.2">
      <c r="A1018" s="5">
        <v>957</v>
      </c>
      <c r="B1018" s="138">
        <f>'Expenditures 15-22'!H44</f>
        <v>191</v>
      </c>
      <c r="D1018" s="2" t="str">
        <f t="shared" si="14"/>
        <v>Error?</v>
      </c>
    </row>
    <row r="1019" spans="1:4" x14ac:dyDescent="0.2">
      <c r="A1019" s="5">
        <v>958</v>
      </c>
      <c r="B1019" s="138">
        <f>'Expenditures 15-22'!H45</f>
        <v>165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356</v>
      </c>
      <c r="C1021" s="2" t="s">
        <v>594</v>
      </c>
      <c r="D1021" s="2" t="str">
        <f t="shared" si="14"/>
        <v>Error?</v>
      </c>
    </row>
    <row r="1022" spans="1:4" x14ac:dyDescent="0.2">
      <c r="A1022" s="5">
        <v>961</v>
      </c>
      <c r="B1022" s="138">
        <f>'Expenditures 15-22'!H49</f>
        <v>17509</v>
      </c>
      <c r="D1022" s="2" t="str">
        <f t="shared" si="14"/>
        <v>Error?</v>
      </c>
    </row>
    <row r="1023" spans="1:4" x14ac:dyDescent="0.2">
      <c r="A1023" s="5">
        <v>962</v>
      </c>
      <c r="B1023" s="138">
        <f>'Expenditures 15-22'!H50</f>
        <v>2856</v>
      </c>
      <c r="D1023" s="2" t="str">
        <f t="shared" ref="D1023:D1086" si="15">IF(ISBLANK(B1023),"OK",IF(A1023-B1023=0,"OK","Error?"))</f>
        <v>Error?</v>
      </c>
    </row>
    <row r="1024" spans="1:4" x14ac:dyDescent="0.2">
      <c r="A1024" s="5">
        <v>963</v>
      </c>
      <c r="B1024" s="138">
        <f>'Expenditures 15-22'!H53</f>
        <v>60365</v>
      </c>
      <c r="C1024" s="2" t="s">
        <v>594</v>
      </c>
      <c r="D1024" s="2" t="str">
        <f t="shared" si="15"/>
        <v>Error?</v>
      </c>
    </row>
    <row r="1025" spans="1:4" x14ac:dyDescent="0.2">
      <c r="A1025" s="5">
        <v>964</v>
      </c>
      <c r="B1025" s="138">
        <f>'Expenditures 15-22'!H55</f>
        <v>7485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7485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4135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620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4755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103</v>
      </c>
      <c r="D1038" s="2" t="str">
        <f t="shared" si="15"/>
        <v>Error?</v>
      </c>
    </row>
    <row r="1039" spans="1:4" x14ac:dyDescent="0.2">
      <c r="A1039" s="5">
        <v>978</v>
      </c>
      <c r="B1039" s="138">
        <f>'Expenditures 15-22'!H70</f>
        <v>4781</v>
      </c>
      <c r="D1039" s="2" t="str">
        <f t="shared" si="15"/>
        <v>Error?</v>
      </c>
    </row>
    <row r="1040" spans="1:4" x14ac:dyDescent="0.2">
      <c r="A1040" s="10">
        <v>979</v>
      </c>
      <c r="D1040" s="2" t="str">
        <f t="shared" si="15"/>
        <v>OK</v>
      </c>
    </row>
    <row r="1041" spans="1:4" x14ac:dyDescent="0.2">
      <c r="A1041" s="5">
        <v>980</v>
      </c>
      <c r="B1041" s="138">
        <f>'Expenditures 15-22'!H71</f>
        <v>1031</v>
      </c>
      <c r="D1041" s="2" t="str">
        <f t="shared" si="15"/>
        <v>Error?</v>
      </c>
    </row>
    <row r="1042" spans="1:4" x14ac:dyDescent="0.2">
      <c r="A1042" s="10">
        <v>981</v>
      </c>
      <c r="D1042" s="2" t="str">
        <f t="shared" si="15"/>
        <v>OK</v>
      </c>
    </row>
    <row r="1043" spans="1:4" x14ac:dyDescent="0.2">
      <c r="A1043" s="5">
        <v>982</v>
      </c>
      <c r="B1043" s="138">
        <f>'Expenditures 15-22'!H72</f>
        <v>5915</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81904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91427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1111581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35762483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3447005</v>
      </c>
      <c r="C1105" s="2" t="s">
        <v>594</v>
      </c>
      <c r="D1105" s="2" t="str">
        <f t="shared" si="16"/>
        <v>Error?</v>
      </c>
    </row>
    <row r="1106" spans="1:4" x14ac:dyDescent="0.2">
      <c r="A1106" s="5">
        <v>1045</v>
      </c>
      <c r="B1106" s="138">
        <f>'Expenditures 15-22'!K14</f>
        <v>4427605</v>
      </c>
      <c r="C1106" s="2" t="s">
        <v>594</v>
      </c>
      <c r="D1106" s="2" t="str">
        <f t="shared" si="16"/>
        <v>Error?</v>
      </c>
    </row>
    <row r="1107" spans="1:4" x14ac:dyDescent="0.2">
      <c r="A1107" s="5">
        <v>1046</v>
      </c>
      <c r="B1107" s="138">
        <f>'Expenditures 15-22'!K15</f>
        <v>281279</v>
      </c>
      <c r="C1107" s="2" t="s">
        <v>594</v>
      </c>
      <c r="D1107" s="2" t="str">
        <f t="shared" si="16"/>
        <v>Error?</v>
      </c>
    </row>
    <row r="1108" spans="1:4" x14ac:dyDescent="0.2">
      <c r="A1108" s="5">
        <v>1047</v>
      </c>
      <c r="B1108" s="138">
        <f>'Expenditures 15-22'!K33</f>
        <v>53738163</v>
      </c>
      <c r="C1108" s="2" t="s">
        <v>594</v>
      </c>
      <c r="D1108" s="2" t="str">
        <f t="shared" si="16"/>
        <v>Error?</v>
      </c>
    </row>
    <row r="1109" spans="1:4" x14ac:dyDescent="0.2">
      <c r="A1109" s="5">
        <v>1048</v>
      </c>
      <c r="B1109" s="138">
        <f>'Expenditures 15-22'!K36</f>
        <v>1539109</v>
      </c>
      <c r="C1109" s="2" t="s">
        <v>594</v>
      </c>
      <c r="D1109" s="2" t="str">
        <f t="shared" si="16"/>
        <v>Error?</v>
      </c>
    </row>
    <row r="1110" spans="1:4" x14ac:dyDescent="0.2">
      <c r="A1110" s="5">
        <v>1049</v>
      </c>
      <c r="B1110" s="138">
        <f>'Expenditures 15-22'!K37</f>
        <v>3631602</v>
      </c>
      <c r="C1110" s="2" t="s">
        <v>594</v>
      </c>
      <c r="D1110" s="2" t="str">
        <f t="shared" si="16"/>
        <v>Error?</v>
      </c>
    </row>
    <row r="1111" spans="1:4" x14ac:dyDescent="0.2">
      <c r="A1111" s="5">
        <v>1050</v>
      </c>
      <c r="B1111" s="138">
        <f>'Expenditures 15-22'!K38</f>
        <v>730643</v>
      </c>
      <c r="C1111" s="2" t="s">
        <v>594</v>
      </c>
      <c r="D1111" s="2" t="str">
        <f t="shared" si="16"/>
        <v>Error?</v>
      </c>
    </row>
    <row r="1112" spans="1:4" x14ac:dyDescent="0.2">
      <c r="A1112" s="5">
        <v>1051</v>
      </c>
      <c r="B1112" s="138">
        <f>'Expenditures 15-22'!K39</f>
        <v>463006</v>
      </c>
      <c r="C1112" s="2" t="s">
        <v>594</v>
      </c>
      <c r="D1112" s="2" t="str">
        <f t="shared" si="16"/>
        <v>Error?</v>
      </c>
    </row>
    <row r="1113" spans="1:4" x14ac:dyDescent="0.2">
      <c r="A1113" s="5">
        <v>1052</v>
      </c>
      <c r="B1113" s="138">
        <f>'Expenditures 15-22'!K40</f>
        <v>417431</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6781791</v>
      </c>
      <c r="C1115" s="2" t="s">
        <v>594</v>
      </c>
      <c r="D1115" s="2" t="str">
        <f t="shared" si="16"/>
        <v>Error?</v>
      </c>
    </row>
    <row r="1116" spans="1:4" x14ac:dyDescent="0.2">
      <c r="A1116" s="5">
        <v>1055</v>
      </c>
      <c r="B1116" s="138">
        <f>'Expenditures 15-22'!K44</f>
        <v>4555146</v>
      </c>
      <c r="C1116" s="2" t="s">
        <v>594</v>
      </c>
      <c r="D1116" s="2" t="str">
        <f t="shared" si="16"/>
        <v>Error?</v>
      </c>
    </row>
    <row r="1117" spans="1:4" x14ac:dyDescent="0.2">
      <c r="A1117" s="5">
        <v>1056</v>
      </c>
      <c r="B1117" s="138">
        <f>'Expenditures 15-22'!K45</f>
        <v>974537</v>
      </c>
      <c r="C1117" s="2" t="s">
        <v>594</v>
      </c>
      <c r="D1117" s="2" t="str">
        <f t="shared" si="16"/>
        <v>Error?</v>
      </c>
    </row>
    <row r="1118" spans="1:4" x14ac:dyDescent="0.2">
      <c r="A1118" s="5">
        <v>1057</v>
      </c>
      <c r="B1118" s="138">
        <f>'Expenditures 15-22'!K46</f>
        <v>495037</v>
      </c>
      <c r="C1118" s="2" t="s">
        <v>594</v>
      </c>
      <c r="D1118" s="2" t="str">
        <f t="shared" si="16"/>
        <v>Error?</v>
      </c>
    </row>
    <row r="1119" spans="1:4" x14ac:dyDescent="0.2">
      <c r="A1119" s="5">
        <v>1058</v>
      </c>
      <c r="B1119" s="138">
        <f>'Expenditures 15-22'!K47</f>
        <v>6024720</v>
      </c>
      <c r="C1119" s="2" t="s">
        <v>594</v>
      </c>
      <c r="D1119" s="2" t="str">
        <f t="shared" si="16"/>
        <v>Error?</v>
      </c>
    </row>
    <row r="1120" spans="1:4" x14ac:dyDescent="0.2">
      <c r="A1120" s="5">
        <v>1059</v>
      </c>
      <c r="B1120" s="138">
        <f>'Expenditures 15-22'!K49</f>
        <v>425243</v>
      </c>
      <c r="C1120" s="2" t="s">
        <v>594</v>
      </c>
      <c r="D1120" s="2" t="str">
        <f t="shared" si="16"/>
        <v>Error?</v>
      </c>
    </row>
    <row r="1121" spans="1:4" x14ac:dyDescent="0.2">
      <c r="A1121" s="5">
        <v>1060</v>
      </c>
      <c r="B1121" s="138">
        <f>'Expenditures 15-22'!K50</f>
        <v>493745</v>
      </c>
      <c r="C1121" s="2" t="s">
        <v>594</v>
      </c>
      <c r="D1121" s="2" t="str">
        <f t="shared" si="16"/>
        <v>Error?</v>
      </c>
    </row>
    <row r="1122" spans="1:4" x14ac:dyDescent="0.2">
      <c r="A1122" s="5">
        <v>1061</v>
      </c>
      <c r="B1122" s="138">
        <f>'Expenditures 15-22'!K53</f>
        <v>1645877</v>
      </c>
      <c r="C1122" s="2" t="s">
        <v>594</v>
      </c>
      <c r="D1122" s="2" t="str">
        <f t="shared" si="16"/>
        <v>Error?</v>
      </c>
    </row>
    <row r="1123" spans="1:4" x14ac:dyDescent="0.2">
      <c r="A1123" s="5">
        <v>1062</v>
      </c>
      <c r="B1123" s="138">
        <f>'Expenditures 15-22'!K55</f>
        <v>2233556</v>
      </c>
      <c r="C1123" s="2" t="s">
        <v>594</v>
      </c>
      <c r="D1123" s="2" t="str">
        <f t="shared" si="16"/>
        <v>Error?</v>
      </c>
    </row>
    <row r="1124" spans="1:4" x14ac:dyDescent="0.2">
      <c r="A1124" s="5">
        <v>1063</v>
      </c>
      <c r="B1124" s="138">
        <f>'Expenditures 15-22'!K56</f>
        <v>1544225</v>
      </c>
      <c r="C1124" s="2" t="s">
        <v>594</v>
      </c>
      <c r="D1124" s="2" t="str">
        <f t="shared" si="16"/>
        <v>Error?</v>
      </c>
    </row>
    <row r="1125" spans="1:4" x14ac:dyDescent="0.2">
      <c r="A1125" s="5">
        <v>1064</v>
      </c>
      <c r="B1125" s="138">
        <f>'Expenditures 15-22'!K57</f>
        <v>3777781</v>
      </c>
      <c r="C1125" s="2" t="s">
        <v>594</v>
      </c>
      <c r="D1125" s="2" t="str">
        <f t="shared" si="16"/>
        <v>Error?</v>
      </c>
    </row>
    <row r="1126" spans="1:4" x14ac:dyDescent="0.2">
      <c r="A1126" s="5">
        <v>1065</v>
      </c>
      <c r="B1126" s="138">
        <f>'Expenditures 15-22'!K59</f>
        <v>177073</v>
      </c>
      <c r="C1126" s="2" t="s">
        <v>594</v>
      </c>
      <c r="D1126" s="2" t="str">
        <f t="shared" si="16"/>
        <v>Error?</v>
      </c>
    </row>
    <row r="1127" spans="1:4" x14ac:dyDescent="0.2">
      <c r="A1127" s="5">
        <v>1066</v>
      </c>
      <c r="B1127" s="138">
        <f>'Expenditures 15-22'!K60</f>
        <v>725259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1630028</v>
      </c>
      <c r="C1130" s="2" t="s">
        <v>594</v>
      </c>
      <c r="D1130" s="2" t="str">
        <f t="shared" si="16"/>
        <v>Error?</v>
      </c>
    </row>
    <row r="1131" spans="1:4" x14ac:dyDescent="0.2">
      <c r="A1131" s="5">
        <v>1070</v>
      </c>
      <c r="B1131" s="138">
        <f>'Expenditures 15-22'!K64</f>
        <v>67243</v>
      </c>
      <c r="C1131" s="2" t="s">
        <v>594</v>
      </c>
      <c r="D1131" s="2" t="str">
        <f t="shared" si="16"/>
        <v>Error?</v>
      </c>
    </row>
    <row r="1132" spans="1:4" x14ac:dyDescent="0.2">
      <c r="A1132" s="10">
        <v>1071</v>
      </c>
      <c r="D1132" s="2" t="str">
        <f t="shared" si="16"/>
        <v>OK</v>
      </c>
    </row>
    <row r="1133" spans="1:4" x14ac:dyDescent="0.2">
      <c r="A1133" s="5">
        <v>1072</v>
      </c>
      <c r="B1133" s="138">
        <f>'Expenditures 15-22'!K65</f>
        <v>2599603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129529</v>
      </c>
      <c r="C1136" s="2" t="s">
        <v>594</v>
      </c>
      <c r="D1136" s="2" t="str">
        <f t="shared" si="16"/>
        <v>Error?</v>
      </c>
    </row>
    <row r="1137" spans="1:4" x14ac:dyDescent="0.2">
      <c r="A1137" s="5">
        <v>1076</v>
      </c>
      <c r="B1137" s="138">
        <f>'Expenditures 15-22'!K70</f>
        <v>489184</v>
      </c>
      <c r="C1137" s="2" t="s">
        <v>594</v>
      </c>
      <c r="D1137" s="2" t="str">
        <f t="shared" si="16"/>
        <v>Error?</v>
      </c>
    </row>
    <row r="1138" spans="1:4" x14ac:dyDescent="0.2">
      <c r="A1138" s="10">
        <v>1077</v>
      </c>
      <c r="D1138" s="2" t="str">
        <f t="shared" si="16"/>
        <v>OK</v>
      </c>
    </row>
    <row r="1139" spans="1:4" x14ac:dyDescent="0.2">
      <c r="A1139" s="5">
        <v>1078</v>
      </c>
      <c r="B1139" s="138">
        <f>'Expenditures 15-22'!K71</f>
        <v>2531520</v>
      </c>
      <c r="C1139" s="2" t="s">
        <v>594</v>
      </c>
      <c r="D1139" s="2" t="str">
        <f t="shared" si="16"/>
        <v>Error?</v>
      </c>
    </row>
    <row r="1140" spans="1:4" x14ac:dyDescent="0.2">
      <c r="A1140" s="10">
        <v>1079</v>
      </c>
      <c r="D1140" s="2" t="str">
        <f t="shared" si="16"/>
        <v>OK</v>
      </c>
    </row>
    <row r="1141" spans="1:4" x14ac:dyDescent="0.2">
      <c r="A1141" s="5">
        <v>1080</v>
      </c>
      <c r="B1141" s="138">
        <f>'Expenditures 15-22'!K72</f>
        <v>3150233</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23980005</v>
      </c>
      <c r="C1143" s="2" t="s">
        <v>594</v>
      </c>
      <c r="D1143" s="2" t="str">
        <f t="shared" si="16"/>
        <v>Error?</v>
      </c>
    </row>
    <row r="1144" spans="1:4" x14ac:dyDescent="0.2">
      <c r="A1144" s="5">
        <v>1083</v>
      </c>
      <c r="B1144" s="138">
        <f>'Expenditures 15-22'!K75</f>
        <v>1223</v>
      </c>
      <c r="C1144" s="2" t="s">
        <v>594</v>
      </c>
      <c r="D1144" s="2" t="str">
        <f t="shared" si="16"/>
        <v>Error?</v>
      </c>
    </row>
    <row r="1145" spans="1:4" x14ac:dyDescent="0.2">
      <c r="A1145" s="5">
        <v>1084</v>
      </c>
      <c r="B1145" s="138">
        <f>'Expenditures 15-22'!K102</f>
        <v>298515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78017906</v>
      </c>
      <c r="C1152" s="2" t="s">
        <v>594</v>
      </c>
      <c r="D1152" s="2" t="str">
        <f t="shared" si="17"/>
        <v>Error?</v>
      </c>
    </row>
    <row r="1153" spans="1:4" x14ac:dyDescent="0.2">
      <c r="A1153" s="5">
        <v>1092</v>
      </c>
      <c r="B1153" s="138">
        <f>'Expenditures 15-22'!K115</f>
        <v>2068792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2543295</v>
      </c>
      <c r="D1221" s="2" t="str">
        <f t="shared" si="18"/>
        <v>Error?</v>
      </c>
    </row>
    <row r="1222" spans="1:4" x14ac:dyDescent="0.2">
      <c r="A1222" s="10">
        <v>1161</v>
      </c>
      <c r="D1222" s="2" t="str">
        <f t="shared" si="18"/>
        <v>OK</v>
      </c>
    </row>
    <row r="1223" spans="1:4" x14ac:dyDescent="0.2">
      <c r="A1223" s="5">
        <v>1162</v>
      </c>
      <c r="B1223" s="138">
        <f>'Expenditures 15-22'!C127</f>
        <v>2543295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2543295</v>
      </c>
      <c r="C1225" s="2" t="s">
        <v>594</v>
      </c>
      <c r="D1225" s="2" t="str">
        <f t="shared" si="18"/>
        <v>Error?</v>
      </c>
    </row>
    <row r="1226" spans="1:4" x14ac:dyDescent="0.2">
      <c r="A1226" s="5">
        <v>1165</v>
      </c>
      <c r="B1226" s="138">
        <f>'Expenditures 15-22'!C151</f>
        <v>2543295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622690</v>
      </c>
      <c r="D1229" s="2" t="str">
        <f t="shared" si="18"/>
        <v>Error?</v>
      </c>
    </row>
    <row r="1230" spans="1:4" x14ac:dyDescent="0.2">
      <c r="A1230" s="10">
        <v>1169</v>
      </c>
      <c r="D1230" s="2" t="str">
        <f t="shared" si="18"/>
        <v>OK</v>
      </c>
    </row>
    <row r="1231" spans="1:4" x14ac:dyDescent="0.2">
      <c r="A1231" s="5">
        <v>1170</v>
      </c>
      <c r="B1231" s="138">
        <f>'Expenditures 15-22'!D127</f>
        <v>622690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622690</v>
      </c>
      <c r="C1233" s="2" t="s">
        <v>594</v>
      </c>
      <c r="D1233" s="2" t="str">
        <f t="shared" si="18"/>
        <v>Error?</v>
      </c>
    </row>
    <row r="1234" spans="1:4" x14ac:dyDescent="0.2">
      <c r="A1234" s="5">
        <v>1173</v>
      </c>
      <c r="B1234" s="138">
        <f>'Expenditures 15-22'!D151</f>
        <v>622690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1339360</v>
      </c>
      <c r="D1237" s="2" t="str">
        <f t="shared" si="18"/>
        <v>Error?</v>
      </c>
    </row>
    <row r="1238" spans="1:4" x14ac:dyDescent="0.2">
      <c r="A1238" s="10">
        <v>1177</v>
      </c>
      <c r="D1238" s="2" t="str">
        <f t="shared" si="18"/>
        <v>OK</v>
      </c>
    </row>
    <row r="1239" spans="1:4" x14ac:dyDescent="0.2">
      <c r="A1239" s="5">
        <v>1178</v>
      </c>
      <c r="B1239" s="138">
        <f>'Expenditures 15-22'!E127</f>
        <v>1339360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1339360</v>
      </c>
      <c r="C1241" s="2" t="s">
        <v>594</v>
      </c>
      <c r="D1241" s="2" t="str">
        <f t="shared" si="18"/>
        <v>Error?</v>
      </c>
    </row>
    <row r="1242" spans="1:4" x14ac:dyDescent="0.2">
      <c r="A1242" s="5">
        <v>1181</v>
      </c>
      <c r="B1242" s="138">
        <f>'Expenditures 15-22'!E151</f>
        <v>1339360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1782418</v>
      </c>
      <c r="D1245" s="2" t="str">
        <f t="shared" si="18"/>
        <v>Error?</v>
      </c>
    </row>
    <row r="1246" spans="1:4" x14ac:dyDescent="0.2">
      <c r="A1246" s="10">
        <v>1185</v>
      </c>
      <c r="D1246" s="2" t="str">
        <f t="shared" si="18"/>
        <v>OK</v>
      </c>
    </row>
    <row r="1247" spans="1:4" x14ac:dyDescent="0.2">
      <c r="A1247" s="5">
        <v>1186</v>
      </c>
      <c r="B1247" s="138">
        <f>'Expenditures 15-22'!F127</f>
        <v>1782418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1782418</v>
      </c>
      <c r="C1249" s="2" t="s">
        <v>594</v>
      </c>
      <c r="D1249" s="2" t="str">
        <f t="shared" si="18"/>
        <v>Error?</v>
      </c>
    </row>
    <row r="1250" spans="1:4" x14ac:dyDescent="0.2">
      <c r="A1250" s="5">
        <v>1189</v>
      </c>
      <c r="B1250" s="138">
        <f>'Expenditures 15-22'!F151</f>
        <v>1782418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66200</v>
      </c>
      <c r="D1252" s="2" t="str">
        <f t="shared" si="18"/>
        <v>Error?</v>
      </c>
    </row>
    <row r="1253" spans="1:4" x14ac:dyDescent="0.2">
      <c r="A1253" s="5">
        <v>1192</v>
      </c>
      <c r="B1253" s="138">
        <f>'Expenditures 15-22'!G124</f>
        <v>235553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301753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301753</v>
      </c>
      <c r="C1258" s="2" t="s">
        <v>594</v>
      </c>
      <c r="D1258" s="2" t="str">
        <f t="shared" si="18"/>
        <v>Error?</v>
      </c>
    </row>
    <row r="1259" spans="1:4" x14ac:dyDescent="0.2">
      <c r="A1259" s="5">
        <v>1198</v>
      </c>
      <c r="B1259" s="138">
        <f>'Expenditures 15-22'!G151</f>
        <v>301753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66200</v>
      </c>
      <c r="C1275" s="2" t="s">
        <v>594</v>
      </c>
      <c r="D1275" s="2" t="str">
        <f t="shared" si="18"/>
        <v>Error?</v>
      </c>
    </row>
    <row r="1276" spans="1:4" x14ac:dyDescent="0.2">
      <c r="A1276" s="5">
        <v>1215</v>
      </c>
      <c r="B1276" s="138">
        <f>'Expenditures 15-22'!K124</f>
        <v>6576671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6642871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6642871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6642871</v>
      </c>
      <c r="C1288" s="2" t="s">
        <v>594</v>
      </c>
      <c r="D1288" s="2" t="str">
        <f t="shared" si="19"/>
        <v>Error?</v>
      </c>
    </row>
    <row r="1289" spans="1:4" x14ac:dyDescent="0.2">
      <c r="A1289" s="5">
        <v>1228</v>
      </c>
      <c r="B1289" s="138">
        <f>'Expenditures 15-22'!K152</f>
        <v>-1190529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605850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765000</v>
      </c>
      <c r="D1315" s="2" t="str">
        <f t="shared" si="19"/>
        <v>Error?</v>
      </c>
    </row>
    <row r="1316" spans="1:4" x14ac:dyDescent="0.2">
      <c r="A1316" s="5">
        <v>1255</v>
      </c>
      <c r="B1316" s="138">
        <f>'Expenditures 15-22'!H171</f>
        <v>689</v>
      </c>
      <c r="D1316" s="2" t="str">
        <f t="shared" si="19"/>
        <v>Error?</v>
      </c>
    </row>
    <row r="1317" spans="1:4" x14ac:dyDescent="0.2">
      <c r="A1317" s="5">
        <v>1256</v>
      </c>
      <c r="B1317" s="138">
        <f>'Expenditures 15-22'!H172</f>
        <v>1371539</v>
      </c>
      <c r="C1317" s="2" t="s">
        <v>594</v>
      </c>
      <c r="D1317" s="2" t="str">
        <f t="shared" si="19"/>
        <v>Error?</v>
      </c>
    </row>
    <row r="1318" spans="1:4" x14ac:dyDescent="0.2">
      <c r="A1318" s="5">
        <v>1257</v>
      </c>
      <c r="B1318" s="138">
        <f>'Expenditures 15-22'!H174</f>
        <v>1371539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605850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765000</v>
      </c>
      <c r="C1329" s="2" t="s">
        <v>594</v>
      </c>
      <c r="D1329" s="2" t="str">
        <f t="shared" si="19"/>
        <v>Error?</v>
      </c>
    </row>
    <row r="1330" spans="1:4" x14ac:dyDescent="0.2">
      <c r="A1330" s="5">
        <v>1269</v>
      </c>
      <c r="B1330" s="138">
        <f>'Expenditures 15-22'!K171</f>
        <v>689</v>
      </c>
      <c r="C1330" s="2" t="s">
        <v>594</v>
      </c>
      <c r="D1330" s="2" t="str">
        <f t="shared" si="19"/>
        <v>Error?</v>
      </c>
    </row>
    <row r="1331" spans="1:4" x14ac:dyDescent="0.2">
      <c r="A1331" s="5">
        <v>1270</v>
      </c>
      <c r="B1331" s="138">
        <f>'Expenditures 15-22'!K172</f>
        <v>1371539</v>
      </c>
      <c r="C1331" s="2" t="s">
        <v>594</v>
      </c>
      <c r="D1331" s="2" t="str">
        <f t="shared" si="19"/>
        <v>Error?</v>
      </c>
    </row>
    <row r="1332" spans="1:4" x14ac:dyDescent="0.2">
      <c r="A1332" s="5">
        <v>1271</v>
      </c>
      <c r="B1332" s="138">
        <f>'Expenditures 15-22'!K174</f>
        <v>1371539</v>
      </c>
      <c r="C1332" s="2" t="s">
        <v>594</v>
      </c>
      <c r="D1332" s="2" t="str">
        <f t="shared" si="19"/>
        <v>Error?</v>
      </c>
    </row>
    <row r="1333" spans="1:4" x14ac:dyDescent="0.2">
      <c r="A1333" s="5">
        <v>1272</v>
      </c>
      <c r="B1333" s="138">
        <f>'Expenditures 15-22'!K175</f>
        <v>16043</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3083217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3083217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3083217</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534065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534065</v>
      </c>
      <c r="C1364" s="2" t="s">
        <v>594</v>
      </c>
      <c r="D1364" s="2" t="str">
        <f t="shared" si="20"/>
        <v>Error?</v>
      </c>
    </row>
    <row r="1365" spans="1:4" x14ac:dyDescent="0.2">
      <c r="A1365" s="5">
        <v>1304</v>
      </c>
      <c r="B1365" s="138">
        <f>'Expenditures 15-22'!G210</f>
        <v>534065</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3644910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3644910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3644910</v>
      </c>
      <c r="C1388" s="2" t="s">
        <v>594</v>
      </c>
      <c r="D1388" s="2" t="str">
        <f t="shared" si="20"/>
        <v>Error?</v>
      </c>
    </row>
    <row r="1389" spans="1:4" x14ac:dyDescent="0.2">
      <c r="A1389" s="5">
        <v>1328</v>
      </c>
      <c r="B1389" s="138">
        <f>'Expenditures 15-22'!K211</f>
        <v>-892132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35006</v>
      </c>
      <c r="D1407" s="2" t="str">
        <f t="shared" ref="D1407:D1470" si="21">IF(ISBLANK(B1407),"OK",IF(A1407-B1407=0,"OK","Error?"))</f>
        <v>Error?</v>
      </c>
    </row>
    <row r="1408" spans="1:4" x14ac:dyDescent="0.2">
      <c r="A1408" s="5">
        <v>1347</v>
      </c>
      <c r="B1408" s="138">
        <f>'Expenditures 15-22'!D223</f>
        <v>140443</v>
      </c>
      <c r="D1408" s="2" t="str">
        <f t="shared" si="21"/>
        <v>Error?</v>
      </c>
    </row>
    <row r="1409" spans="1:4" x14ac:dyDescent="0.2">
      <c r="A1409" s="5">
        <v>1348</v>
      </c>
      <c r="B1409" s="138">
        <f>'Expenditures 15-22'!D224</f>
        <v>4337</v>
      </c>
      <c r="D1409" s="2" t="str">
        <f t="shared" si="21"/>
        <v>Error?</v>
      </c>
    </row>
    <row r="1410" spans="1:4" x14ac:dyDescent="0.2">
      <c r="A1410" s="5">
        <v>1349</v>
      </c>
      <c r="B1410" s="138">
        <f>'Expenditures 15-22'!D229</f>
        <v>1108170</v>
      </c>
      <c r="C1410" s="2" t="s">
        <v>594</v>
      </c>
      <c r="D1410" s="2" t="str">
        <f t="shared" si="21"/>
        <v>Error?</v>
      </c>
    </row>
    <row r="1411" spans="1:4" x14ac:dyDescent="0.2">
      <c r="A1411" s="5">
        <v>1350</v>
      </c>
      <c r="B1411" s="138">
        <f>'Expenditures 15-22'!D232</f>
        <v>68199</v>
      </c>
      <c r="D1411" s="2" t="str">
        <f t="shared" si="21"/>
        <v>Error?</v>
      </c>
    </row>
    <row r="1412" spans="1:4" x14ac:dyDescent="0.2">
      <c r="A1412" s="5">
        <v>1351</v>
      </c>
      <c r="B1412" s="138">
        <f>'Expenditures 15-22'!D233</f>
        <v>94919</v>
      </c>
      <c r="D1412" s="2" t="str">
        <f t="shared" si="21"/>
        <v>Error?</v>
      </c>
    </row>
    <row r="1413" spans="1:4" x14ac:dyDescent="0.2">
      <c r="A1413" s="5">
        <v>1352</v>
      </c>
      <c r="B1413" s="138">
        <f>'Expenditures 15-22'!D234</f>
        <v>14178</v>
      </c>
      <c r="D1413" s="2" t="str">
        <f t="shared" si="21"/>
        <v>Error?</v>
      </c>
    </row>
    <row r="1414" spans="1:4" x14ac:dyDescent="0.2">
      <c r="A1414" s="5">
        <v>1353</v>
      </c>
      <c r="B1414" s="138">
        <f>'Expenditures 15-22'!D235</f>
        <v>5343</v>
      </c>
      <c r="D1414" s="2" t="str">
        <f t="shared" si="21"/>
        <v>Error?</v>
      </c>
    </row>
    <row r="1415" spans="1:4" x14ac:dyDescent="0.2">
      <c r="A1415" s="5">
        <v>1354</v>
      </c>
      <c r="B1415" s="138">
        <f>'Expenditures 15-22'!D236</f>
        <v>4829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187468</v>
      </c>
      <c r="C1417" s="2" t="s">
        <v>594</v>
      </c>
      <c r="D1417" s="2" t="str">
        <f t="shared" si="21"/>
        <v>Error?</v>
      </c>
    </row>
    <row r="1418" spans="1:4" x14ac:dyDescent="0.2">
      <c r="A1418" s="5">
        <v>1357</v>
      </c>
      <c r="B1418" s="138">
        <f>'Expenditures 15-22'!D240</f>
        <v>62148</v>
      </c>
      <c r="D1418" s="2" t="str">
        <f t="shared" si="21"/>
        <v>Error?</v>
      </c>
    </row>
    <row r="1419" spans="1:4" x14ac:dyDescent="0.2">
      <c r="A1419" s="5">
        <v>1358</v>
      </c>
      <c r="B1419" s="138">
        <f>'Expenditures 15-22'!D241</f>
        <v>43277</v>
      </c>
      <c r="D1419" s="2" t="str">
        <f t="shared" si="21"/>
        <v>Error?</v>
      </c>
    </row>
    <row r="1420" spans="1:4" x14ac:dyDescent="0.2">
      <c r="A1420" s="5">
        <v>1359</v>
      </c>
      <c r="B1420" s="138">
        <f>'Expenditures 15-22'!D242</f>
        <v>267</v>
      </c>
      <c r="D1420" s="2" t="str">
        <f t="shared" si="21"/>
        <v>Error?</v>
      </c>
    </row>
    <row r="1421" spans="1:4" x14ac:dyDescent="0.2">
      <c r="A1421" s="5">
        <v>1360</v>
      </c>
      <c r="B1421" s="138">
        <f>'Expenditures 15-22'!D243</f>
        <v>105692</v>
      </c>
      <c r="C1421" s="2" t="s">
        <v>594</v>
      </c>
      <c r="D1421" s="2" t="str">
        <f t="shared" si="21"/>
        <v>Error?</v>
      </c>
    </row>
    <row r="1422" spans="1:4" x14ac:dyDescent="0.2">
      <c r="A1422" s="5">
        <v>1361</v>
      </c>
      <c r="B1422" s="138">
        <f>'Expenditures 15-22'!D245</f>
        <v>10679</v>
      </c>
      <c r="D1422" s="2" t="str">
        <f t="shared" si="21"/>
        <v>Error?</v>
      </c>
    </row>
    <row r="1423" spans="1:4" x14ac:dyDescent="0.2">
      <c r="A1423" s="5">
        <v>1362</v>
      </c>
      <c r="B1423" s="138">
        <f>'Expenditures 15-22'!D246</f>
        <v>2794</v>
      </c>
      <c r="D1423" s="2" t="str">
        <f t="shared" si="21"/>
        <v>Error?</v>
      </c>
    </row>
    <row r="1424" spans="1:4" x14ac:dyDescent="0.2">
      <c r="A1424" s="5">
        <v>1363</v>
      </c>
      <c r="B1424" s="138">
        <f>'Expenditures 15-22'!D257</f>
        <v>13473</v>
      </c>
      <c r="C1424" s="2" t="s">
        <v>594</v>
      </c>
      <c r="D1424" s="2" t="str">
        <f t="shared" si="21"/>
        <v>Error?</v>
      </c>
    </row>
    <row r="1425" spans="1:4" x14ac:dyDescent="0.2">
      <c r="A1425" s="5">
        <v>1364</v>
      </c>
      <c r="B1425" s="138">
        <f>'Expenditures 15-22'!D259</f>
        <v>79268</v>
      </c>
      <c r="D1425" s="2" t="str">
        <f t="shared" si="21"/>
        <v>Error?</v>
      </c>
    </row>
    <row r="1426" spans="1:4" x14ac:dyDescent="0.2">
      <c r="A1426" s="5">
        <v>1365</v>
      </c>
      <c r="B1426" s="138">
        <f>'Expenditures 15-22'!D260</f>
        <v>36948</v>
      </c>
      <c r="D1426" s="2" t="str">
        <f t="shared" si="21"/>
        <v>Error?</v>
      </c>
    </row>
    <row r="1427" spans="1:4" x14ac:dyDescent="0.2">
      <c r="A1427" s="5">
        <v>1366</v>
      </c>
      <c r="B1427" s="138">
        <f>'Expenditures 15-22'!D261</f>
        <v>116216</v>
      </c>
      <c r="C1427" s="2" t="s">
        <v>594</v>
      </c>
      <c r="D1427" s="2" t="str">
        <f t="shared" si="21"/>
        <v>Error?</v>
      </c>
    </row>
    <row r="1428" spans="1:4" x14ac:dyDescent="0.2">
      <c r="A1428" s="5">
        <v>1367</v>
      </c>
      <c r="B1428" s="138">
        <f>'Expenditures 15-22'!D263</f>
        <v>2005</v>
      </c>
      <c r="D1428" s="2" t="str">
        <f t="shared" si="21"/>
        <v>Error?</v>
      </c>
    </row>
    <row r="1429" spans="1:4" x14ac:dyDescent="0.2">
      <c r="A1429" s="5">
        <v>1368</v>
      </c>
      <c r="B1429" s="138">
        <f>'Expenditures 15-22'!D264</f>
        <v>51267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448537</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6901</v>
      </c>
      <c r="D1434" s="2" t="str">
        <f t="shared" si="21"/>
        <v>Error?</v>
      </c>
    </row>
    <row r="1435" spans="1:4" x14ac:dyDescent="0.2">
      <c r="A1435" s="10">
        <v>1374</v>
      </c>
      <c r="D1435" s="2" t="str">
        <f t="shared" si="21"/>
        <v>OK</v>
      </c>
    </row>
    <row r="1436" spans="1:4" x14ac:dyDescent="0.2">
      <c r="A1436" s="5">
        <v>1375</v>
      </c>
      <c r="B1436" s="138">
        <f>'Expenditures 15-22'!D270</f>
        <v>508710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17779</v>
      </c>
      <c r="D1439" s="2" t="str">
        <f t="shared" si="21"/>
        <v>Error?</v>
      </c>
    </row>
    <row r="1440" spans="1:4" x14ac:dyDescent="0.2">
      <c r="A1440" s="5">
        <v>1379</v>
      </c>
      <c r="B1440" s="138">
        <f>'Expenditures 15-22'!D275</f>
        <v>25250</v>
      </c>
      <c r="D1440" s="2" t="str">
        <f t="shared" si="21"/>
        <v>Error?</v>
      </c>
    </row>
    <row r="1441" spans="1:4" x14ac:dyDescent="0.2">
      <c r="A1441" s="10">
        <v>1380</v>
      </c>
      <c r="D1441" s="2" t="str">
        <f t="shared" si="21"/>
        <v>OK</v>
      </c>
    </row>
    <row r="1442" spans="1:4" x14ac:dyDescent="0.2">
      <c r="A1442" s="5">
        <v>1381</v>
      </c>
      <c r="B1442" s="138">
        <f>'Expenditures 15-22'!D276</f>
        <v>167057</v>
      </c>
      <c r="D1442" s="2" t="str">
        <f t="shared" si="21"/>
        <v>Error?</v>
      </c>
    </row>
    <row r="1443" spans="1:4" x14ac:dyDescent="0.2">
      <c r="A1443" s="10">
        <v>1382</v>
      </c>
      <c r="D1443" s="2" t="str">
        <f t="shared" si="21"/>
        <v>OK</v>
      </c>
    </row>
    <row r="1444" spans="1:4" x14ac:dyDescent="0.2">
      <c r="A1444" s="5">
        <v>1383</v>
      </c>
      <c r="B1444" s="138">
        <f>'Expenditures 15-22'!D277</f>
        <v>210086</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1141645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2249815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35006</v>
      </c>
      <c r="C1471" s="2" t="s">
        <v>594</v>
      </c>
      <c r="D1471" s="2" t="str">
        <f t="shared" ref="D1471:D1534" si="22">IF(ISBLANK(B1471),"OK",IF(A1471-B1471=0,"OK","Error?"))</f>
        <v>Error?</v>
      </c>
    </row>
    <row r="1472" spans="1:4" x14ac:dyDescent="0.2">
      <c r="A1472" s="5">
        <v>1411</v>
      </c>
      <c r="B1472" s="138">
        <f>'Expenditures 15-22'!K223</f>
        <v>140443</v>
      </c>
      <c r="C1472" s="2" t="s">
        <v>594</v>
      </c>
      <c r="D1472" s="2" t="str">
        <f t="shared" si="22"/>
        <v>Error?</v>
      </c>
    </row>
    <row r="1473" spans="1:4" x14ac:dyDescent="0.2">
      <c r="A1473" s="5">
        <v>1412</v>
      </c>
      <c r="B1473" s="138">
        <f>'Expenditures 15-22'!K224</f>
        <v>4337</v>
      </c>
      <c r="C1473" s="2" t="s">
        <v>594</v>
      </c>
      <c r="D1473" s="2" t="str">
        <f t="shared" si="22"/>
        <v>Error?</v>
      </c>
    </row>
    <row r="1474" spans="1:4" x14ac:dyDescent="0.2">
      <c r="A1474" s="5">
        <v>1413</v>
      </c>
      <c r="B1474" s="138">
        <f>'Expenditures 15-22'!K229</f>
        <v>1108170</v>
      </c>
      <c r="C1474" s="2" t="s">
        <v>594</v>
      </c>
      <c r="D1474" s="2" t="str">
        <f t="shared" si="22"/>
        <v>Error?</v>
      </c>
    </row>
    <row r="1475" spans="1:4" x14ac:dyDescent="0.2">
      <c r="A1475" s="5">
        <v>1414</v>
      </c>
      <c r="B1475" s="138">
        <f>'Expenditures 15-22'!K232</f>
        <v>68199</v>
      </c>
      <c r="C1475" s="2" t="s">
        <v>594</v>
      </c>
      <c r="D1475" s="2" t="str">
        <f t="shared" si="22"/>
        <v>Error?</v>
      </c>
    </row>
    <row r="1476" spans="1:4" x14ac:dyDescent="0.2">
      <c r="A1476" s="5">
        <v>1415</v>
      </c>
      <c r="B1476" s="138">
        <f>'Expenditures 15-22'!K233</f>
        <v>94919</v>
      </c>
      <c r="C1476" s="2" t="s">
        <v>594</v>
      </c>
      <c r="D1476" s="2" t="str">
        <f t="shared" si="22"/>
        <v>Error?</v>
      </c>
    </row>
    <row r="1477" spans="1:4" x14ac:dyDescent="0.2">
      <c r="A1477" s="5">
        <v>1416</v>
      </c>
      <c r="B1477" s="138">
        <f>'Expenditures 15-22'!K234</f>
        <v>14178</v>
      </c>
      <c r="C1477" s="2" t="s">
        <v>594</v>
      </c>
      <c r="D1477" s="2" t="str">
        <f t="shared" si="22"/>
        <v>Error?</v>
      </c>
    </row>
    <row r="1478" spans="1:4" x14ac:dyDescent="0.2">
      <c r="A1478" s="5">
        <v>1417</v>
      </c>
      <c r="B1478" s="138">
        <f>'Expenditures 15-22'!K235</f>
        <v>5343</v>
      </c>
      <c r="C1478" s="2" t="s">
        <v>594</v>
      </c>
      <c r="D1478" s="2" t="str">
        <f t="shared" si="22"/>
        <v>Error?</v>
      </c>
    </row>
    <row r="1479" spans="1:4" x14ac:dyDescent="0.2">
      <c r="A1479" s="5">
        <v>1418</v>
      </c>
      <c r="B1479" s="138">
        <f>'Expenditures 15-22'!K236</f>
        <v>4829</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187468</v>
      </c>
      <c r="C1481" s="2" t="s">
        <v>594</v>
      </c>
      <c r="D1481" s="2" t="str">
        <f t="shared" si="22"/>
        <v>Error?</v>
      </c>
    </row>
    <row r="1482" spans="1:4" x14ac:dyDescent="0.2">
      <c r="A1482" s="5">
        <v>1421</v>
      </c>
      <c r="B1482" s="138">
        <f>'Expenditures 15-22'!K240</f>
        <v>62148</v>
      </c>
      <c r="C1482" s="2" t="s">
        <v>594</v>
      </c>
      <c r="D1482" s="2" t="str">
        <f t="shared" si="22"/>
        <v>Error?</v>
      </c>
    </row>
    <row r="1483" spans="1:4" x14ac:dyDescent="0.2">
      <c r="A1483" s="5">
        <v>1422</v>
      </c>
      <c r="B1483" s="138">
        <f>'Expenditures 15-22'!K241</f>
        <v>43277</v>
      </c>
      <c r="C1483" s="2" t="s">
        <v>594</v>
      </c>
      <c r="D1483" s="2" t="str">
        <f t="shared" si="22"/>
        <v>Error?</v>
      </c>
    </row>
    <row r="1484" spans="1:4" x14ac:dyDescent="0.2">
      <c r="A1484" s="5">
        <v>1423</v>
      </c>
      <c r="B1484" s="138">
        <f>'Expenditures 15-22'!K242</f>
        <v>267</v>
      </c>
      <c r="C1484" s="2" t="s">
        <v>594</v>
      </c>
      <c r="D1484" s="2" t="str">
        <f t="shared" si="22"/>
        <v>Error?</v>
      </c>
    </row>
    <row r="1485" spans="1:4" x14ac:dyDescent="0.2">
      <c r="A1485" s="5">
        <v>1424</v>
      </c>
      <c r="B1485" s="138">
        <f>'Expenditures 15-22'!K243</f>
        <v>105692</v>
      </c>
      <c r="C1485" s="2" t="s">
        <v>594</v>
      </c>
      <c r="D1485" s="2" t="str">
        <f t="shared" si="22"/>
        <v>Error?</v>
      </c>
    </row>
    <row r="1486" spans="1:4" x14ac:dyDescent="0.2">
      <c r="A1486" s="5">
        <v>1425</v>
      </c>
      <c r="B1486" s="138">
        <f>'Expenditures 15-22'!K245</f>
        <v>10679</v>
      </c>
      <c r="C1486" s="2" t="s">
        <v>594</v>
      </c>
      <c r="D1486" s="2" t="str">
        <f t="shared" si="22"/>
        <v>Error?</v>
      </c>
    </row>
    <row r="1487" spans="1:4" x14ac:dyDescent="0.2">
      <c r="A1487" s="5">
        <v>1426</v>
      </c>
      <c r="B1487" s="138">
        <f>'Expenditures 15-22'!K246</f>
        <v>2794</v>
      </c>
      <c r="C1487" s="2" t="s">
        <v>594</v>
      </c>
      <c r="D1487" s="2" t="str">
        <f t="shared" si="22"/>
        <v>Error?</v>
      </c>
    </row>
    <row r="1488" spans="1:4" x14ac:dyDescent="0.2">
      <c r="A1488" s="5">
        <v>1427</v>
      </c>
      <c r="B1488" s="138">
        <f>'Expenditures 15-22'!K257</f>
        <v>13473</v>
      </c>
      <c r="C1488" s="2" t="s">
        <v>594</v>
      </c>
      <c r="D1488" s="2" t="str">
        <f t="shared" si="22"/>
        <v>Error?</v>
      </c>
    </row>
    <row r="1489" spans="1:4" x14ac:dyDescent="0.2">
      <c r="A1489" s="5">
        <v>1428</v>
      </c>
      <c r="B1489" s="138">
        <f>'Expenditures 15-22'!K259</f>
        <v>79268</v>
      </c>
      <c r="C1489" s="2" t="s">
        <v>594</v>
      </c>
      <c r="D1489" s="2" t="str">
        <f t="shared" si="22"/>
        <v>Error?</v>
      </c>
    </row>
    <row r="1490" spans="1:4" x14ac:dyDescent="0.2">
      <c r="A1490" s="5">
        <v>1429</v>
      </c>
      <c r="B1490" s="138">
        <f>'Expenditures 15-22'!K260</f>
        <v>36948</v>
      </c>
      <c r="C1490" s="2" t="s">
        <v>594</v>
      </c>
      <c r="D1490" s="2" t="str">
        <f t="shared" si="22"/>
        <v>Error?</v>
      </c>
    </row>
    <row r="1491" spans="1:4" x14ac:dyDescent="0.2">
      <c r="A1491" s="5">
        <v>1430</v>
      </c>
      <c r="B1491" s="138">
        <f>'Expenditures 15-22'!K261</f>
        <v>116216</v>
      </c>
      <c r="C1491" s="2" t="s">
        <v>594</v>
      </c>
      <c r="D1491" s="2" t="str">
        <f t="shared" si="22"/>
        <v>Error?</v>
      </c>
    </row>
    <row r="1492" spans="1:4" x14ac:dyDescent="0.2">
      <c r="A1492" s="5">
        <v>1431</v>
      </c>
      <c r="B1492" s="138">
        <f>'Expenditures 15-22'!K263</f>
        <v>2005</v>
      </c>
      <c r="C1492" s="2" t="s">
        <v>594</v>
      </c>
      <c r="D1492" s="2" t="str">
        <f t="shared" si="22"/>
        <v>Error?</v>
      </c>
    </row>
    <row r="1493" spans="1:4" x14ac:dyDescent="0.2">
      <c r="A1493" s="5">
        <v>1432</v>
      </c>
      <c r="B1493" s="138">
        <f>'Expenditures 15-22'!K264</f>
        <v>51267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448537</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6901</v>
      </c>
      <c r="C1498" s="2" t="s">
        <v>594</v>
      </c>
      <c r="D1498" s="2" t="str">
        <f t="shared" si="22"/>
        <v>Error?</v>
      </c>
    </row>
    <row r="1499" spans="1:4" x14ac:dyDescent="0.2">
      <c r="A1499" s="10">
        <v>1438</v>
      </c>
      <c r="D1499" s="2" t="str">
        <f t="shared" si="22"/>
        <v>OK</v>
      </c>
    </row>
    <row r="1500" spans="1:4" x14ac:dyDescent="0.2">
      <c r="A1500" s="5">
        <v>1439</v>
      </c>
      <c r="B1500" s="138">
        <f>'Expenditures 15-22'!K270</f>
        <v>508710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17779</v>
      </c>
      <c r="C1503" s="2" t="s">
        <v>594</v>
      </c>
      <c r="D1503" s="2" t="str">
        <f t="shared" si="22"/>
        <v>Error?</v>
      </c>
    </row>
    <row r="1504" spans="1:4" x14ac:dyDescent="0.2">
      <c r="A1504" s="5">
        <v>1443</v>
      </c>
      <c r="B1504" s="138">
        <f>'Expenditures 15-22'!K275</f>
        <v>25250</v>
      </c>
      <c r="C1504" s="2" t="s">
        <v>594</v>
      </c>
      <c r="D1504" s="2" t="str">
        <f t="shared" si="22"/>
        <v>Error?</v>
      </c>
    </row>
    <row r="1505" spans="1:4" x14ac:dyDescent="0.2">
      <c r="A1505" s="10">
        <v>1444</v>
      </c>
      <c r="D1505" s="2" t="str">
        <f t="shared" si="22"/>
        <v>OK</v>
      </c>
    </row>
    <row r="1506" spans="1:4" x14ac:dyDescent="0.2">
      <c r="A1506" s="5">
        <v>1445</v>
      </c>
      <c r="B1506" s="138">
        <f>'Expenditures 15-22'!K276</f>
        <v>167057</v>
      </c>
      <c r="C1506" s="2" t="s">
        <v>594</v>
      </c>
      <c r="D1506" s="2" t="str">
        <f t="shared" si="22"/>
        <v>Error?</v>
      </c>
    </row>
    <row r="1507" spans="1:4" x14ac:dyDescent="0.2">
      <c r="A1507" s="10">
        <v>1446</v>
      </c>
      <c r="D1507" s="2" t="str">
        <f t="shared" si="22"/>
        <v>OK</v>
      </c>
    </row>
    <row r="1508" spans="1:4" x14ac:dyDescent="0.2">
      <c r="A1508" s="5">
        <v>1447</v>
      </c>
      <c r="B1508" s="138">
        <f>'Expenditures 15-22'!K277</f>
        <v>210086</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1141645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2249815</v>
      </c>
      <c r="C1517" s="2" t="s">
        <v>594</v>
      </c>
      <c r="D1517" s="2" t="str">
        <f t="shared" si="22"/>
        <v>Error?</v>
      </c>
    </row>
    <row r="1518" spans="1:4" x14ac:dyDescent="0.2">
      <c r="A1518" s="5">
        <v>1457</v>
      </c>
      <c r="B1518" s="138">
        <f>'Expenditures 15-22'!K296</f>
        <v>151745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778382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778382</v>
      </c>
      <c r="C1535" s="2" t="s">
        <v>594</v>
      </c>
      <c r="D1535" s="2" t="str">
        <f t="shared" ref="D1535:D1598" si="23">IF(ISBLANK(B1535),"OK",IF(A1535-B1535=0,"OK","Error?"))</f>
        <v>Error?</v>
      </c>
    </row>
    <row r="1536" spans="1:4" x14ac:dyDescent="0.2">
      <c r="A1536" s="5">
        <v>1475</v>
      </c>
      <c r="B1536" s="138">
        <f>'Expenditures 15-22'!E312</f>
        <v>778382</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8565833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8565833</v>
      </c>
      <c r="C1547" s="2" t="s">
        <v>594</v>
      </c>
      <c r="D1547" s="2" t="str">
        <f t="shared" si="23"/>
        <v>Error?</v>
      </c>
    </row>
    <row r="1548" spans="1:4" x14ac:dyDescent="0.2">
      <c r="A1548" s="5">
        <v>1487</v>
      </c>
      <c r="B1548" s="138">
        <f>'Expenditures 15-22'!G312</f>
        <v>8565833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9553817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9553817</v>
      </c>
      <c r="C1559" s="2" t="s">
        <v>594</v>
      </c>
      <c r="D1559" s="2" t="str">
        <f t="shared" si="23"/>
        <v>Error?</v>
      </c>
    </row>
    <row r="1560" spans="1:4" x14ac:dyDescent="0.2">
      <c r="A1560" s="5">
        <v>1499</v>
      </c>
      <c r="B1560" s="138">
        <f>'Expenditures 15-22'!K312</f>
        <v>9553817</v>
      </c>
      <c r="C1560" s="2" t="s">
        <v>594</v>
      </c>
      <c r="D1560" s="2" t="str">
        <f t="shared" si="23"/>
        <v>Error?</v>
      </c>
    </row>
    <row r="1561" spans="1:4" x14ac:dyDescent="0.2">
      <c r="A1561" s="5">
        <v>1500</v>
      </c>
      <c r="B1561" s="138">
        <f>'Expenditures 15-22'!K313</f>
        <v>-146742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31531590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33600382</v>
      </c>
      <c r="C1630" s="2" t="s">
        <v>594</v>
      </c>
      <c r="D1630" s="2" t="str">
        <f t="shared" si="24"/>
        <v>Error?</v>
      </c>
    </row>
    <row r="1631" spans="1:4" x14ac:dyDescent="0.2">
      <c r="A1631" s="5">
        <v>1570</v>
      </c>
      <c r="B1631" s="138">
        <f>'Acct Summary 7-8'!D79</f>
        <v>7640428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6449899</v>
      </c>
      <c r="C1644" s="2" t="s">
        <v>594</v>
      </c>
      <c r="D1644" s="2" t="str">
        <f t="shared" si="24"/>
        <v>Error?</v>
      </c>
    </row>
    <row r="1645" spans="1:4" x14ac:dyDescent="0.2">
      <c r="A1645" s="5">
        <v>1584</v>
      </c>
      <c r="B1645" s="138">
        <f>'Acct Summary 7-8'!E79</f>
        <v>123847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139890</v>
      </c>
      <c r="C1658" s="2" t="s">
        <v>594</v>
      </c>
      <c r="D1658" s="2" t="str">
        <f t="shared" si="24"/>
        <v>Error?</v>
      </c>
    </row>
    <row r="1659" spans="1:4" x14ac:dyDescent="0.2">
      <c r="A1659" s="5">
        <v>1598</v>
      </c>
      <c r="B1659" s="138">
        <f>'Acct Summary 7-8'!F79</f>
        <v>5624588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4732456</v>
      </c>
      <c r="C1672" s="2" t="s">
        <v>594</v>
      </c>
      <c r="D1672" s="2" t="str">
        <f t="shared" si="25"/>
        <v>Error?</v>
      </c>
    </row>
    <row r="1673" spans="1:4" x14ac:dyDescent="0.2">
      <c r="A1673" s="5">
        <v>1612</v>
      </c>
      <c r="B1673" s="138">
        <f>'Acct Summary 7-8'!G79</f>
        <v>2760411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2912156</v>
      </c>
      <c r="C1686" s="2" t="s">
        <v>594</v>
      </c>
      <c r="D1686" s="2" t="str">
        <f t="shared" si="25"/>
        <v>Error?</v>
      </c>
    </row>
    <row r="1687" spans="1:4" x14ac:dyDescent="0.2">
      <c r="A1687" s="5">
        <v>1626</v>
      </c>
      <c r="B1687" s="138">
        <f>'Acct Summary 7-8'!H79</f>
        <v>5420281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5273539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60601029</v>
      </c>
      <c r="C1744" s="2" t="s">
        <v>594</v>
      </c>
      <c r="D1744" s="2" t="str">
        <f t="shared" si="26"/>
        <v>Error?</v>
      </c>
    </row>
    <row r="1745" spans="1:5" x14ac:dyDescent="0.2">
      <c r="A1745" s="5">
        <v>1684</v>
      </c>
      <c r="B1745" s="138">
        <f>'Tax Sched 23'!B5</f>
        <v>5068494</v>
      </c>
      <c r="C1745" s="2" t="s">
        <v>594</v>
      </c>
      <c r="D1745" s="2" t="str">
        <f t="shared" si="26"/>
        <v>Error?</v>
      </c>
    </row>
    <row r="1746" spans="1:5" x14ac:dyDescent="0.2">
      <c r="A1746" s="5">
        <v>1685</v>
      </c>
      <c r="B1746" s="138">
        <f>'Tax Sched 23'!B6</f>
        <v>1377217</v>
      </c>
      <c r="C1746" s="2" t="s">
        <v>594</v>
      </c>
      <c r="D1746" s="2" t="str">
        <f t="shared" si="26"/>
        <v>Error?</v>
      </c>
    </row>
    <row r="1747" spans="1:5" x14ac:dyDescent="0.2">
      <c r="A1747" s="5">
        <v>1686</v>
      </c>
      <c r="B1747" s="138">
        <f>'Tax Sched 23'!B7</f>
        <v>1418865</v>
      </c>
      <c r="C1747" s="2" t="s">
        <v>594</v>
      </c>
      <c r="D1747" s="2" t="str">
        <f t="shared" si="26"/>
        <v>Error?</v>
      </c>
    </row>
    <row r="1748" spans="1:5" x14ac:dyDescent="0.2">
      <c r="A1748" s="5">
        <v>1687</v>
      </c>
      <c r="B1748" s="138">
        <f>'Tax Sched 23'!B8</f>
        <v>955614</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1760262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72489050</v>
      </c>
      <c r="C1759" s="2" t="s">
        <v>594</v>
      </c>
      <c r="D1759" s="2" t="str">
        <f t="shared" si="26"/>
        <v>Error?</v>
      </c>
    </row>
    <row r="1760" spans="1:5" x14ac:dyDescent="0.2">
      <c r="A1760" s="5">
        <v>1699</v>
      </c>
      <c r="B1760" s="138">
        <f>'Tax Sched 23'!D4</f>
        <v>27025503</v>
      </c>
      <c r="C1760" s="2" t="s">
        <v>594</v>
      </c>
      <c r="D1760" s="2" t="str">
        <f t="shared" si="26"/>
        <v>Error?</v>
      </c>
    </row>
    <row r="1761" spans="1:5" x14ac:dyDescent="0.2">
      <c r="A1761" s="5">
        <v>1700</v>
      </c>
      <c r="B1761" s="138">
        <f>'Tax Sched 23'!D5</f>
        <v>2283369</v>
      </c>
      <c r="C1761" s="2" t="s">
        <v>594</v>
      </c>
      <c r="D1761" s="2" t="str">
        <f t="shared" si="26"/>
        <v>Error?</v>
      </c>
    </row>
    <row r="1762" spans="1:5" s="8" customFormat="1" x14ac:dyDescent="0.2">
      <c r="A1762" s="5">
        <v>1701</v>
      </c>
      <c r="B1762" s="138">
        <f>'Tax Sched 23'!D6</f>
        <v>1281705</v>
      </c>
      <c r="C1762" s="2" t="s">
        <v>594</v>
      </c>
      <c r="D1762" s="2" t="str">
        <f t="shared" si="26"/>
        <v>Error?</v>
      </c>
      <c r="E1762" s="9"/>
    </row>
    <row r="1763" spans="1:5" x14ac:dyDescent="0.2">
      <c r="A1763" s="5">
        <v>1702</v>
      </c>
      <c r="B1763" s="138">
        <f>'Tax Sched 23'!D7</f>
        <v>639199</v>
      </c>
      <c r="C1763" s="2" t="s">
        <v>594</v>
      </c>
      <c r="D1763" s="2" t="str">
        <f t="shared" si="26"/>
        <v>Error?</v>
      </c>
    </row>
    <row r="1764" spans="1:5" x14ac:dyDescent="0.2">
      <c r="A1764" s="5">
        <v>1703</v>
      </c>
      <c r="B1764" s="138">
        <f>'Tax Sched 23'!D8</f>
        <v>705642</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792994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33317467</v>
      </c>
      <c r="C1775" s="2" t="s">
        <v>594</v>
      </c>
      <c r="D1775" s="2" t="str">
        <f t="shared" si="26"/>
        <v>Error?</v>
      </c>
    </row>
    <row r="1776" spans="1:5" x14ac:dyDescent="0.2">
      <c r="A1776" s="5">
        <v>1715</v>
      </c>
      <c r="B1776" s="138">
        <f>'Tax Sched 23'!C4</f>
        <v>33575526</v>
      </c>
      <c r="D1776" s="2" t="str">
        <f t="shared" si="26"/>
        <v>Error?</v>
      </c>
    </row>
    <row r="1777" spans="1:4" x14ac:dyDescent="0.2">
      <c r="A1777" s="5">
        <v>1716</v>
      </c>
      <c r="B1777" s="138">
        <f>'Tax Sched 23'!C5</f>
        <v>2785125</v>
      </c>
      <c r="D1777" s="2" t="str">
        <f t="shared" si="26"/>
        <v>Error?</v>
      </c>
    </row>
    <row r="1778" spans="1:4" x14ac:dyDescent="0.2">
      <c r="A1778" s="5">
        <v>1717</v>
      </c>
      <c r="B1778" s="138">
        <f>'Tax Sched 23'!C6</f>
        <v>95512</v>
      </c>
      <c r="D1778" s="2" t="str">
        <f t="shared" si="26"/>
        <v>Error?</v>
      </c>
    </row>
    <row r="1779" spans="1:4" x14ac:dyDescent="0.2">
      <c r="A1779" s="5">
        <v>1718</v>
      </c>
      <c r="B1779" s="138">
        <f>'Tax Sched 23'!C7</f>
        <v>779666</v>
      </c>
      <c r="D1779" s="2" t="str">
        <f t="shared" si="26"/>
        <v>Error?</v>
      </c>
    </row>
    <row r="1780" spans="1:4" x14ac:dyDescent="0.2">
      <c r="A1780" s="5">
        <v>1719</v>
      </c>
      <c r="B1780" s="138">
        <f>'Tax Sched 23'!C8</f>
        <v>249972</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967268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39171583</v>
      </c>
      <c r="C1791" s="2" t="s">
        <v>594</v>
      </c>
      <c r="D1791" s="2" t="str">
        <f t="shared" ref="D1791:D1854" si="27">IF(ISBLANK(B1791),"OK",IF(A1791-B1791=0,"OK","Error?"))</f>
        <v>Error?</v>
      </c>
    </row>
    <row r="1792" spans="1:4" x14ac:dyDescent="0.2">
      <c r="A1792" s="5">
        <v>1731</v>
      </c>
      <c r="B1792" s="138">
        <f>'Tax Sched 23'!F4</f>
        <v>29075337</v>
      </c>
      <c r="C1792" s="2" t="s">
        <v>594</v>
      </c>
      <c r="D1792" s="2" t="str">
        <f t="shared" si="27"/>
        <v>Error?</v>
      </c>
    </row>
    <row r="1793" spans="1:4" x14ac:dyDescent="0.2">
      <c r="A1793" s="5">
        <v>1732</v>
      </c>
      <c r="B1793" s="138">
        <f>'Tax Sched 23'!F5</f>
        <v>2411830</v>
      </c>
      <c r="C1793" s="2" t="s">
        <v>594</v>
      </c>
      <c r="D1793" s="2" t="str">
        <f t="shared" si="27"/>
        <v>Error?</v>
      </c>
    </row>
    <row r="1794" spans="1:4" x14ac:dyDescent="0.2">
      <c r="A1794" s="5">
        <v>1733</v>
      </c>
      <c r="B1794" s="138">
        <f>'Tax Sched 23'!F6</f>
        <v>82709</v>
      </c>
      <c r="C1794" s="2" t="s">
        <v>594</v>
      </c>
      <c r="D1794" s="2" t="str">
        <f t="shared" si="27"/>
        <v>Error?</v>
      </c>
    </row>
    <row r="1795" spans="1:4" x14ac:dyDescent="0.2">
      <c r="A1795" s="5">
        <v>1734</v>
      </c>
      <c r="B1795" s="138">
        <f>'Tax Sched 23'!F7</f>
        <v>675166</v>
      </c>
      <c r="C1795" s="2" t="s">
        <v>594</v>
      </c>
      <c r="D1795" s="2" t="str">
        <f t="shared" si="27"/>
        <v>Error?</v>
      </c>
    </row>
    <row r="1796" spans="1:4" x14ac:dyDescent="0.2">
      <c r="A1796" s="5">
        <v>1735</v>
      </c>
      <c r="B1796" s="138">
        <f>'Tax Sched 23'!F8</f>
        <v>216468</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837623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33921343</v>
      </c>
      <c r="C1807" s="2" t="s">
        <v>594</v>
      </c>
      <c r="D1807" s="2" t="str">
        <f t="shared" si="27"/>
        <v>Error?</v>
      </c>
    </row>
    <row r="1808" spans="1:4" x14ac:dyDescent="0.2">
      <c r="A1808" s="5">
        <v>1747</v>
      </c>
      <c r="B1808" s="138">
        <f>'Tax Sched 23'!E4</f>
        <v>62650863</v>
      </c>
      <c r="D1808" s="2" t="str">
        <f t="shared" si="27"/>
        <v>Error?</v>
      </c>
    </row>
    <row r="1809" spans="1:4" x14ac:dyDescent="0.2">
      <c r="A1809" s="5">
        <v>1748</v>
      </c>
      <c r="B1809" s="138">
        <f>'Tax Sched 23'!E5</f>
        <v>5196955</v>
      </c>
      <c r="D1809" s="2" t="str">
        <f t="shared" si="27"/>
        <v>Error?</v>
      </c>
    </row>
    <row r="1810" spans="1:4" x14ac:dyDescent="0.2">
      <c r="A1810" s="5">
        <v>1749</v>
      </c>
      <c r="B1810" s="138">
        <f>'Tax Sched 23'!E6</f>
        <v>178221</v>
      </c>
      <c r="D1810" s="2" t="str">
        <f t="shared" si="27"/>
        <v>Error?</v>
      </c>
    </row>
    <row r="1811" spans="1:4" x14ac:dyDescent="0.2">
      <c r="A1811" s="5">
        <v>1750</v>
      </c>
      <c r="B1811" s="138">
        <f>'Tax Sched 23'!E7</f>
        <v>1454832</v>
      </c>
      <c r="D1811" s="2" t="str">
        <f t="shared" si="27"/>
        <v>Error?</v>
      </c>
    </row>
    <row r="1812" spans="1:4" x14ac:dyDescent="0.2">
      <c r="A1812" s="5">
        <v>1751</v>
      </c>
      <c r="B1812" s="138">
        <f>'Tax Sched 23'!E8</f>
        <v>466440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1804891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73092926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30450096</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1760262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1760262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1760262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2330356</v>
      </c>
      <c r="D2008" s="2" t="str">
        <f t="shared" si="30"/>
        <v>Error?</v>
      </c>
    </row>
    <row r="2009" spans="1:4" x14ac:dyDescent="0.2">
      <c r="A2009" s="5">
        <v>1948</v>
      </c>
      <c r="B2009" s="138">
        <f>'Cap Outlay Deprec 26'!C8</f>
        <v>102811229</v>
      </c>
      <c r="D2009" s="2" t="str">
        <f t="shared" si="30"/>
        <v>Error?</v>
      </c>
    </row>
    <row r="2010" spans="1:4" x14ac:dyDescent="0.2">
      <c r="A2010" s="5">
        <v>1949</v>
      </c>
      <c r="B2010" s="138">
        <f>'Cap Outlay Deprec 26'!C10</f>
        <v>5021776</v>
      </c>
      <c r="D2010" s="2" t="str">
        <f t="shared" si="30"/>
        <v>Error?</v>
      </c>
    </row>
    <row r="2011" spans="1:4" x14ac:dyDescent="0.2">
      <c r="A2011" s="5">
        <v>1950</v>
      </c>
      <c r="B2011" s="138">
        <f>'Cap Outlay Deprec 26'!C12</f>
        <v>9075731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120269985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2275474</v>
      </c>
      <c r="D2015" s="2" t="str">
        <f t="shared" si="30"/>
        <v>Error?</v>
      </c>
    </row>
    <row r="2016" spans="1:4" x14ac:dyDescent="0.2">
      <c r="A2016" s="5">
        <v>1955</v>
      </c>
      <c r="B2016" s="138">
        <f>'Cap Outlay Deprec 26'!D10</f>
        <v>83734</v>
      </c>
      <c r="D2016" s="2" t="str">
        <f t="shared" si="30"/>
        <v>Error?</v>
      </c>
    </row>
    <row r="2017" spans="1:4" x14ac:dyDescent="0.2">
      <c r="A2017" s="5">
        <v>1956</v>
      </c>
      <c r="B2017" s="138">
        <f>'Cap Outlay Deprec 26'!D12</f>
        <v>383811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9081708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47222</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1078115</v>
      </c>
      <c r="C2025" s="2" t="s">
        <v>594</v>
      </c>
      <c r="D2025" s="2" t="str">
        <f t="shared" si="30"/>
        <v>Error?</v>
      </c>
    </row>
    <row r="2026" spans="1:4" x14ac:dyDescent="0.2">
      <c r="A2026" s="5">
        <v>1965</v>
      </c>
      <c r="B2026" s="138">
        <f>'Cap Outlay Deprec 26'!F5</f>
        <v>2330356</v>
      </c>
      <c r="C2026" s="2" t="s">
        <v>594</v>
      </c>
      <c r="D2026" s="2" t="str">
        <f t="shared" si="30"/>
        <v>Error?</v>
      </c>
    </row>
    <row r="2027" spans="1:4" x14ac:dyDescent="0.2">
      <c r="A2027" s="5">
        <v>1966</v>
      </c>
      <c r="B2027" s="138">
        <f>'Cap Outlay Deprec 26'!F8</f>
        <v>105086703</v>
      </c>
      <c r="C2027" s="2" t="s">
        <v>594</v>
      </c>
      <c r="D2027" s="2" t="str">
        <f t="shared" si="30"/>
        <v>Error?</v>
      </c>
    </row>
    <row r="2028" spans="1:4" x14ac:dyDescent="0.2">
      <c r="A2028" s="5">
        <v>1967</v>
      </c>
      <c r="B2028" s="138">
        <f>'Cap Outlay Deprec 26'!F10</f>
        <v>5058288</v>
      </c>
      <c r="C2028" s="2" t="s">
        <v>594</v>
      </c>
      <c r="D2028" s="2" t="str">
        <f t="shared" si="30"/>
        <v>Error?</v>
      </c>
    </row>
    <row r="2029" spans="1:4" x14ac:dyDescent="0.2">
      <c r="A2029" s="5">
        <v>1968</v>
      </c>
      <c r="B2029" s="138">
        <f>'Cap Outlay Deprec 26'!F12</f>
        <v>9459542</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128273578</v>
      </c>
      <c r="C2031" s="2" t="s">
        <v>594</v>
      </c>
      <c r="D2031" s="2" t="str">
        <f t="shared" si="30"/>
        <v>Error?</v>
      </c>
    </row>
    <row r="2032" spans="1:4" x14ac:dyDescent="0.2">
      <c r="A2032" s="10">
        <v>1971</v>
      </c>
      <c r="D2032" s="2" t="str">
        <f t="shared" si="30"/>
        <v>OK</v>
      </c>
    </row>
    <row r="2033" spans="1:4" x14ac:dyDescent="0.2">
      <c r="A2033" s="5">
        <v>1972</v>
      </c>
      <c r="B2033" s="138">
        <f>'Cap Outlay Deprec 26'!H8</f>
        <v>26513684</v>
      </c>
      <c r="D2033" s="2" t="str">
        <f t="shared" si="30"/>
        <v>Error?</v>
      </c>
    </row>
    <row r="2034" spans="1:4" x14ac:dyDescent="0.2">
      <c r="A2034" s="5">
        <v>1973</v>
      </c>
      <c r="B2034" s="138">
        <f>'Cap Outlay Deprec 26'!H10</f>
        <v>4001571</v>
      </c>
      <c r="D2034" s="2" t="str">
        <f t="shared" si="30"/>
        <v>Error?</v>
      </c>
    </row>
    <row r="2035" spans="1:4" x14ac:dyDescent="0.2">
      <c r="A2035" s="5">
        <v>1974</v>
      </c>
      <c r="B2035" s="138">
        <f>'Cap Outlay Deprec 26'!H12</f>
        <v>7605582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38120837</v>
      </c>
      <c r="C2037" s="2" t="s">
        <v>594</v>
      </c>
      <c r="D2037" s="2" t="str">
        <f t="shared" si="30"/>
        <v>Error?</v>
      </c>
    </row>
    <row r="2038" spans="1:4" x14ac:dyDescent="0.2">
      <c r="A2038" s="10">
        <v>1977</v>
      </c>
      <c r="D2038" s="2" t="str">
        <f t="shared" si="30"/>
        <v>OK</v>
      </c>
    </row>
    <row r="2039" spans="1:4" x14ac:dyDescent="0.2">
      <c r="A2039" s="5">
        <v>1978</v>
      </c>
      <c r="B2039" s="138">
        <f>'Cap Outlay Deprec 26'!I8</f>
        <v>2357001</v>
      </c>
      <c r="D2039" s="2" t="str">
        <f t="shared" si="30"/>
        <v>Error?</v>
      </c>
    </row>
    <row r="2040" spans="1:4" x14ac:dyDescent="0.2">
      <c r="A2040" s="5">
        <v>1979</v>
      </c>
      <c r="B2040" s="138">
        <f>'Cap Outlay Deprec 26'!I10</f>
        <v>87312</v>
      </c>
      <c r="D2040" s="2" t="str">
        <f t="shared" si="30"/>
        <v>Error?</v>
      </c>
    </row>
    <row r="2041" spans="1:4" x14ac:dyDescent="0.2">
      <c r="A2041" s="5">
        <v>1980</v>
      </c>
      <c r="B2041" s="138">
        <f>'Cap Outlay Deprec 26'!I12</f>
        <v>154788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2599101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47222</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47222</v>
      </c>
      <c r="C2049" s="2" t="s">
        <v>594</v>
      </c>
      <c r="D2049" s="2" t="str">
        <f t="shared" si="31"/>
        <v>Error?</v>
      </c>
    </row>
    <row r="2050" spans="1:4" x14ac:dyDescent="0.2">
      <c r="A2050" s="10">
        <v>1989</v>
      </c>
      <c r="D2050" s="2" t="str">
        <f t="shared" si="31"/>
        <v>OK</v>
      </c>
    </row>
    <row r="2051" spans="1:4" x14ac:dyDescent="0.2">
      <c r="A2051" s="5">
        <v>1990</v>
      </c>
      <c r="B2051" s="138">
        <f>'Cap Outlay Deprec 26'!K8</f>
        <v>28870685</v>
      </c>
      <c r="C2051" s="2" t="s">
        <v>594</v>
      </c>
      <c r="D2051" s="2" t="str">
        <f t="shared" si="31"/>
        <v>Error?</v>
      </c>
    </row>
    <row r="2052" spans="1:4" x14ac:dyDescent="0.2">
      <c r="A2052" s="5">
        <v>1991</v>
      </c>
      <c r="B2052" s="138">
        <f>'Cap Outlay Deprec 26'!K10</f>
        <v>4041661</v>
      </c>
      <c r="C2052" s="2" t="s">
        <v>594</v>
      </c>
      <c r="D2052" s="2" t="str">
        <f t="shared" si="31"/>
        <v>Error?</v>
      </c>
    </row>
    <row r="2053" spans="1:4" x14ac:dyDescent="0.2">
      <c r="A2053" s="5">
        <v>1992</v>
      </c>
      <c r="B2053" s="138">
        <f>'Cap Outlay Deprec 26'!K12</f>
        <v>7760370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40672716</v>
      </c>
      <c r="C2055" s="2" t="s">
        <v>594</v>
      </c>
      <c r="D2055" s="2" t="str">
        <f t="shared" si="31"/>
        <v>Error?</v>
      </c>
    </row>
    <row r="2056" spans="1:4" x14ac:dyDescent="0.2">
      <c r="A2056" s="5">
        <v>1995</v>
      </c>
      <c r="B2056" s="138">
        <f>'Cap Outlay Deprec 26'!L5</f>
        <v>2330356</v>
      </c>
      <c r="C2056" s="2" t="s">
        <v>594</v>
      </c>
      <c r="D2056" s="2" t="str">
        <f t="shared" si="31"/>
        <v>Error?</v>
      </c>
    </row>
    <row r="2057" spans="1:4" x14ac:dyDescent="0.2">
      <c r="A2057" s="5">
        <v>1996</v>
      </c>
      <c r="B2057" s="138">
        <f>'Cap Outlay Deprec 26'!L8</f>
        <v>76216018</v>
      </c>
      <c r="C2057" s="2" t="s">
        <v>594</v>
      </c>
      <c r="D2057" s="2" t="str">
        <f t="shared" si="31"/>
        <v>Error?</v>
      </c>
    </row>
    <row r="2058" spans="1:4" x14ac:dyDescent="0.2">
      <c r="A2058" s="5">
        <v>1997</v>
      </c>
      <c r="B2058" s="138">
        <f>'Cap Outlay Deprec 26'!L10</f>
        <v>1016627</v>
      </c>
      <c r="C2058" s="2" t="s">
        <v>594</v>
      </c>
      <c r="D2058" s="2" t="str">
        <f t="shared" si="31"/>
        <v>Error?</v>
      </c>
    </row>
    <row r="2059" spans="1:4" x14ac:dyDescent="0.2">
      <c r="A2059" s="5">
        <v>1998</v>
      </c>
      <c r="B2059" s="138">
        <f>'Cap Outlay Deprec 26'!L12</f>
        <v>1699172</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87600862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207088</v>
      </c>
      <c r="C2088" s="2" t="s">
        <v>594</v>
      </c>
      <c r="D2088" s="2" t="str">
        <f t="shared" si="31"/>
        <v>Error?</v>
      </c>
    </row>
    <row r="2089" spans="1:4" x14ac:dyDescent="0.2">
      <c r="A2089" s="5">
        <v>2028</v>
      </c>
      <c r="B2089" s="138">
        <f>'Expenditures 15-22'!K92</f>
        <v>91427</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6742142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2912156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139890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199827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71236218</v>
      </c>
      <c r="C2551" s="2" t="s">
        <v>594</v>
      </c>
      <c r="D2551" s="2" t="str">
        <f t="shared" si="38"/>
        <v>Error?</v>
      </c>
    </row>
    <row r="2552" spans="1:4" x14ac:dyDescent="0.2">
      <c r="A2552" s="10">
        <v>2491</v>
      </c>
      <c r="D2552" s="2" t="str">
        <f t="shared" si="38"/>
        <v>OK</v>
      </c>
    </row>
    <row r="2553" spans="1:4" x14ac:dyDescent="0.2">
      <c r="A2553" s="5">
        <v>2492</v>
      </c>
      <c r="B2553" s="138">
        <f>'Acct Summary 7-8'!C6</f>
        <v>6196130</v>
      </c>
      <c r="C2553" s="2" t="s">
        <v>594</v>
      </c>
      <c r="D2553" s="2" t="str">
        <f t="shared" si="38"/>
        <v>Error?</v>
      </c>
    </row>
    <row r="2554" spans="1:4" x14ac:dyDescent="0.2">
      <c r="A2554" s="5">
        <v>2493</v>
      </c>
      <c r="B2554" s="138">
        <f>'Acct Summary 7-8'!C7</f>
        <v>2654350</v>
      </c>
      <c r="C2554" s="2" t="s">
        <v>594</v>
      </c>
      <c r="D2554" s="2" t="str">
        <f t="shared" si="38"/>
        <v>Error?</v>
      </c>
    </row>
    <row r="2555" spans="1:4" x14ac:dyDescent="0.2">
      <c r="A2555" s="5">
        <v>2494</v>
      </c>
      <c r="B2555" s="138">
        <f>'Acct Summary 7-8'!C8</f>
        <v>80086698</v>
      </c>
      <c r="C2555" s="2" t="s">
        <v>594</v>
      </c>
      <c r="D2555" s="2" t="str">
        <f t="shared" si="38"/>
        <v>Error?</v>
      </c>
    </row>
    <row r="2556" spans="1:4" x14ac:dyDescent="0.2">
      <c r="A2556" s="5">
        <v>2495</v>
      </c>
      <c r="B2556" s="138">
        <f>'Acct Summary 7-8'!C12</f>
        <v>53738163</v>
      </c>
      <c r="C2556" s="2" t="s">
        <v>594</v>
      </c>
      <c r="D2556" s="2" t="str">
        <f t="shared" si="38"/>
        <v>Error?</v>
      </c>
    </row>
    <row r="2557" spans="1:4" x14ac:dyDescent="0.2">
      <c r="A2557" s="5">
        <v>2496</v>
      </c>
      <c r="B2557" s="138">
        <f>'Acct Summary 7-8'!C13</f>
        <v>23980005</v>
      </c>
      <c r="C2557" s="2" t="s">
        <v>594</v>
      </c>
      <c r="D2557" s="2" t="str">
        <f t="shared" si="38"/>
        <v>Error?</v>
      </c>
    </row>
    <row r="2558" spans="1:4" x14ac:dyDescent="0.2">
      <c r="A2558" s="5">
        <v>2497</v>
      </c>
      <c r="B2558" s="138">
        <f>'Acct Summary 7-8'!C14</f>
        <v>1223</v>
      </c>
      <c r="C2558" s="2" t="s">
        <v>594</v>
      </c>
      <c r="D2558" s="2" t="str">
        <f t="shared" si="38"/>
        <v>Error?</v>
      </c>
    </row>
    <row r="2559" spans="1:4" x14ac:dyDescent="0.2">
      <c r="A2559" s="5">
        <v>2498</v>
      </c>
      <c r="B2559" s="138">
        <f>'Acct Summary 7-8'!C15</f>
        <v>298515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78017906</v>
      </c>
      <c r="C2561" s="2" t="s">
        <v>594</v>
      </c>
      <c r="D2561" s="2" t="str">
        <f t="shared" si="39"/>
        <v>Error?</v>
      </c>
    </row>
    <row r="2562" spans="1:4" x14ac:dyDescent="0.2">
      <c r="A2562" s="5">
        <v>2501</v>
      </c>
      <c r="B2562" s="138">
        <f>'Acct Summary 7-8'!C20</f>
        <v>2068792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5452342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5452342</v>
      </c>
      <c r="C2568" s="2" t="s">
        <v>594</v>
      </c>
      <c r="D2568" s="2" t="str">
        <f t="shared" si="39"/>
        <v>Error?</v>
      </c>
    </row>
    <row r="2569" spans="1:4" x14ac:dyDescent="0.2">
      <c r="A2569" s="5">
        <v>2508</v>
      </c>
      <c r="B2569" s="138">
        <f>'Acct Summary 7-8'!D13</f>
        <v>6642871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6642871</v>
      </c>
      <c r="C2573" s="2" t="s">
        <v>594</v>
      </c>
      <c r="D2573" s="2" t="str">
        <f t="shared" si="39"/>
        <v>Error?</v>
      </c>
    </row>
    <row r="2574" spans="1:4" x14ac:dyDescent="0.2">
      <c r="A2574" s="5">
        <v>2513</v>
      </c>
      <c r="B2574" s="138">
        <f>'Acct Summary 7-8'!D20</f>
        <v>-1190529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1543016</v>
      </c>
      <c r="C2591" s="2" t="s">
        <v>594</v>
      </c>
      <c r="D2591" s="2" t="str">
        <f t="shared" si="39"/>
        <v>Error?</v>
      </c>
    </row>
    <row r="2592" spans="1:4" x14ac:dyDescent="0.2">
      <c r="A2592" s="10">
        <v>2531</v>
      </c>
      <c r="D2592" s="2" t="str">
        <f t="shared" si="39"/>
        <v>OK</v>
      </c>
    </row>
    <row r="2593" spans="1:4" x14ac:dyDescent="0.2">
      <c r="A2593" s="5">
        <v>2532</v>
      </c>
      <c r="B2593" s="138">
        <f>'Acct Summary 7-8'!F6</f>
        <v>1209762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2752778</v>
      </c>
      <c r="C2595" s="2" t="s">
        <v>594</v>
      </c>
      <c r="D2595" s="2" t="str">
        <f t="shared" si="39"/>
        <v>Error?</v>
      </c>
    </row>
    <row r="2596" spans="1:4" x14ac:dyDescent="0.2">
      <c r="A2596" s="5">
        <v>2535</v>
      </c>
      <c r="B2596" s="138">
        <f>'Acct Summary 7-8'!F13</f>
        <v>3644910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3644910</v>
      </c>
      <c r="C2600" s="2" t="s">
        <v>594</v>
      </c>
      <c r="D2600" s="2" t="str">
        <f t="shared" si="39"/>
        <v>Error?</v>
      </c>
    </row>
    <row r="2601" spans="1:4" x14ac:dyDescent="0.2">
      <c r="A2601" s="5">
        <v>2540</v>
      </c>
      <c r="B2601" s="138">
        <f>'Acct Summary 7-8'!F20</f>
        <v>-892132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2401560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2401560</v>
      </c>
      <c r="C2606" s="2" t="s">
        <v>594</v>
      </c>
      <c r="D2606" s="2" t="str">
        <f t="shared" si="39"/>
        <v>Error?</v>
      </c>
    </row>
    <row r="2607" spans="1:4" x14ac:dyDescent="0.2">
      <c r="A2607" s="5">
        <v>2546</v>
      </c>
      <c r="B2607" s="138">
        <f>'Acct Summary 7-8'!G12</f>
        <v>1108170</v>
      </c>
      <c r="C2607" s="2" t="s">
        <v>594</v>
      </c>
      <c r="D2607" s="2" t="str">
        <f t="shared" si="39"/>
        <v>Error?</v>
      </c>
    </row>
    <row r="2608" spans="1:4" x14ac:dyDescent="0.2">
      <c r="A2608" s="5">
        <v>2547</v>
      </c>
      <c r="B2608" s="138">
        <f>'Acct Summary 7-8'!G13</f>
        <v>1141645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2249815</v>
      </c>
      <c r="C2612" s="2" t="s">
        <v>594</v>
      </c>
      <c r="D2612" s="2" t="str">
        <f t="shared" si="39"/>
        <v>Error?</v>
      </c>
    </row>
    <row r="2613" spans="1:4" x14ac:dyDescent="0.2">
      <c r="A2613" s="5">
        <v>2552</v>
      </c>
      <c r="B2613" s="138">
        <f>'Acct Summary 7-8'!G20</f>
        <v>151745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1387582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1387582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1371539</v>
      </c>
      <c r="C2634" s="2" t="s">
        <v>594</v>
      </c>
      <c r="D2634" s="2" t="str">
        <f t="shared" si="40"/>
        <v>Error?</v>
      </c>
    </row>
    <row r="2635" spans="1:4" x14ac:dyDescent="0.2">
      <c r="A2635" s="5">
        <v>2574</v>
      </c>
      <c r="B2635" s="138">
        <f>'Acct Summary 7-8'!E17</f>
        <v>1371539</v>
      </c>
      <c r="C2635" s="2" t="s">
        <v>594</v>
      </c>
      <c r="D2635" s="2" t="str">
        <f t="shared" si="40"/>
        <v>Error?</v>
      </c>
    </row>
    <row r="2636" spans="1:4" x14ac:dyDescent="0.2">
      <c r="A2636" s="5">
        <v>2575</v>
      </c>
      <c r="B2636" s="138">
        <f>'Acct Summary 7-8'!E20</f>
        <v>16043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134624</v>
      </c>
      <c r="C2655" s="2" t="s">
        <v>594</v>
      </c>
      <c r="D2655" s="2" t="str">
        <f t="shared" si="40"/>
        <v>Error?</v>
      </c>
    </row>
    <row r="2656" spans="1:4" x14ac:dyDescent="0.2">
      <c r="A2656" s="5">
        <v>2595</v>
      </c>
      <c r="B2656" s="138">
        <f>'Acct Summary 7-8'!H6</f>
        <v>9272451</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9407075</v>
      </c>
      <c r="C2658" s="2" t="s">
        <v>594</v>
      </c>
      <c r="D2658" s="2" t="str">
        <f t="shared" si="40"/>
        <v>Error?</v>
      </c>
    </row>
    <row r="2659" spans="1:4" x14ac:dyDescent="0.2">
      <c r="A2659" s="5">
        <v>2598</v>
      </c>
      <c r="B2659" s="138">
        <f>'Acct Summary 7-8'!H13</f>
        <v>9553817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9553817</v>
      </c>
      <c r="C2661" s="2" t="s">
        <v>594</v>
      </c>
      <c r="D2661" s="2" t="str">
        <f t="shared" si="40"/>
        <v>Error?</v>
      </c>
    </row>
    <row r="2662" spans="1:4" x14ac:dyDescent="0.2">
      <c r="A2662" s="5">
        <v>2601</v>
      </c>
      <c r="B2662" s="138">
        <f>'Acct Summary 7-8'!H20</f>
        <v>-146742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258</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258</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207088</v>
      </c>
      <c r="C2789" s="2" t="s">
        <v>594</v>
      </c>
      <c r="D2789" s="2" t="str">
        <f t="shared" si="42"/>
        <v>Error?</v>
      </c>
    </row>
    <row r="2790" spans="1:4" x14ac:dyDescent="0.2">
      <c r="A2790" s="5">
        <v>2729</v>
      </c>
      <c r="B2790" s="138">
        <f>'Expenditures 15-22'!E102</f>
        <v>207088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6338689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2061633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928983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2061633</v>
      </c>
      <c r="D2912" s="2" t="str">
        <f t="shared" si="44"/>
        <v>Error?</v>
      </c>
    </row>
    <row r="2913" spans="1:4" x14ac:dyDescent="0.2">
      <c r="A2913" s="5">
        <v>2852</v>
      </c>
      <c r="B2913" s="138">
        <f>'Assets-Liab 5-6'!I41</f>
        <v>2061633</v>
      </c>
      <c r="C2913" s="2" t="s">
        <v>594</v>
      </c>
      <c r="D2913" s="2" t="str">
        <f t="shared" si="44"/>
        <v>Error?</v>
      </c>
    </row>
    <row r="2914" spans="1:4" x14ac:dyDescent="0.2">
      <c r="A2914" s="5">
        <v>2853</v>
      </c>
      <c r="B2914" s="138">
        <f>'Assets-Liab 5-6'!L33</f>
        <v>928983</v>
      </c>
      <c r="D2914" s="2" t="str">
        <f t="shared" si="44"/>
        <v>Error?</v>
      </c>
    </row>
    <row r="2915" spans="1:4" x14ac:dyDescent="0.2">
      <c r="A2915" s="10">
        <v>2854</v>
      </c>
      <c r="D2915" s="2" t="str">
        <f t="shared" si="44"/>
        <v>OK</v>
      </c>
    </row>
    <row r="2916" spans="1:4" x14ac:dyDescent="0.2">
      <c r="A2916" s="5">
        <v>2855</v>
      </c>
      <c r="B2916" s="138">
        <f>'Assets-Liab 5-6'!L34</f>
        <v>928983</v>
      </c>
      <c r="C2916" s="2" t="s">
        <v>594</v>
      </c>
      <c r="D2916" s="2" t="str">
        <f t="shared" si="44"/>
        <v>Error?</v>
      </c>
    </row>
    <row r="2917" spans="1:4" x14ac:dyDescent="0.2">
      <c r="A2917" s="5">
        <v>2856</v>
      </c>
      <c r="B2917" s="138">
        <f>'Assets-Liab 5-6'!L41</f>
        <v>928983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77751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129337</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77751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129337</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23510</v>
      </c>
      <c r="C3225" s="2" t="s">
        <v>594</v>
      </c>
      <c r="D3225" s="2" t="str">
        <f t="shared" si="49"/>
        <v>Error?</v>
      </c>
    </row>
    <row r="3226" spans="1:4" x14ac:dyDescent="0.2">
      <c r="A3226" s="5">
        <v>3165</v>
      </c>
      <c r="B3226" s="138">
        <f>'Acct Summary 7-8'!I8</f>
        <v>23510</v>
      </c>
      <c r="C3226" s="2" t="s">
        <v>594</v>
      </c>
      <c r="D3226" s="2" t="str">
        <f t="shared" si="49"/>
        <v>Error?</v>
      </c>
    </row>
    <row r="3227" spans="1:4" x14ac:dyDescent="0.2">
      <c r="A3227" s="5">
        <v>3166</v>
      </c>
      <c r="B3227" s="138">
        <f>'Acct Summary 7-8'!I20</f>
        <v>23510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2068792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-1190529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-892132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151745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16043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-146742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23510</v>
      </c>
      <c r="C3320" s="2" t="s">
        <v>594</v>
      </c>
      <c r="D3320" s="2" t="str">
        <f t="shared" si="50"/>
        <v>Error?</v>
      </c>
    </row>
    <row r="3321" spans="1:4" x14ac:dyDescent="0.2">
      <c r="A3321" s="5">
        <v>3260</v>
      </c>
      <c r="B3321" s="138">
        <f>'Acct Summary 7-8'!I79</f>
        <v>2038123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2061633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6633505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1812510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192522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140631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1050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8821069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463101</v>
      </c>
      <c r="D3387" s="2" t="str">
        <f t="shared" si="51"/>
        <v>Error?</v>
      </c>
    </row>
    <row r="3388" spans="1:4" x14ac:dyDescent="0.2">
      <c r="A3388" s="5">
        <v>3327</v>
      </c>
      <c r="B3388" s="138">
        <f>'Expenditures 15-22'!D217</f>
        <v>462561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463101</v>
      </c>
      <c r="C3390" s="2" t="s">
        <v>594</v>
      </c>
      <c r="D3390" s="2" t="str">
        <f t="shared" si="51"/>
        <v>Error?</v>
      </c>
    </row>
    <row r="3391" spans="1:4" x14ac:dyDescent="0.2">
      <c r="A3391" s="5">
        <v>3330</v>
      </c>
      <c r="B3391" s="138">
        <f>'Expenditures 15-22'!K217</f>
        <v>462561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20499181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9761740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235402</v>
      </c>
      <c r="D3417" s="2" t="str">
        <f t="shared" si="52"/>
        <v>Error?</v>
      </c>
    </row>
    <row r="3418" spans="1:4" x14ac:dyDescent="0.2">
      <c r="A3418" s="10">
        <v>3357</v>
      </c>
      <c r="D3418" s="2" t="str">
        <f t="shared" si="52"/>
        <v>OK</v>
      </c>
    </row>
    <row r="3419" spans="1:4" x14ac:dyDescent="0.2">
      <c r="A3419" s="5">
        <v>3358</v>
      </c>
      <c r="B3419" s="138">
        <f>'Assets-Liab 5-6'!F4</f>
        <v>5993911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4042181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10606027</v>
      </c>
      <c r="D3425" s="2" t="str">
        <f t="shared" si="52"/>
        <v>Error?</v>
      </c>
    </row>
    <row r="3426" spans="1:4" x14ac:dyDescent="0.2">
      <c r="A3426" s="10">
        <v>3365</v>
      </c>
      <c r="D3426" s="2" t="str">
        <f t="shared" si="52"/>
        <v>OK</v>
      </c>
    </row>
    <row r="3427" spans="1:4" x14ac:dyDescent="0.2">
      <c r="A3427" s="5">
        <v>3366</v>
      </c>
      <c r="B3427" s="138">
        <f>'Assets-Liab 5-6'!I4</f>
        <v>2061633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928983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1307569</v>
      </c>
      <c r="C3446" s="2" t="s">
        <v>594</v>
      </c>
      <c r="D3446" s="2" t="str">
        <f t="shared" si="52"/>
        <v>Error?</v>
      </c>
    </row>
    <row r="3447" spans="1:4" x14ac:dyDescent="0.2">
      <c r="A3447" s="5">
        <v>3386</v>
      </c>
      <c r="B3447" s="138">
        <f>'Tax Sched 23'!D16</f>
        <v>589055</v>
      </c>
      <c r="C3447" s="2" t="s">
        <v>594</v>
      </c>
      <c r="D3447" s="2" t="str">
        <f t="shared" si="52"/>
        <v>Error?</v>
      </c>
    </row>
    <row r="3448" spans="1:4" x14ac:dyDescent="0.2">
      <c r="A3448" s="5">
        <v>3387</v>
      </c>
      <c r="B3448" s="138">
        <f>'Tax Sched 23'!C16</f>
        <v>718514</v>
      </c>
      <c r="D3448" s="2" t="str">
        <f t="shared" si="52"/>
        <v>Error?</v>
      </c>
    </row>
    <row r="3449" spans="1:4" x14ac:dyDescent="0.2">
      <c r="A3449" s="5">
        <v>3388</v>
      </c>
      <c r="B3449" s="138">
        <f>'Tax Sched 23'!F16</f>
        <v>622210</v>
      </c>
      <c r="C3449" s="2" t="s">
        <v>594</v>
      </c>
      <c r="D3449" s="2" t="str">
        <f t="shared" si="52"/>
        <v>Error?</v>
      </c>
    </row>
    <row r="3450" spans="1:4" x14ac:dyDescent="0.2">
      <c r="A3450" s="5">
        <v>3389</v>
      </c>
      <c r="B3450" s="138">
        <f>'Tax Sched 23'!E16</f>
        <v>1340724</v>
      </c>
      <c r="D3450" s="2" t="str">
        <f t="shared" si="52"/>
        <v>Error?</v>
      </c>
    </row>
    <row r="3451" spans="1:4" x14ac:dyDescent="0.2">
      <c r="A3451" s="5">
        <v>3390</v>
      </c>
      <c r="B3451" s="138">
        <f>'Cap Outlay Deprec 26'!C15</f>
        <v>1030893</v>
      </c>
      <c r="D3451" s="2" t="str">
        <f t="shared" si="52"/>
        <v>Error?</v>
      </c>
    </row>
    <row r="3452" spans="1:4" x14ac:dyDescent="0.2">
      <c r="A3452" s="5">
        <v>3391</v>
      </c>
      <c r="B3452" s="138">
        <f>'Cap Outlay Deprec 26'!D15</f>
        <v>6338689</v>
      </c>
      <c r="D3452" s="2" t="str">
        <f t="shared" si="52"/>
        <v>Error?</v>
      </c>
    </row>
    <row r="3453" spans="1:4" x14ac:dyDescent="0.2">
      <c r="A3453" s="5">
        <v>3392</v>
      </c>
      <c r="B3453" s="138">
        <f>'Cap Outlay Deprec 26'!E15</f>
        <v>1030893</v>
      </c>
      <c r="D3453" s="2" t="str">
        <f t="shared" si="52"/>
        <v>Error?</v>
      </c>
    </row>
    <row r="3454" spans="1:4" x14ac:dyDescent="0.2">
      <c r="A3454" s="5">
        <v>3393</v>
      </c>
      <c r="B3454" s="138">
        <f>'Cap Outlay Deprec 26'!F15</f>
        <v>6338689</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6338689</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36515443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116602141</v>
      </c>
      <c r="C4122" s="2" t="s">
        <v>594</v>
      </c>
      <c r="D4122" s="2" t="str">
        <f t="shared" si="63"/>
        <v>Error?</v>
      </c>
    </row>
    <row r="4123" spans="1:4" x14ac:dyDescent="0.2">
      <c r="A4123" s="5">
        <v>4062</v>
      </c>
      <c r="B4123" s="138">
        <f>'Acct Summary 7-8'!D10</f>
        <v>5452342</v>
      </c>
      <c r="C4123" s="2" t="s">
        <v>594</v>
      </c>
      <c r="D4123" s="2" t="str">
        <f t="shared" si="63"/>
        <v>Error?</v>
      </c>
    </row>
    <row r="4124" spans="1:4" x14ac:dyDescent="0.2">
      <c r="A4124" s="5">
        <v>4063</v>
      </c>
      <c r="B4124" s="138">
        <f>'Acct Summary 7-8'!E10</f>
        <v>1387582</v>
      </c>
      <c r="C4124" s="2" t="s">
        <v>594</v>
      </c>
      <c r="D4124" s="2" t="str">
        <f t="shared" si="63"/>
        <v>Error?</v>
      </c>
    </row>
    <row r="4125" spans="1:4" x14ac:dyDescent="0.2">
      <c r="A4125" s="5">
        <v>4064</v>
      </c>
      <c r="B4125" s="138">
        <f>'Acct Summary 7-8'!F10</f>
        <v>2752778</v>
      </c>
      <c r="C4125" s="2" t="s">
        <v>594</v>
      </c>
      <c r="D4125" s="2" t="str">
        <f t="shared" si="63"/>
        <v>Error?</v>
      </c>
    </row>
    <row r="4126" spans="1:4" x14ac:dyDescent="0.2">
      <c r="A4126" s="5">
        <v>4065</v>
      </c>
      <c r="B4126" s="138">
        <f>'Acct Summary 7-8'!G10</f>
        <v>2401560</v>
      </c>
      <c r="C4126" s="2" t="s">
        <v>594</v>
      </c>
      <c r="D4126" s="2" t="str">
        <f t="shared" si="63"/>
        <v>Error?</v>
      </c>
    </row>
    <row r="4127" spans="1:4" x14ac:dyDescent="0.2">
      <c r="A4127" s="5">
        <v>4066</v>
      </c>
      <c r="B4127" s="138">
        <f>'Acct Summary 7-8'!H10</f>
        <v>9407075</v>
      </c>
      <c r="C4127" s="2" t="s">
        <v>594</v>
      </c>
      <c r="D4127" s="2" t="str">
        <f t="shared" si="63"/>
        <v>Error?</v>
      </c>
    </row>
    <row r="4128" spans="1:4" x14ac:dyDescent="0.2">
      <c r="A4128" s="5">
        <v>4067</v>
      </c>
      <c r="B4128" s="138">
        <f>'Acct Summary 7-8'!I10</f>
        <v>23510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36515443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114533349</v>
      </c>
      <c r="C4136" s="2" t="s">
        <v>594</v>
      </c>
      <c r="D4136" s="2" t="str">
        <f t="shared" si="63"/>
        <v>Error?</v>
      </c>
    </row>
    <row r="4137" spans="1:4" x14ac:dyDescent="0.2">
      <c r="A4137" s="5">
        <v>4076</v>
      </c>
      <c r="B4137" s="138">
        <f>'Acct Summary 7-8'!D19</f>
        <v>6642871</v>
      </c>
      <c r="C4137" s="2" t="s">
        <v>594</v>
      </c>
      <c r="D4137" s="2" t="str">
        <f t="shared" si="63"/>
        <v>Error?</v>
      </c>
    </row>
    <row r="4138" spans="1:4" x14ac:dyDescent="0.2">
      <c r="A4138" s="5">
        <v>4077</v>
      </c>
      <c r="B4138" s="138">
        <f>'Acct Summary 7-8'!E19</f>
        <v>1371539</v>
      </c>
      <c r="C4138" s="2" t="s">
        <v>594</v>
      </c>
      <c r="D4138" s="2" t="str">
        <f t="shared" si="63"/>
        <v>Error?</v>
      </c>
    </row>
    <row r="4139" spans="1:4" x14ac:dyDescent="0.2">
      <c r="A4139" s="5">
        <v>4078</v>
      </c>
      <c r="B4139" s="138">
        <f>'Acct Summary 7-8'!F19</f>
        <v>3644910</v>
      </c>
      <c r="C4139" s="2" t="s">
        <v>594</v>
      </c>
      <c r="D4139" s="2" t="str">
        <f t="shared" si="63"/>
        <v>Error?</v>
      </c>
    </row>
    <row r="4140" spans="1:4" x14ac:dyDescent="0.2">
      <c r="A4140" s="5">
        <v>4079</v>
      </c>
      <c r="B4140" s="138">
        <f>'Acct Summary 7-8'!G19</f>
        <v>2249815</v>
      </c>
      <c r="C4140" s="2" t="s">
        <v>594</v>
      </c>
      <c r="D4140" s="2" t="str">
        <f t="shared" si="63"/>
        <v>Error?</v>
      </c>
    </row>
    <row r="4141" spans="1:4" x14ac:dyDescent="0.2">
      <c r="A4141" s="5">
        <v>4080</v>
      </c>
      <c r="B4141" s="138">
        <f>'Acct Summary 7-8'!H19</f>
        <v>9553817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81801751</v>
      </c>
      <c r="C4171" s="2" t="s">
        <v>594</v>
      </c>
      <c r="D4171" s="2" t="str">
        <f t="shared" si="64"/>
        <v>Error?</v>
      </c>
    </row>
    <row r="4172" spans="1:4" x14ac:dyDescent="0.2">
      <c r="A4172" s="5">
        <v>4111</v>
      </c>
      <c r="B4172" s="138">
        <f>'Short-Term Long-Term Debt 24'!J49</f>
        <v>81661861</v>
      </c>
      <c r="C4172" s="2" t="s">
        <v>594</v>
      </c>
      <c r="D4172" s="2" t="str">
        <f t="shared" si="64"/>
        <v>Error?</v>
      </c>
    </row>
    <row r="4173" spans="1:4" x14ac:dyDescent="0.2">
      <c r="A4173" s="5">
        <v>4112</v>
      </c>
      <c r="B4173" s="138">
        <f>'Short-Term Long-Term Debt 24'!H49</f>
        <v>765000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52116655</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2315.9</v>
      </c>
      <c r="C4265" s="2" t="s">
        <v>594</v>
      </c>
      <c r="D4265" s="2" t="str">
        <f t="shared" si="65"/>
        <v>Error?</v>
      </c>
      <c r="E4265" s="128"/>
    </row>
    <row r="4266" spans="1:5" x14ac:dyDescent="0.2">
      <c r="A4266" s="12">
        <v>4205</v>
      </c>
      <c r="B4266" s="138">
        <f>('FP Info 3'!F10)*100000</f>
        <v>192.1</v>
      </c>
      <c r="C4266" s="2" t="s">
        <v>594</v>
      </c>
      <c r="D4266" s="2" t="str">
        <f t="shared" si="65"/>
        <v>Error?</v>
      </c>
      <c r="E4266" s="128"/>
    </row>
    <row r="4267" spans="1:5" x14ac:dyDescent="0.2">
      <c r="A4267" s="12">
        <v>4206</v>
      </c>
      <c r="B4267" s="138">
        <f>('FP Info 3'!H10)*100000</f>
        <v>53.8</v>
      </c>
      <c r="C4267" s="2" t="s">
        <v>594</v>
      </c>
      <c r="D4267" s="2" t="str">
        <f t="shared" si="65"/>
        <v>Error?</v>
      </c>
      <c r="E4267" s="128"/>
    </row>
    <row r="4268" spans="1:5" x14ac:dyDescent="0.2">
      <c r="A4268" s="12">
        <v>4207</v>
      </c>
      <c r="B4268" s="138">
        <f>('FP Info 3'!J10)*100000</f>
        <v>2562</v>
      </c>
      <c r="C4268" s="2" t="s">
        <v>594</v>
      </c>
      <c r="D4268" s="2" t="str">
        <f t="shared" si="65"/>
        <v>Error?</v>
      </c>
    </row>
    <row r="4269" spans="1:5" x14ac:dyDescent="0.2">
      <c r="A4269" s="12">
        <v>4208</v>
      </c>
      <c r="B4269" s="138">
        <f>'FP Info 3'!J16</f>
        <v>46844370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74972</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121800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48370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131363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6100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58954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1197</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32803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19508</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2705254056</v>
      </c>
      <c r="D4995" s="2" t="str">
        <f t="shared" si="77"/>
        <v>Error?</v>
      </c>
    </row>
    <row r="4996" spans="1:4" x14ac:dyDescent="0.2">
      <c r="A4996" s="12">
        <v>4935</v>
      </c>
      <c r="B4996" s="138">
        <f>'FP Info 3'!H31</f>
        <v>186662529.86400002</v>
      </c>
      <c r="D4996" s="2" t="str">
        <f t="shared" si="77"/>
        <v>Error?</v>
      </c>
    </row>
    <row r="4997" spans="1:4" x14ac:dyDescent="0.2">
      <c r="A4997" s="12">
        <v>4936</v>
      </c>
      <c r="B4997" s="138">
        <f>'FP Info 3'!H37</f>
        <v>81801751</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60601029</v>
      </c>
      <c r="D5061" s="2" t="str">
        <f t="shared" si="78"/>
        <v>Error?</v>
      </c>
    </row>
    <row r="5062" spans="1:4" x14ac:dyDescent="0.2">
      <c r="A5062" s="10">
        <v>5001</v>
      </c>
      <c r="D5062" s="2" t="str">
        <f t="shared" si="78"/>
        <v>OK</v>
      </c>
    </row>
    <row r="5063" spans="1:4" x14ac:dyDescent="0.2">
      <c r="A5063" s="5">
        <v>5002</v>
      </c>
      <c r="B5063" s="138">
        <f>'Revenues 9-14'!C7</f>
        <v>1760262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62361291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1040367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1040367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101022</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132000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233022</v>
      </c>
      <c r="C5087" s="2" t="s">
        <v>594</v>
      </c>
      <c r="D5087" s="2" t="str">
        <f t="shared" si="78"/>
        <v>Error?</v>
      </c>
    </row>
    <row r="5088" spans="1:4" x14ac:dyDescent="0.2">
      <c r="A5088" s="5">
        <v>5027</v>
      </c>
      <c r="B5088" s="138">
        <f>'Revenues 9-14'!C65</f>
        <v>818201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818201</v>
      </c>
      <c r="C5090" s="2" t="s">
        <v>594</v>
      </c>
      <c r="D5090" s="2" t="str">
        <f t="shared" si="78"/>
        <v>Error?</v>
      </c>
    </row>
    <row r="5091" spans="1:4" x14ac:dyDescent="0.2">
      <c r="A5091" s="5">
        <v>5030</v>
      </c>
      <c r="B5091" s="138">
        <f>'Revenues 9-14'!C70</f>
        <v>13779</v>
      </c>
      <c r="D5091" s="2" t="str">
        <f t="shared" si="78"/>
        <v>Error?</v>
      </c>
    </row>
    <row r="5092" spans="1:4" x14ac:dyDescent="0.2">
      <c r="A5092" s="5">
        <v>5031</v>
      </c>
      <c r="B5092" s="138">
        <f>'Revenues 9-14'!C71</f>
        <v>557920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13109</v>
      </c>
      <c r="D5094" s="2" t="str">
        <f t="shared" si="78"/>
        <v>Error?</v>
      </c>
    </row>
    <row r="5095" spans="1:4" x14ac:dyDescent="0.2">
      <c r="A5095" s="5">
        <v>5034</v>
      </c>
      <c r="B5095" s="138">
        <f>'Revenues 9-14'!C74</f>
        <v>635</v>
      </c>
      <c r="D5095" s="2" t="str">
        <f t="shared" si="78"/>
        <v>Error?</v>
      </c>
    </row>
    <row r="5096" spans="1:4" x14ac:dyDescent="0.2">
      <c r="A5096" s="5">
        <v>5035</v>
      </c>
      <c r="B5096" s="138">
        <f>'Revenues 9-14'!C75</f>
        <v>965178</v>
      </c>
      <c r="C5096" s="2" t="s">
        <v>594</v>
      </c>
      <c r="D5096" s="2" t="str">
        <f t="shared" si="78"/>
        <v>Error?</v>
      </c>
    </row>
    <row r="5097" spans="1:4" x14ac:dyDescent="0.2">
      <c r="A5097" s="5">
        <v>5036</v>
      </c>
      <c r="B5097" s="138">
        <f>'Revenues 9-14'!C77</f>
        <v>231207</v>
      </c>
      <c r="D5097" s="2" t="str">
        <f t="shared" si="78"/>
        <v>Error?</v>
      </c>
    </row>
    <row r="5098" spans="1:4" x14ac:dyDescent="0.2">
      <c r="A5098" s="5">
        <v>5037</v>
      </c>
      <c r="B5098" s="138">
        <f>'Revenues 9-14'!C78</f>
        <v>215350</v>
      </c>
      <c r="D5098" s="2" t="str">
        <f t="shared" si="78"/>
        <v>Error?</v>
      </c>
    </row>
    <row r="5099" spans="1:4" x14ac:dyDescent="0.2">
      <c r="A5099" s="5">
        <v>5038</v>
      </c>
      <c r="B5099" s="138">
        <f>'Revenues 9-14'!C79</f>
        <v>557653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616561</v>
      </c>
      <c r="D5101" s="2" t="str">
        <f t="shared" si="78"/>
        <v>Error?</v>
      </c>
    </row>
    <row r="5102" spans="1:4" x14ac:dyDescent="0.2">
      <c r="A5102" s="5">
        <v>5041</v>
      </c>
      <c r="B5102" s="138">
        <f>'Revenues 9-14'!C82</f>
        <v>1620771</v>
      </c>
      <c r="C5102" s="2" t="s">
        <v>594</v>
      </c>
      <c r="D5102" s="2" t="str">
        <f t="shared" si="78"/>
        <v>Error?</v>
      </c>
    </row>
    <row r="5103" spans="1:4" x14ac:dyDescent="0.2">
      <c r="A5103" s="5">
        <v>5042</v>
      </c>
      <c r="B5103" s="138">
        <f>'Revenues 9-14'!C84</f>
        <v>1104370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182</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250</v>
      </c>
      <c r="D5111" s="2" t="str">
        <f t="shared" si="78"/>
        <v>Error?</v>
      </c>
    </row>
    <row r="5112" spans="1:4" x14ac:dyDescent="0.2">
      <c r="A5112" s="5">
        <v>5051</v>
      </c>
      <c r="B5112" s="138">
        <f>'Revenues 9-14'!C93</f>
        <v>1104802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14532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54844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115661</v>
      </c>
      <c r="D5118" s="2" t="str">
        <f t="shared" si="78"/>
        <v>Error?</v>
      </c>
    </row>
    <row r="5119" spans="1:4" x14ac:dyDescent="0.2">
      <c r="A5119" s="5">
        <v>5058</v>
      </c>
      <c r="B5119" s="138">
        <f>'Revenues 9-14'!C107</f>
        <v>2796998</v>
      </c>
      <c r="D5119" s="2" t="str">
        <f t="shared" ref="D5119:D5182" si="79">IF(ISBLANK(B5119),"OK",IF(A5119-B5119=0,"OK","Error?"))</f>
        <v>Error?</v>
      </c>
    </row>
    <row r="5120" spans="1:4" x14ac:dyDescent="0.2">
      <c r="A5120" s="5">
        <v>5059</v>
      </c>
      <c r="B5120" s="138">
        <f>'Revenues 9-14'!C108</f>
        <v>3092586</v>
      </c>
      <c r="C5120" s="2" t="s">
        <v>594</v>
      </c>
      <c r="D5120" s="2" t="str">
        <f t="shared" si="79"/>
        <v>Error?</v>
      </c>
    </row>
    <row r="5121" spans="1:4" x14ac:dyDescent="0.2">
      <c r="A5121" s="5">
        <v>5060</v>
      </c>
      <c r="B5121" s="138">
        <f>'Revenues 9-14'!C109</f>
        <v>71236218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5110126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5110126</v>
      </c>
      <c r="C5132" s="2" t="s">
        <v>594</v>
      </c>
      <c r="D5132" s="2" t="str">
        <f t="shared" si="79"/>
        <v>Error?</v>
      </c>
    </row>
    <row r="5133" spans="1:4" x14ac:dyDescent="0.2">
      <c r="A5133" s="5">
        <v>5072</v>
      </c>
      <c r="B5133" s="138">
        <f>'Revenues 9-14'!C124</f>
        <v>282719</v>
      </c>
      <c r="D5133" s="2" t="str">
        <f t="shared" si="79"/>
        <v>Error?</v>
      </c>
    </row>
    <row r="5134" spans="1:4" x14ac:dyDescent="0.2">
      <c r="A5134" s="5">
        <v>5073</v>
      </c>
      <c r="B5134" s="138">
        <f>'Revenues 9-14'!C125</f>
        <v>197164</v>
      </c>
      <c r="D5134" s="2" t="str">
        <f t="shared" si="79"/>
        <v>Error?</v>
      </c>
    </row>
    <row r="5135" spans="1:4" x14ac:dyDescent="0.2">
      <c r="A5135" s="5">
        <v>5074</v>
      </c>
      <c r="B5135" s="138">
        <f>'Revenues 9-14'!C126</f>
        <v>220284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700167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139324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139324</v>
      </c>
      <c r="C5161" s="2" t="s">
        <v>594</v>
      </c>
      <c r="D5161" s="2" t="str">
        <f t="shared" si="79"/>
        <v>Error?</v>
      </c>
    </row>
    <row r="5162" spans="1:4" x14ac:dyDescent="0.2">
      <c r="A5162" s="10">
        <v>5101</v>
      </c>
      <c r="D5162" s="2" t="str">
        <f t="shared" si="79"/>
        <v>OK</v>
      </c>
    </row>
    <row r="5163" spans="1:4" x14ac:dyDescent="0.2">
      <c r="A5163" s="5">
        <v>5102</v>
      </c>
      <c r="B5163" s="138">
        <f>'Revenues 9-14'!C142</f>
        <v>21506</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21506</v>
      </c>
      <c r="C5165" s="2" t="s">
        <v>594</v>
      </c>
      <c r="D5165" s="2" t="str">
        <f t="shared" si="79"/>
        <v>Error?</v>
      </c>
    </row>
    <row r="5166" spans="1:4" x14ac:dyDescent="0.2">
      <c r="A5166" s="10">
        <v>5105</v>
      </c>
      <c r="D5166" s="2" t="str">
        <f t="shared" si="79"/>
        <v>OK</v>
      </c>
    </row>
    <row r="5167" spans="1:4" x14ac:dyDescent="0.2">
      <c r="A5167" s="5">
        <v>5106</v>
      </c>
      <c r="B5167" s="138">
        <f>'Revenues 9-14'!C145</f>
        <v>3866</v>
      </c>
      <c r="D5167" s="2" t="str">
        <f t="shared" si="79"/>
        <v>Error?</v>
      </c>
    </row>
    <row r="5168" spans="1:4" x14ac:dyDescent="0.2">
      <c r="A5168" s="5">
        <v>5107</v>
      </c>
      <c r="B5168" s="138">
        <f>'Revenues 9-14'!C147</f>
        <v>188338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1086004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6196130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384855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54475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514302</v>
      </c>
      <c r="C5246" s="2" t="s">
        <v>594</v>
      </c>
      <c r="D5246" s="2" t="str">
        <f t="shared" si="80"/>
        <v>Error?</v>
      </c>
    </row>
    <row r="5247" spans="1:4" x14ac:dyDescent="0.2">
      <c r="A5247" s="5">
        <v>5186</v>
      </c>
      <c r="B5247" s="138">
        <f>'Revenues 9-14'!C203</f>
        <v>428666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6100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428666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1182936</v>
      </c>
      <c r="D5278" s="2" t="str">
        <f t="shared" si="81"/>
        <v>Error?</v>
      </c>
    </row>
    <row r="5279" spans="1:4" x14ac:dyDescent="0.2">
      <c r="A5279" s="5">
        <v>5218</v>
      </c>
      <c r="B5279" s="138">
        <f>'Revenues 9-14'!C221</f>
        <v>142351</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1325287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121800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2654350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2654350</v>
      </c>
      <c r="C5326" s="2" t="s">
        <v>594</v>
      </c>
      <c r="D5326" s="2" t="str">
        <f t="shared" si="82"/>
        <v>Error?</v>
      </c>
    </row>
    <row r="5327" spans="1:4" x14ac:dyDescent="0.2">
      <c r="A5327" s="5">
        <v>5266</v>
      </c>
      <c r="B5327" s="138">
        <f>'Revenues 9-14'!C275</f>
        <v>80086698</v>
      </c>
      <c r="C5327" s="2" t="s">
        <v>594</v>
      </c>
      <c r="D5327" s="2" t="str">
        <f t="shared" si="82"/>
        <v>Error?</v>
      </c>
    </row>
    <row r="5328" spans="1:4" x14ac:dyDescent="0.2">
      <c r="A5328" s="5">
        <v>5267</v>
      </c>
      <c r="B5328" s="138">
        <f>'Revenues 9-14'!D5</f>
        <v>5068494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5068494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109247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109247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177805</v>
      </c>
      <c r="D5345" s="2" t="str">
        <f t="shared" si="82"/>
        <v>Error?</v>
      </c>
    </row>
    <row r="5346" spans="1:4" x14ac:dyDescent="0.2">
      <c r="A5346" s="5">
        <v>5285</v>
      </c>
      <c r="B5346" s="138">
        <f>'Revenues 9-14'!D80</f>
        <v>0</v>
      </c>
      <c r="D5346" s="2" t="str">
        <f t="shared" si="82"/>
        <v>Error?</v>
      </c>
    </row>
    <row r="5347" spans="1:4" x14ac:dyDescent="0.2">
      <c r="A5347" s="5">
        <v>5286</v>
      </c>
      <c r="B5347" s="138">
        <f>'Revenues 9-14'!D81</f>
        <v>290</v>
      </c>
      <c r="D5347" s="2" t="str">
        <f t="shared" si="82"/>
        <v>Error?</v>
      </c>
    </row>
    <row r="5348" spans="1:4" x14ac:dyDescent="0.2">
      <c r="A5348" s="5">
        <v>5287</v>
      </c>
      <c r="B5348" s="138">
        <f>'Revenues 9-14'!D82</f>
        <v>178095</v>
      </c>
      <c r="C5348" s="2" t="s">
        <v>594</v>
      </c>
      <c r="D5348" s="2" t="str">
        <f t="shared" si="82"/>
        <v>Error?</v>
      </c>
    </row>
    <row r="5349" spans="1:4" x14ac:dyDescent="0.2">
      <c r="A5349" s="5">
        <v>5288</v>
      </c>
      <c r="B5349" s="138">
        <f>'Revenues 9-14'!D95</f>
        <v>92703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3803</v>
      </c>
      <c r="D5354" s="2" t="str">
        <f t="shared" si="82"/>
        <v>Error?</v>
      </c>
    </row>
    <row r="5355" spans="1:4" x14ac:dyDescent="0.2">
      <c r="A5355" s="5">
        <v>5294</v>
      </c>
      <c r="B5355" s="138">
        <f>'Revenues 9-14'!D108</f>
        <v>96506</v>
      </c>
      <c r="C5355" s="2" t="s">
        <v>594</v>
      </c>
      <c r="D5355" s="2" t="str">
        <f t="shared" si="82"/>
        <v>Error?</v>
      </c>
    </row>
    <row r="5356" spans="1:4" x14ac:dyDescent="0.2">
      <c r="A5356" s="5">
        <v>5295</v>
      </c>
      <c r="B5356" s="138">
        <f>'Revenues 9-14'!D109</f>
        <v>5452342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5452342</v>
      </c>
      <c r="C5508" s="2" t="s">
        <v>594</v>
      </c>
      <c r="D5508" s="2" t="str">
        <f t="shared" si="85"/>
        <v>Error?</v>
      </c>
    </row>
    <row r="5509" spans="1:4" x14ac:dyDescent="0.2">
      <c r="A5509" s="5">
        <v>5448</v>
      </c>
      <c r="B5509" s="138">
        <f>'Revenues 9-14'!E5</f>
        <v>1377217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1377217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10365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10365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1387582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1387582</v>
      </c>
      <c r="C5552" s="2" t="s">
        <v>594</v>
      </c>
      <c r="D5552" s="2" t="str">
        <f t="shared" si="85"/>
        <v>Error?</v>
      </c>
    </row>
    <row r="5553" spans="1:4" x14ac:dyDescent="0.2">
      <c r="A5553" s="5">
        <v>5492</v>
      </c>
      <c r="B5553" s="138">
        <f>'Revenues 9-14'!F5</f>
        <v>1418865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1418865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172</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54994</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55166</v>
      </c>
      <c r="C5579" s="2" t="s">
        <v>594</v>
      </c>
      <c r="D5579" s="2" t="str">
        <f t="shared" si="86"/>
        <v>Error?</v>
      </c>
    </row>
    <row r="5580" spans="1:4" x14ac:dyDescent="0.2">
      <c r="A5580" s="5">
        <v>5519</v>
      </c>
      <c r="B5580" s="138">
        <f>'Revenues 9-14'!F65</f>
        <v>68985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68985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1543016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57685</v>
      </c>
      <c r="D5615" s="2" t="str">
        <f t="shared" si="86"/>
        <v>Error?</v>
      </c>
    </row>
    <row r="5616" spans="1:4" x14ac:dyDescent="0.2">
      <c r="A5616" s="10">
        <v>5555</v>
      </c>
      <c r="D5616" s="2" t="str">
        <f t="shared" si="86"/>
        <v>OK</v>
      </c>
    </row>
    <row r="5617" spans="1:4" x14ac:dyDescent="0.2">
      <c r="A5617" s="5">
        <v>5556</v>
      </c>
      <c r="B5617" s="138">
        <f>'Revenues 9-14'!F152</f>
        <v>1152077</v>
      </c>
      <c r="D5617" s="2" t="str">
        <f t="shared" si="86"/>
        <v>Error?</v>
      </c>
    </row>
    <row r="5618" spans="1:4" x14ac:dyDescent="0.2">
      <c r="A5618" s="5">
        <v>5557</v>
      </c>
      <c r="B5618" s="138">
        <f>'Revenues 9-14'!F154</f>
        <v>1209762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1209762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1209762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2752778</v>
      </c>
      <c r="C5720" s="2" t="s">
        <v>594</v>
      </c>
      <c r="D5720" s="2" t="str">
        <f t="shared" si="88"/>
        <v>Error?</v>
      </c>
    </row>
    <row r="5721" spans="1:4" x14ac:dyDescent="0.2">
      <c r="A5721" s="5">
        <v>5660</v>
      </c>
      <c r="B5721" s="138">
        <f>'Revenues 9-14'!G5</f>
        <v>955614</v>
      </c>
      <c r="D5721" s="2" t="str">
        <f t="shared" si="88"/>
        <v>Error?</v>
      </c>
    </row>
    <row r="5722" spans="1:4" x14ac:dyDescent="0.2">
      <c r="A5722" s="5">
        <v>5661</v>
      </c>
      <c r="B5722" s="138">
        <f>'Revenues 9-14'!G7</f>
        <v>0</v>
      </c>
      <c r="D5722" s="2" t="str">
        <f t="shared" si="88"/>
        <v>Error?</v>
      </c>
    </row>
    <row r="5723" spans="1:4" x14ac:dyDescent="0.2">
      <c r="A5723" s="5">
        <v>5662</v>
      </c>
      <c r="B5723" s="138">
        <f>'Revenues 9-14'!G8</f>
        <v>1307569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2263183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94000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94000</v>
      </c>
      <c r="C5730" s="2" t="s">
        <v>594</v>
      </c>
      <c r="D5730" s="2" t="str">
        <f t="shared" si="88"/>
        <v>Error?</v>
      </c>
    </row>
    <row r="5731" spans="1:4" x14ac:dyDescent="0.2">
      <c r="A5731" s="5">
        <v>5670</v>
      </c>
      <c r="B5731" s="138">
        <f>'Revenues 9-14'!G65</f>
        <v>44377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44377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2401560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36583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36583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68107</v>
      </c>
      <c r="D5885" s="2" t="str">
        <f t="shared" si="90"/>
        <v>Error?</v>
      </c>
    </row>
    <row r="5886" spans="1:4" x14ac:dyDescent="0.2">
      <c r="A5886" s="5">
        <v>5825</v>
      </c>
      <c r="B5886" s="138">
        <f>'Revenues 9-14'!H108</f>
        <v>98041</v>
      </c>
      <c r="C5886" s="2" t="s">
        <v>594</v>
      </c>
      <c r="D5886" s="2" t="str">
        <f t="shared" si="90"/>
        <v>Error?</v>
      </c>
    </row>
    <row r="5887" spans="1:4" x14ac:dyDescent="0.2">
      <c r="A5887" s="5">
        <v>5826</v>
      </c>
      <c r="B5887" s="138">
        <f>'Revenues 9-14'!H117</f>
        <v>9272451</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9272451</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9272451</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9407075</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23510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23510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23510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2401560</v>
      </c>
      <c r="C6024" s="2" t="s">
        <v>594</v>
      </c>
      <c r="D6024" s="2" t="str">
        <f t="shared" si="93"/>
        <v>Error?</v>
      </c>
    </row>
    <row r="6025" spans="1:5" x14ac:dyDescent="0.2">
      <c r="A6025" s="5">
        <v>5964</v>
      </c>
      <c r="B6025" s="138">
        <f>'Revenues 9-14'!H109</f>
        <v>134624</v>
      </c>
      <c r="C6025" s="2" t="s">
        <v>594</v>
      </c>
      <c r="D6025" s="2" t="str">
        <f t="shared" si="93"/>
        <v>Error?</v>
      </c>
    </row>
    <row r="6026" spans="1:5" x14ac:dyDescent="0.2">
      <c r="A6026" s="5">
        <v>5965</v>
      </c>
      <c r="B6026" s="138">
        <f>'Revenues 9-14'!I109</f>
        <v>23510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379735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74971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5585.74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964900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277592</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3777</v>
      </c>
      <c r="D6099" s="2" t="str">
        <f t="shared" si="94"/>
        <v>Error?</v>
      </c>
      <c r="E6099" s="2" t="s">
        <v>199</v>
      </c>
    </row>
    <row r="6100" spans="1:5" x14ac:dyDescent="0.2">
      <c r="A6100">
        <v>6039</v>
      </c>
      <c r="B6100" s="138">
        <f>'Assets-Liab 5-6'!D9</f>
        <v>1604</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124739</v>
      </c>
      <c r="D6113" s="2" t="str">
        <f t="shared" si="94"/>
        <v>Error?</v>
      </c>
      <c r="E6113" s="2" t="s">
        <v>199</v>
      </c>
    </row>
    <row r="6114" spans="1:5" x14ac:dyDescent="0.2">
      <c r="A6114">
        <v>6053</v>
      </c>
      <c r="B6114" s="138">
        <f>'Assets-Liab 5-6'!D11</f>
        <v>960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2045570</v>
      </c>
      <c r="D6142" s="2" t="str">
        <f t="shared" si="94"/>
        <v>Error?</v>
      </c>
      <c r="E6142" s="2" t="s">
        <v>199</v>
      </c>
    </row>
    <row r="6143" spans="1:5" x14ac:dyDescent="0.2">
      <c r="A6143">
        <v>6082</v>
      </c>
      <c r="B6143" s="138">
        <f>'Assets-Liab 5-6'!D27</f>
        <v>378122</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481789</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5332488</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7105639</v>
      </c>
      <c r="D6169" s="2" t="str">
        <f t="shared" si="95"/>
        <v>Error?</v>
      </c>
      <c r="E6169" s="2" t="s">
        <v>199</v>
      </c>
    </row>
    <row r="6170" spans="1:5" x14ac:dyDescent="0.2">
      <c r="A6170">
        <v>6109</v>
      </c>
      <c r="B6170" s="138">
        <f>'Assets-Liab 5-6'!D30</f>
        <v>3858</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2068792</v>
      </c>
      <c r="D6267" s="2" t="str">
        <f t="shared" si="96"/>
        <v>Error?</v>
      </c>
      <c r="E6267" s="2" t="s">
        <v>199</v>
      </c>
    </row>
    <row r="6268" spans="1:5" x14ac:dyDescent="0.2">
      <c r="A6268">
        <v>6207</v>
      </c>
      <c r="B6268" s="138">
        <f>'Acct Summary 7-8'!D82</f>
        <v>-1190529</v>
      </c>
      <c r="D6268" s="2" t="str">
        <f t="shared" si="96"/>
        <v>Error?</v>
      </c>
      <c r="E6268" s="2" t="s">
        <v>199</v>
      </c>
    </row>
    <row r="6269" spans="1:5" x14ac:dyDescent="0.2">
      <c r="A6269">
        <v>6208</v>
      </c>
      <c r="B6269" s="138">
        <f>'Acct Summary 7-8'!E82</f>
        <v>16043</v>
      </c>
      <c r="D6269" s="2" t="str">
        <f t="shared" si="96"/>
        <v>Error?</v>
      </c>
      <c r="E6269" s="2" t="s">
        <v>199</v>
      </c>
    </row>
    <row r="6270" spans="1:5" x14ac:dyDescent="0.2">
      <c r="A6270">
        <v>6209</v>
      </c>
      <c r="B6270" s="138">
        <f>'Acct Summary 7-8'!F82</f>
        <v>-892132</v>
      </c>
      <c r="D6270" s="2" t="str">
        <f t="shared" si="96"/>
        <v>Error?</v>
      </c>
      <c r="E6270" s="2" t="s">
        <v>199</v>
      </c>
    </row>
    <row r="6271" spans="1:5" x14ac:dyDescent="0.2">
      <c r="A6271">
        <v>6210</v>
      </c>
      <c r="B6271" s="138">
        <f>'Acct Summary 7-8'!G82</f>
        <v>151745</v>
      </c>
      <c r="D6271" s="2" t="str">
        <f t="shared" ref="D6271:D6334" si="97">IF(ISBLANK(B6271),"OK",IF(A6271-B6271=0,"OK","Error?"))</f>
        <v>Error?</v>
      </c>
      <c r="E6271" s="2" t="s">
        <v>199</v>
      </c>
    </row>
    <row r="6272" spans="1:5" x14ac:dyDescent="0.2">
      <c r="A6272">
        <v>6211</v>
      </c>
      <c r="B6272" s="138">
        <f>'Acct Summary 7-8'!H82</f>
        <v>-146742</v>
      </c>
      <c r="D6272" s="2" t="str">
        <f t="shared" si="97"/>
        <v>Error?</v>
      </c>
      <c r="E6272" s="2" t="s">
        <v>199</v>
      </c>
    </row>
    <row r="6273" spans="1:5" x14ac:dyDescent="0.2">
      <c r="A6273">
        <v>6212</v>
      </c>
      <c r="B6273" s="138">
        <f>'Acct Summary 7-8'!I82</f>
        <v>23510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6.1570490478352301E-2</v>
      </c>
      <c r="D6276" s="2" t="str">
        <f t="shared" si="97"/>
        <v>Error?</v>
      </c>
      <c r="E6276" s="2" t="s">
        <v>199</v>
      </c>
    </row>
    <row r="6277" spans="1:5" x14ac:dyDescent="0.2">
      <c r="A6277">
        <v>6216</v>
      </c>
      <c r="B6277" s="138">
        <f>'Acct Summary 7-8'!D83</f>
        <v>-0.18458102987349104</v>
      </c>
      <c r="D6277" s="2" t="str">
        <f t="shared" si="97"/>
        <v>Error?</v>
      </c>
      <c r="E6277" s="2" t="s">
        <v>199</v>
      </c>
    </row>
    <row r="6278" spans="1:5" x14ac:dyDescent="0.2">
      <c r="A6278">
        <v>6217</v>
      </c>
      <c r="B6278" s="138">
        <f>'Acct Summary 7-8'!E83</f>
        <v>0.11468296518693259</v>
      </c>
      <c r="D6278" s="2" t="str">
        <f t="shared" si="97"/>
        <v>Error?</v>
      </c>
      <c r="E6278" s="2" t="s">
        <v>199</v>
      </c>
    </row>
    <row r="6279" spans="1:5" x14ac:dyDescent="0.2">
      <c r="A6279">
        <v>6218</v>
      </c>
      <c r="B6279" s="138">
        <f>'Acct Summary 7-8'!F83</f>
        <v>-0.18851353293089254</v>
      </c>
      <c r="D6279" s="2" t="str">
        <f t="shared" si="97"/>
        <v>Error?</v>
      </c>
      <c r="E6279" s="2" t="s">
        <v>199</v>
      </c>
    </row>
    <row r="6280" spans="1:5" x14ac:dyDescent="0.2">
      <c r="A6280">
        <v>6219</v>
      </c>
      <c r="B6280" s="138">
        <f>'Acct Summary 7-8'!G83</f>
        <v>5.2107442046373888E-2</v>
      </c>
      <c r="D6280" s="2" t="str">
        <f t="shared" si="97"/>
        <v>Error?</v>
      </c>
      <c r="E6280" s="2" t="s">
        <v>199</v>
      </c>
    </row>
    <row r="6281" spans="1:5" x14ac:dyDescent="0.2">
      <c r="A6281">
        <v>6220</v>
      </c>
      <c r="B6281" s="138">
        <f>'Acct Summary 7-8'!H83</f>
        <v>-2.7826095530913871E-2</v>
      </c>
      <c r="D6281" s="2" t="str">
        <f t="shared" si="97"/>
        <v>Error?</v>
      </c>
      <c r="E6281" s="2" t="s">
        <v>199</v>
      </c>
    </row>
    <row r="6282" spans="1:5" x14ac:dyDescent="0.2">
      <c r="A6282">
        <v>6221</v>
      </c>
      <c r="B6282" s="138">
        <f>'Acct Summary 7-8'!I83</f>
        <v>1.1403581529787309E-2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29934</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51786</v>
      </c>
      <c r="D6339" s="2" t="str">
        <f t="shared" si="98"/>
        <v>Error?</v>
      </c>
      <c r="E6339" s="2" t="s">
        <v>199</v>
      </c>
    </row>
    <row r="6340" spans="1:5" x14ac:dyDescent="0.2">
      <c r="A6340">
        <v>6279</v>
      </c>
      <c r="B6340" s="138">
        <f>'Revenues 9-14'!C102</f>
        <v>57568</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119147</v>
      </c>
      <c r="D6844" s="2" t="str">
        <f t="shared" si="105"/>
        <v>Error?</v>
      </c>
    </row>
    <row r="6845" spans="1:4" x14ac:dyDescent="0.2">
      <c r="A6845">
        <v>6784</v>
      </c>
      <c r="B6845" s="138">
        <f>'Expenditures 15-22'!J5</f>
        <v>128673</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40851</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139115</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21747</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329193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17902</v>
      </c>
      <c r="D6878" s="2" t="str">
        <f t="shared" si="106"/>
        <v>Error?</v>
      </c>
    </row>
    <row r="6879" spans="1:4" x14ac:dyDescent="0.2">
      <c r="A6879">
        <v>6818</v>
      </c>
      <c r="B6879" s="138">
        <f>'Expenditures 15-22'!K21</f>
        <v>17902</v>
      </c>
      <c r="D6879" s="2" t="str">
        <f t="shared" si="106"/>
        <v>Error?</v>
      </c>
    </row>
    <row r="6880" spans="1:4" x14ac:dyDescent="0.2">
      <c r="A6880">
        <v>6819</v>
      </c>
      <c r="B6880" s="138">
        <f>'Expenditures 15-22'!H22</f>
        <v>651627</v>
      </c>
      <c r="D6880" s="2" t="str">
        <f t="shared" si="106"/>
        <v>Error?</v>
      </c>
    </row>
    <row r="6881" spans="1:4" x14ac:dyDescent="0.2">
      <c r="A6881">
        <v>6820</v>
      </c>
      <c r="B6881" s="138">
        <f>'Expenditures 15-22'!K22</f>
        <v>651627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320860</v>
      </c>
      <c r="D6902" s="2" t="str">
        <f t="shared" si="106"/>
        <v>Error?</v>
      </c>
    </row>
    <row r="6903" spans="1:4" x14ac:dyDescent="0.2">
      <c r="A6903">
        <v>6842</v>
      </c>
      <c r="B6903" s="138">
        <f>'Expenditures 15-22'!J33</f>
        <v>128673</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17385</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17385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686631</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40000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726631</v>
      </c>
      <c r="D6940" s="2" t="str">
        <f t="shared" si="107"/>
        <v>Error?</v>
      </c>
    </row>
    <row r="6941" spans="1:4" x14ac:dyDescent="0.2">
      <c r="A6941">
        <v>6880</v>
      </c>
      <c r="B6941" s="138">
        <f>'Expenditures 15-22'!L52</f>
        <v>700000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28725</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28725</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6149</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6149</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158</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785648</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785806</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838065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91427</v>
      </c>
      <c r="D6983" s="2" t="str">
        <f t="shared" si="108"/>
        <v>Error?</v>
      </c>
    </row>
    <row r="6984" spans="1:4" x14ac:dyDescent="0.2">
      <c r="A6984">
        <v>6923</v>
      </c>
      <c r="B6984" s="138">
        <f>'Expenditures 15-22'!K86</f>
        <v>91427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91427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1158925</v>
      </c>
      <c r="D7020" s="2" t="str">
        <f t="shared" si="108"/>
        <v>Error?</v>
      </c>
    </row>
    <row r="7021" spans="1:4" x14ac:dyDescent="0.2">
      <c r="A7021">
        <v>6960</v>
      </c>
      <c r="B7021" s="138">
        <f>'Expenditures 15-22'!J114</f>
        <v>128673</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53355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53355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53355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53355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27628</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27628</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27628</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2722</v>
      </c>
      <c r="D7079" s="2" t="str">
        <f t="shared" si="109"/>
        <v>Error?</v>
      </c>
    </row>
    <row r="7080" spans="1:4" x14ac:dyDescent="0.2">
      <c r="A7080">
        <v>7019</v>
      </c>
      <c r="B7080" s="138">
        <f>'Expenditures 15-22'!K226</f>
        <v>2722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209602</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209602</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209602</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198969</v>
      </c>
      <c r="D7263" s="2" t="str">
        <f t="shared" si="112"/>
        <v>Error?</v>
      </c>
    </row>
    <row r="7264" spans="1:4" x14ac:dyDescent="0.2">
      <c r="A7264">
        <f t="shared" si="113"/>
        <v>7203</v>
      </c>
      <c r="B7264" s="138">
        <f>'Expenditures 15-22'!D17</f>
        <v>57200</v>
      </c>
      <c r="D7264" s="2" t="str">
        <f t="shared" si="112"/>
        <v>Error?</v>
      </c>
    </row>
    <row r="7265" spans="1:5" x14ac:dyDescent="0.2">
      <c r="A7265">
        <f t="shared" si="113"/>
        <v>7204</v>
      </c>
      <c r="B7265" s="138">
        <f>'Expenditures 15-22'!E17</f>
        <v>55933</v>
      </c>
      <c r="D7265" s="2" t="str">
        <f t="shared" si="112"/>
        <v>Error?</v>
      </c>
    </row>
    <row r="7266" spans="1:5" x14ac:dyDescent="0.2">
      <c r="A7266">
        <f t="shared" si="113"/>
        <v>7205</v>
      </c>
      <c r="B7266" s="138">
        <f>'Expenditures 15-22'!F17</f>
        <v>17091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1449510</v>
      </c>
      <c r="D7624" s="2" t="str">
        <f t="shared" si="124"/>
        <v>Error?</v>
      </c>
      <c r="E7624" s="2" t="s">
        <v>19</v>
      </c>
    </row>
    <row r="7625" spans="1:5" x14ac:dyDescent="0.2">
      <c r="A7625">
        <f t="shared" si="123"/>
        <v>7564</v>
      </c>
      <c r="B7625" s="138">
        <f>'Cap Outlay Deprec 26'!I17</f>
        <v>144951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2744052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51786</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188338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240124</v>
      </c>
      <c r="D7719" s="2" t="str">
        <f t="shared" si="126"/>
        <v>Error?</v>
      </c>
      <c r="E7719" s="2" t="s">
        <v>881</v>
      </c>
    </row>
    <row r="7720" spans="1:6" x14ac:dyDescent="0.2">
      <c r="A7720">
        <v>7659</v>
      </c>
      <c r="B7720" s="138">
        <f>'Rest Tax Levies-Tort Im 25'!H14</f>
        <v>1760262</v>
      </c>
      <c r="D7720" s="2" t="str">
        <f t="shared" si="126"/>
        <v>Error?</v>
      </c>
      <c r="E7720" s="2" t="s">
        <v>881</v>
      </c>
    </row>
    <row r="7721" spans="1:6" x14ac:dyDescent="0.2">
      <c r="A7721">
        <v>7660</v>
      </c>
      <c r="B7721" s="138">
        <f>'Rest Tax Levies-Tort Im 25'!K14</f>
        <v>240124</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-341863</v>
      </c>
      <c r="D7758" s="2" t="str">
        <f t="shared" si="127"/>
        <v>Error?</v>
      </c>
      <c r="E7758" s="4" t="s">
        <v>1400</v>
      </c>
    </row>
    <row r="7759" spans="1:6" x14ac:dyDescent="0.2">
      <c r="A7759">
        <v>7698</v>
      </c>
      <c r="B7759" s="138">
        <f>'Aud Quest 2'!J88</f>
        <v>341863</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7689831.0199999996</v>
      </c>
      <c r="D7797" s="2" t="str">
        <f t="shared" si="127"/>
        <v>Error?</v>
      </c>
      <c r="E7797" s="4" t="s">
        <v>2016</v>
      </c>
    </row>
    <row r="7798" spans="1:5" x14ac:dyDescent="0.2">
      <c r="A7798">
        <v>7737</v>
      </c>
      <c r="B7798" s="138">
        <f>'Contracts Paid in CY 29'!F141</f>
        <v>800000</v>
      </c>
      <c r="D7798" s="2" t="str">
        <f t="shared" si="127"/>
        <v>Error?</v>
      </c>
      <c r="E7798" s="4" t="s">
        <v>2016</v>
      </c>
    </row>
    <row r="7799" spans="1:5" x14ac:dyDescent="0.2">
      <c r="A7799">
        <v>7738</v>
      </c>
      <c r="B7799" s="138">
        <f>'Contracts Paid in CY 29'!G141</f>
        <v>6889831.0199999996</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D19" sqref="AD19"/>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91" t="s">
        <v>1253</v>
      </c>
      <c r="B2" s="2491"/>
      <c r="C2" s="2491"/>
      <c r="D2" s="2491"/>
      <c r="E2" s="2491"/>
      <c r="F2" s="2491"/>
      <c r="G2" s="2491"/>
      <c r="H2" s="2491"/>
      <c r="I2" s="2491"/>
      <c r="J2" s="2491"/>
      <c r="K2" s="2491"/>
      <c r="L2" s="2491"/>
    </row>
    <row r="3" spans="1:29" ht="13.5" customHeight="1" x14ac:dyDescent="0.2">
      <c r="A3" s="2477" t="s">
        <v>1252</v>
      </c>
      <c r="B3" s="2477"/>
      <c r="C3" s="2477"/>
      <c r="D3" s="2477"/>
      <c r="E3" s="2477"/>
      <c r="F3" s="2477"/>
      <c r="G3" s="2477"/>
      <c r="H3" s="2477"/>
      <c r="I3" s="2477"/>
      <c r="J3" s="2477"/>
      <c r="K3" s="2477"/>
      <c r="L3" s="2477"/>
    </row>
    <row r="4" spans="1:29" ht="13.5" customHeight="1" x14ac:dyDescent="0.2">
      <c r="A4" s="2491" t="s">
        <v>1799</v>
      </c>
      <c r="B4" s="2508"/>
      <c r="C4" s="2508"/>
      <c r="D4" s="2508"/>
      <c r="E4" s="2508"/>
      <c r="F4" s="2508"/>
      <c r="G4" s="2508"/>
      <c r="H4" s="2508"/>
      <c r="I4" s="2508"/>
      <c r="J4" s="2508"/>
      <c r="K4" s="2508"/>
      <c r="L4" s="250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71" t="str">
        <f>COVER!A17</f>
        <v>CHSD 155 Crystal Lake</v>
      </c>
      <c r="B7" s="2472"/>
      <c r="C7" s="2472"/>
      <c r="D7" s="2509"/>
      <c r="E7" s="2510">
        <f>COVER!A13</f>
        <v>44063155016</v>
      </c>
      <c r="F7" s="2511"/>
      <c r="G7" s="2478" t="str">
        <f>COVER!T23</f>
        <v>065-036379</v>
      </c>
      <c r="H7" s="2479"/>
      <c r="I7" s="2479"/>
      <c r="J7" s="2479"/>
      <c r="K7" s="2479"/>
      <c r="L7" s="248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81"/>
      <c r="B9" s="2482"/>
      <c r="C9" s="2482"/>
      <c r="D9" s="2482"/>
      <c r="E9" s="2482"/>
      <c r="F9" s="2483"/>
      <c r="G9" s="2484" t="str">
        <f>COVER!T13</f>
        <v>Tighe, Kress, &amp; Orr, P.C.</v>
      </c>
      <c r="H9" s="2485"/>
      <c r="I9" s="2485"/>
      <c r="J9" s="2485"/>
      <c r="K9" s="2485"/>
      <c r="L9" s="2486"/>
    </row>
    <row r="10" spans="1:29" ht="13.5" customHeight="1" x14ac:dyDescent="0.2">
      <c r="A10" s="2468" t="str">
        <f>COVER!A38</f>
        <v>Steve Olson</v>
      </c>
      <c r="B10" s="2469"/>
      <c r="C10" s="2469"/>
      <c r="D10" s="2469"/>
      <c r="E10" s="2469"/>
      <c r="F10" s="2470"/>
      <c r="G10" s="2484" t="str">
        <f>COVER!T17</f>
        <v>2001 Larkin Ave, Suite 202</v>
      </c>
      <c r="H10" s="2497"/>
      <c r="I10" s="2497"/>
      <c r="J10" s="2497"/>
      <c r="K10" s="2497"/>
      <c r="L10" s="2498"/>
    </row>
    <row r="11" spans="1:29" ht="13.5" customHeight="1" x14ac:dyDescent="0.2">
      <c r="A11" s="1185" t="s">
        <v>1599</v>
      </c>
      <c r="B11" s="1186"/>
      <c r="C11" s="1187"/>
      <c r="D11" s="1192"/>
      <c r="E11" s="1187"/>
      <c r="F11" s="1191"/>
      <c r="G11" s="2484" t="str">
        <f>COVER!T19</f>
        <v>Elgin</v>
      </c>
      <c r="H11" s="2497"/>
      <c r="I11" s="2497"/>
      <c r="J11" s="2497"/>
      <c r="K11" s="2497"/>
      <c r="L11" s="2498"/>
    </row>
    <row r="12" spans="1:29" ht="13.5" customHeight="1" x14ac:dyDescent="0.2">
      <c r="A12" s="2502" t="s">
        <v>1598</v>
      </c>
      <c r="B12" s="2503"/>
      <c r="C12" s="2503"/>
      <c r="D12" s="2503"/>
      <c r="E12" s="2503"/>
      <c r="F12" s="2504"/>
      <c r="G12" s="2499"/>
      <c r="H12" s="2500"/>
      <c r="I12" s="2500"/>
      <c r="J12" s="2500"/>
      <c r="K12" s="2500"/>
      <c r="L12" s="2501"/>
    </row>
    <row r="13" spans="1:29" ht="13.5" customHeight="1" x14ac:dyDescent="0.2">
      <c r="A13" s="2484"/>
      <c r="B13" s="2497"/>
      <c r="C13" s="2497"/>
      <c r="D13" s="2497"/>
      <c r="E13" s="2497"/>
      <c r="F13" s="2498"/>
      <c r="G13" s="2492" t="s">
        <v>1600</v>
      </c>
      <c r="H13" s="2493"/>
      <c r="I13" s="2505" t="str">
        <f>COVER!T25</f>
        <v>Cynthia.Petschke@tkocpa.com</v>
      </c>
      <c r="J13" s="2506"/>
      <c r="K13" s="2506"/>
      <c r="L13" s="2507"/>
    </row>
    <row r="14" spans="1:29" ht="13.5" customHeight="1" x14ac:dyDescent="0.2">
      <c r="A14" s="2484" t="str">
        <f>COVER!A19</f>
        <v>One South Virginia Avenue</v>
      </c>
      <c r="B14" s="2497"/>
      <c r="C14" s="2497"/>
      <c r="D14" s="2497"/>
      <c r="E14" s="2497"/>
      <c r="F14" s="2498"/>
      <c r="G14" s="1196" t="s">
        <v>1247</v>
      </c>
      <c r="H14" s="1194"/>
      <c r="I14" s="1194"/>
      <c r="J14" s="1194"/>
      <c r="K14" s="1194"/>
      <c r="L14" s="1195"/>
    </row>
    <row r="15" spans="1:29" ht="13.5" customHeight="1" x14ac:dyDescent="0.2">
      <c r="A15" s="2484" t="str">
        <f>COVER!A21</f>
        <v>Crystal Lake</v>
      </c>
      <c r="B15" s="2497"/>
      <c r="C15" s="2497"/>
      <c r="D15" s="2497"/>
      <c r="E15" s="2497"/>
      <c r="F15" s="2498"/>
      <c r="G15" s="2494" t="str">
        <f>COVER!T15</f>
        <v>Cynthia Petschke</v>
      </c>
      <c r="H15" s="2495"/>
      <c r="I15" s="2495"/>
      <c r="J15" s="2495"/>
      <c r="K15" s="2495"/>
      <c r="L15" s="2496"/>
    </row>
    <row r="16" spans="1:29" ht="12.2" customHeight="1" x14ac:dyDescent="0.2">
      <c r="A16" s="2474">
        <f>COVER!A25</f>
        <v>60014</v>
      </c>
      <c r="B16" s="2475"/>
      <c r="C16" s="2475"/>
      <c r="D16" s="2475"/>
      <c r="E16" s="2475"/>
      <c r="F16" s="2476"/>
      <c r="G16" s="2487"/>
      <c r="H16" s="2488"/>
      <c r="I16" s="2488"/>
      <c r="J16" s="2488"/>
      <c r="K16" s="2488"/>
      <c r="L16" s="2489"/>
    </row>
    <row r="17" spans="1:13" ht="12.2" customHeight="1" x14ac:dyDescent="0.2">
      <c r="A17" s="2490"/>
      <c r="B17" s="2475"/>
      <c r="C17" s="2475"/>
      <c r="D17" s="2475"/>
      <c r="E17" s="2475"/>
      <c r="F17" s="2476"/>
      <c r="G17" s="1196" t="s">
        <v>1246</v>
      </c>
      <c r="H17" s="1194"/>
      <c r="I17" s="1194"/>
      <c r="J17" s="1194"/>
      <c r="K17" s="1198" t="s">
        <v>1245</v>
      </c>
      <c r="L17" s="1191"/>
      <c r="M17" s="1184"/>
    </row>
    <row r="18" spans="1:13" ht="12.2" customHeight="1" x14ac:dyDescent="0.2">
      <c r="A18" s="2468"/>
      <c r="B18" s="2469"/>
      <c r="C18" s="2469"/>
      <c r="D18" s="2469"/>
      <c r="E18" s="2469"/>
      <c r="F18" s="2470"/>
      <c r="G18" s="2471" t="str">
        <f>COVER!T21</f>
        <v>847-695-2700</v>
      </c>
      <c r="H18" s="2472"/>
      <c r="I18" s="2472"/>
      <c r="J18" s="2472"/>
      <c r="K18" s="2471" t="str">
        <f>COVER!X21</f>
        <v>847-695-2748</v>
      </c>
      <c r="L18" s="247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D19" sqref="AD19"/>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512" t="str">
        <f>'Single Audit Cover'!A7</f>
        <v>CHSD 155 Crystal Lake</v>
      </c>
      <c r="B1" s="2508"/>
      <c r="C1" s="2508"/>
      <c r="D1" s="2508"/>
    </row>
    <row r="2" spans="1:11" s="1215" customFormat="1" ht="12.75" x14ac:dyDescent="0.2">
      <c r="A2" s="2513">
        <f>'Single Audit Cover'!E7</f>
        <v>44063155016</v>
      </c>
      <c r="B2" s="2514"/>
      <c r="C2" s="2514"/>
      <c r="D2" s="2514"/>
    </row>
    <row r="3" spans="1:11" s="1215" customFormat="1" ht="12.75" x14ac:dyDescent="0.2">
      <c r="A3" s="2512" t="s">
        <v>1593</v>
      </c>
      <c r="B3" s="2508"/>
      <c r="C3" s="2508"/>
      <c r="D3" s="250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516" t="str">
        <f>'Single Audit Cover'!A7</f>
        <v>CHSD 155 Crystal Lake</v>
      </c>
      <c r="B1" s="2516"/>
      <c r="C1" s="2516"/>
      <c r="D1" s="2516"/>
      <c r="E1" s="2516"/>
    </row>
    <row r="2" spans="1:5" x14ac:dyDescent="0.2">
      <c r="A2" s="2517">
        <f>'Single Audit Cover'!E7</f>
        <v>44063155016</v>
      </c>
      <c r="B2" s="2517"/>
      <c r="C2" s="2517"/>
      <c r="D2" s="2517"/>
      <c r="E2" s="2517"/>
    </row>
    <row r="3" spans="1:5" ht="4.5" customHeight="1" x14ac:dyDescent="0.2"/>
    <row r="4" spans="1:5" x14ac:dyDescent="0.2">
      <c r="A4" s="2516" t="s">
        <v>1307</v>
      </c>
      <c r="B4" s="2516"/>
      <c r="C4" s="2516"/>
      <c r="D4" s="2516"/>
      <c r="E4" s="2516"/>
    </row>
    <row r="5" spans="1:5" x14ac:dyDescent="0.2">
      <c r="A5" s="2520" t="str">
        <f>'Single Audit Cover'!A4</f>
        <v>Year Ending June 30, 2018</v>
      </c>
      <c r="B5" s="2520"/>
      <c r="C5" s="2520"/>
      <c r="D5" s="2520"/>
      <c r="E5" s="2520"/>
    </row>
    <row r="6" spans="1:5" x14ac:dyDescent="0.2">
      <c r="A6" s="2516" t="s">
        <v>1306</v>
      </c>
      <c r="B6" s="2516"/>
      <c r="C6" s="2516"/>
      <c r="D6" s="2516"/>
      <c r="E6" s="2516"/>
    </row>
    <row r="8" spans="1:5" x14ac:dyDescent="0.2">
      <c r="A8" s="1260" t="s">
        <v>1305</v>
      </c>
    </row>
    <row r="10" spans="1:5" x14ac:dyDescent="0.2">
      <c r="A10" s="1261" t="s">
        <v>1304</v>
      </c>
      <c r="B10" s="1262" t="s">
        <v>1303</v>
      </c>
      <c r="C10" s="1262"/>
      <c r="D10" s="1263">
        <f>SUM('Acct Summary 7-8'!C7:K7)</f>
        <v>2654350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74971</v>
      </c>
    </row>
    <row r="15" spans="1:5" x14ac:dyDescent="0.2">
      <c r="A15" s="1261"/>
      <c r="B15" s="1262"/>
      <c r="C15" s="1262"/>
    </row>
    <row r="16" spans="1:5" x14ac:dyDescent="0.2">
      <c r="A16" s="1261" t="s">
        <v>1952</v>
      </c>
      <c r="B16" s="1262"/>
      <c r="C16" s="1262"/>
    </row>
    <row r="17" spans="1:4" x14ac:dyDescent="0.2">
      <c r="A17" s="1261" t="s">
        <v>1601</v>
      </c>
      <c r="B17" s="1262" t="s">
        <v>1298</v>
      </c>
      <c r="C17" s="1262"/>
      <c r="D17" s="1264">
        <f>-SUM('Revenues 9-14'!C271:D271,'Revenues 9-14'!F271:G271)</f>
        <v>-131363</v>
      </c>
    </row>
    <row r="19" spans="1:4" ht="13.5" thickBot="1" x14ac:dyDescent="0.25">
      <c r="A19" s="1265" t="s">
        <v>1297</v>
      </c>
      <c r="D19" s="1266">
        <f>SUM(D10:D17)</f>
        <v>2597958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518" t="s">
        <v>2114</v>
      </c>
      <c r="B24" s="2518"/>
      <c r="D24" s="1268">
        <v>-44683</v>
      </c>
    </row>
    <row r="25" spans="1:4" x14ac:dyDescent="0.2">
      <c r="A25" s="2519" t="s">
        <v>2122</v>
      </c>
      <c r="B25" s="2519"/>
      <c r="D25" s="1268">
        <v>-4</v>
      </c>
    </row>
    <row r="26" spans="1:4" x14ac:dyDescent="0.2">
      <c r="A26" s="2515" t="s">
        <v>2183</v>
      </c>
      <c r="B26" s="2515"/>
      <c r="D26" s="1268">
        <v>-30288</v>
      </c>
    </row>
    <row r="27" spans="1:4" x14ac:dyDescent="0.2">
      <c r="A27" s="2515"/>
      <c r="B27" s="2515"/>
      <c r="D27" s="1268"/>
    </row>
    <row r="28" spans="1:4" x14ac:dyDescent="0.2">
      <c r="A28" s="2515"/>
      <c r="B28" s="2515"/>
      <c r="D28" s="1268"/>
    </row>
    <row r="29" spans="1:4" x14ac:dyDescent="0.2">
      <c r="A29" s="2515"/>
      <c r="B29" s="2515"/>
      <c r="D29" s="1268"/>
    </row>
    <row r="30" spans="1:4" x14ac:dyDescent="0.2">
      <c r="A30" s="2515"/>
      <c r="B30" s="2515"/>
      <c r="D30" s="1268"/>
    </row>
    <row r="32" spans="1:4" x14ac:dyDescent="0.2">
      <c r="A32" s="1260" t="s">
        <v>1295</v>
      </c>
      <c r="D32" s="1263">
        <f>SUM(D19:D30)</f>
        <v>2522983</v>
      </c>
    </row>
    <row r="33" spans="1:4" x14ac:dyDescent="0.2">
      <c r="D33" s="1269"/>
    </row>
    <row r="34" spans="1:4" x14ac:dyDescent="0.2">
      <c r="A34" s="317" t="s">
        <v>1294</v>
      </c>
    </row>
    <row r="35" spans="1:4" x14ac:dyDescent="0.2">
      <c r="A35" s="317" t="s">
        <v>1293</v>
      </c>
      <c r="B35" s="1258" t="s">
        <v>1292</v>
      </c>
      <c r="D35" s="1270">
        <v>2522983</v>
      </c>
    </row>
    <row r="37" spans="1:4" x14ac:dyDescent="0.2">
      <c r="A37" s="1260" t="s">
        <v>1291</v>
      </c>
    </row>
    <row r="39" spans="1:4" ht="13.35" customHeight="1" x14ac:dyDescent="0.2">
      <c r="A39" s="1267" t="s">
        <v>1290</v>
      </c>
    </row>
    <row r="40" spans="1:4" x14ac:dyDescent="0.2">
      <c r="A40" s="2515"/>
      <c r="B40" s="2515"/>
      <c r="D40" s="1268"/>
    </row>
    <row r="41" spans="1:4" x14ac:dyDescent="0.2">
      <c r="A41" s="2515"/>
      <c r="B41" s="2515"/>
      <c r="D41" s="1271"/>
    </row>
    <row r="42" spans="1:4" x14ac:dyDescent="0.2">
      <c r="A42" s="2515"/>
      <c r="B42" s="2515"/>
      <c r="D42" s="1271"/>
    </row>
    <row r="43" spans="1:4" x14ac:dyDescent="0.2">
      <c r="A43" s="2515"/>
      <c r="B43" s="2515"/>
      <c r="D43" s="1271"/>
    </row>
    <row r="44" spans="1:4" x14ac:dyDescent="0.2">
      <c r="A44" s="2515"/>
      <c r="B44" s="2515"/>
      <c r="D44" s="1271"/>
    </row>
    <row r="45" spans="1:4" x14ac:dyDescent="0.2">
      <c r="A45" s="2515"/>
      <c r="B45" s="2515"/>
      <c r="D45" s="1271"/>
    </row>
    <row r="47" spans="1:4" x14ac:dyDescent="0.2">
      <c r="B47" s="1272" t="s">
        <v>1289</v>
      </c>
      <c r="C47" s="1272"/>
      <c r="D47" s="1273">
        <f>SUM(D35:D45)</f>
        <v>2522983</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B51" sqref="B51:D5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522" t="str">
        <f>'Single Audit Cover'!A7</f>
        <v>CHSD 155 Crystal Lake</v>
      </c>
      <c r="B1" s="2522"/>
      <c r="C1" s="2522"/>
      <c r="D1" s="2522"/>
      <c r="E1" s="2522"/>
      <c r="F1" s="2522"/>
    </row>
    <row r="2" spans="1:7" ht="13.5" customHeight="1" x14ac:dyDescent="0.2">
      <c r="A2" s="2523">
        <f>'Single Audit Cover'!E7</f>
        <v>44063155016</v>
      </c>
      <c r="B2" s="2523"/>
      <c r="C2" s="2523"/>
      <c r="D2" s="2523"/>
      <c r="E2" s="2523"/>
      <c r="F2" s="2523"/>
      <c r="G2" s="1275"/>
    </row>
    <row r="3" spans="1:7" ht="15.75" customHeight="1" x14ac:dyDescent="0.2">
      <c r="A3" s="2524" t="s">
        <v>1333</v>
      </c>
      <c r="B3" s="2524"/>
      <c r="C3" s="2524"/>
      <c r="D3" s="2524"/>
      <c r="E3" s="2524"/>
      <c r="F3" s="2524"/>
    </row>
    <row r="4" spans="1:7" ht="13.5" customHeight="1" x14ac:dyDescent="0.2">
      <c r="A4" s="2525" t="str">
        <f>'Single Audit Cover'!A4</f>
        <v>Year Ending June 30, 2018</v>
      </c>
      <c r="B4" s="2525"/>
      <c r="C4" s="2525"/>
      <c r="D4" s="2525"/>
      <c r="E4" s="2525"/>
      <c r="F4" s="2525"/>
    </row>
    <row r="5" spans="1:7" ht="8.25" customHeight="1" x14ac:dyDescent="0.2">
      <c r="C5" s="317"/>
      <c r="D5" s="317"/>
    </row>
    <row r="6" spans="1:7" ht="13.5" customHeight="1" x14ac:dyDescent="0.2">
      <c r="A6" s="1276" t="s">
        <v>1831</v>
      </c>
      <c r="C6" s="317"/>
      <c r="D6" s="317"/>
    </row>
    <row r="7" spans="1:7" ht="60.95" customHeight="1" x14ac:dyDescent="0.2">
      <c r="A7" s="2521" t="s">
        <v>2185</v>
      </c>
      <c r="B7" s="2521"/>
      <c r="C7" s="2521"/>
      <c r="D7" s="2521"/>
      <c r="E7" s="2521"/>
      <c r="F7" s="252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521" t="s">
        <v>2186</v>
      </c>
      <c r="B13" s="2521"/>
      <c r="C13" s="2521"/>
      <c r="D13" s="2521"/>
      <c r="E13" s="2521"/>
      <c r="F13" s="2521"/>
    </row>
    <row r="14" spans="1:7" ht="9.75" customHeight="1" x14ac:dyDescent="0.2">
      <c r="C14" s="1260"/>
      <c r="D14" s="1260"/>
    </row>
    <row r="15" spans="1:7" ht="13.5" customHeight="1" x14ac:dyDescent="0.2">
      <c r="C15" s="1869" t="s">
        <v>1332</v>
      </c>
      <c r="D15" s="2527" t="s">
        <v>1331</v>
      </c>
      <c r="E15" s="2527"/>
      <c r="F15" s="2527"/>
    </row>
    <row r="16" spans="1:7" ht="13.5" customHeight="1" x14ac:dyDescent="0.2">
      <c r="A16" s="1282"/>
      <c r="B16" s="1276" t="s">
        <v>1330</v>
      </c>
      <c r="C16" s="1869" t="s">
        <v>1329</v>
      </c>
      <c r="D16" s="2528" t="s">
        <v>1670</v>
      </c>
      <c r="E16" s="2528"/>
      <c r="F16" s="2528"/>
    </row>
    <row r="17" spans="1:6" ht="20.45" customHeight="1" x14ac:dyDescent="0.2">
      <c r="A17" s="1283"/>
      <c r="B17" s="1284"/>
      <c r="C17" s="1285"/>
      <c r="D17" s="2526"/>
      <c r="E17" s="2526"/>
      <c r="F17" s="2526"/>
    </row>
    <row r="18" spans="1:6" ht="20.65" customHeight="1" x14ac:dyDescent="0.2">
      <c r="A18" s="1283"/>
      <c r="B18" s="1284"/>
      <c r="C18" s="1285"/>
      <c r="D18" s="2526"/>
      <c r="E18" s="2526"/>
      <c r="F18" s="2526"/>
    </row>
    <row r="19" spans="1:6" ht="20.65" customHeight="1" x14ac:dyDescent="0.2">
      <c r="A19" s="1283"/>
      <c r="B19" s="1284"/>
      <c r="C19" s="1285"/>
      <c r="D19" s="2526"/>
      <c r="E19" s="2526"/>
      <c r="F19" s="2526"/>
    </row>
    <row r="20" spans="1:6" ht="20.65" customHeight="1" x14ac:dyDescent="0.2">
      <c r="A20" s="1283"/>
      <c r="B20" s="1284"/>
      <c r="C20" s="1285"/>
      <c r="D20" s="2526"/>
      <c r="E20" s="2526"/>
      <c r="F20" s="2526"/>
    </row>
    <row r="21" spans="1:6" ht="20.65" customHeight="1" x14ac:dyDescent="0.2">
      <c r="A21" s="1283"/>
      <c r="B21" s="1284"/>
      <c r="C21" s="1285"/>
      <c r="D21" s="2526"/>
      <c r="E21" s="2526"/>
      <c r="F21" s="2526"/>
    </row>
    <row r="22" spans="1:6" ht="20.65" customHeight="1" x14ac:dyDescent="0.2">
      <c r="A22" s="1283"/>
      <c r="B22" s="1284"/>
      <c r="C22" s="1285"/>
      <c r="D22" s="2526"/>
      <c r="E22" s="2526"/>
      <c r="F22" s="2526"/>
    </row>
    <row r="23" spans="1:6" ht="20.65" customHeight="1" x14ac:dyDescent="0.2">
      <c r="A23" s="1283"/>
      <c r="B23" s="1284"/>
      <c r="C23" s="1285"/>
      <c r="D23" s="2526"/>
      <c r="E23" s="2526"/>
      <c r="F23" s="2526"/>
    </row>
    <row r="24" spans="1:6" ht="20.65" customHeight="1" x14ac:dyDescent="0.2">
      <c r="A24" s="1283"/>
      <c r="B24" s="1284"/>
      <c r="C24" s="1285"/>
      <c r="D24" s="2526"/>
      <c r="E24" s="2526"/>
      <c r="F24" s="2526"/>
    </row>
    <row r="25" spans="1:6" ht="20.65" customHeight="1" x14ac:dyDescent="0.2">
      <c r="A25" s="1283"/>
      <c r="B25" s="1284"/>
      <c r="C25" s="1285"/>
      <c r="D25" s="2526"/>
      <c r="E25" s="2526"/>
      <c r="F25" s="2526"/>
    </row>
    <row r="26" spans="1:6" ht="20.65" customHeight="1" x14ac:dyDescent="0.2">
      <c r="A26" s="1283"/>
      <c r="B26" s="1284"/>
      <c r="C26" s="1285"/>
      <c r="D26" s="2526"/>
      <c r="E26" s="2526"/>
      <c r="F26" s="2526"/>
    </row>
    <row r="27" spans="1:6" ht="20.65" customHeight="1" x14ac:dyDescent="0.2">
      <c r="A27" s="1283"/>
      <c r="B27" s="1284"/>
      <c r="C27" s="1285"/>
      <c r="D27" s="2526"/>
      <c r="E27" s="2526"/>
      <c r="F27" s="2526"/>
    </row>
    <row r="28" spans="1:6" ht="20.65" customHeight="1" x14ac:dyDescent="0.2">
      <c r="A28" s="1283"/>
      <c r="B28" s="1284"/>
      <c r="C28" s="1285"/>
      <c r="D28" s="2526"/>
      <c r="E28" s="2526"/>
      <c r="F28" s="2526"/>
    </row>
    <row r="29" spans="1:6" ht="20.65" customHeight="1" x14ac:dyDescent="0.2">
      <c r="A29" s="1283"/>
      <c r="B29" s="1284"/>
      <c r="C29" s="1285"/>
      <c r="D29" s="2526"/>
      <c r="E29" s="2526"/>
      <c r="F29" s="2526"/>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530" t="s">
        <v>2187</v>
      </c>
      <c r="B32" s="2530"/>
      <c r="C32" s="2530"/>
      <c r="D32" s="2530"/>
      <c r="E32" s="2530"/>
      <c r="F32" s="2530"/>
    </row>
    <row r="33" spans="1:6" ht="13.5" customHeight="1" x14ac:dyDescent="0.2">
      <c r="A33" s="328" t="s">
        <v>1509</v>
      </c>
      <c r="B33" s="328"/>
      <c r="C33" s="1288">
        <v>44683</v>
      </c>
      <c r="D33" s="1926"/>
      <c r="E33" s="1286"/>
    </row>
    <row r="34" spans="1:6" ht="13.5" customHeight="1" x14ac:dyDescent="0.2">
      <c r="A34" s="328" t="s">
        <v>1945</v>
      </c>
      <c r="B34" s="328"/>
      <c r="C34" s="1289">
        <v>30288</v>
      </c>
      <c r="D34" s="1926" t="s">
        <v>1671</v>
      </c>
      <c r="E34" s="2531">
        <f>+C33+C34</f>
        <v>74971</v>
      </c>
      <c r="F34" s="2532"/>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533" t="s">
        <v>1672</v>
      </c>
      <c r="C49" s="2533"/>
      <c r="D49" s="2533"/>
      <c r="E49" s="1399"/>
    </row>
    <row r="50" spans="1:5" s="1300" customFormat="1" ht="3.75" customHeight="1" x14ac:dyDescent="0.2">
      <c r="A50" s="1299"/>
      <c r="B50" s="1868"/>
      <c r="C50" s="1868"/>
      <c r="D50" s="1868"/>
      <c r="E50" s="1399"/>
    </row>
    <row r="51" spans="1:5" s="1300" customFormat="1" ht="20.25" customHeight="1" x14ac:dyDescent="0.2">
      <c r="A51" s="1301">
        <v>6</v>
      </c>
      <c r="B51" s="2529" t="s">
        <v>1632</v>
      </c>
      <c r="C51" s="2529"/>
      <c r="D51" s="2529"/>
    </row>
    <row r="52" spans="1:5" ht="14.25" customHeight="1" x14ac:dyDescent="0.2">
      <c r="A52" s="1301"/>
      <c r="B52" s="2529"/>
      <c r="C52" s="2529"/>
      <c r="D52" s="252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D19" sqref="AD1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77" t="str">
        <f>'Single Audit Cover'!A7</f>
        <v>CHSD 155 Crystal Lake</v>
      </c>
      <c r="C1" s="2534"/>
      <c r="D1" s="2534"/>
      <c r="E1" s="2534"/>
      <c r="F1" s="2534"/>
      <c r="G1" s="2534"/>
      <c r="H1" s="2534"/>
      <c r="I1" s="2534"/>
      <c r="J1" s="2534"/>
      <c r="K1" s="2534"/>
      <c r="L1" s="2534"/>
      <c r="M1" s="2534"/>
    </row>
    <row r="2" spans="2:14" ht="15" x14ac:dyDescent="0.2">
      <c r="B2" s="2523">
        <f>'Single Audit Cover'!E7</f>
        <v>44063155016</v>
      </c>
      <c r="C2" s="2523"/>
      <c r="D2" s="2523"/>
      <c r="E2" s="2523"/>
      <c r="F2" s="2523"/>
      <c r="G2" s="2523"/>
      <c r="H2" s="2523"/>
      <c r="I2" s="2523"/>
      <c r="J2" s="2523"/>
      <c r="K2" s="2523"/>
      <c r="L2" s="2523"/>
      <c r="M2" s="2523"/>
      <c r="N2" s="1302"/>
    </row>
    <row r="3" spans="2:14" ht="15" x14ac:dyDescent="0.2">
      <c r="B3" s="2535" t="s">
        <v>1281</v>
      </c>
      <c r="C3" s="2535"/>
      <c r="D3" s="2535"/>
      <c r="E3" s="2535"/>
      <c r="F3" s="2535"/>
      <c r="G3" s="2535"/>
      <c r="H3" s="2535"/>
      <c r="I3" s="2535"/>
      <c r="J3" s="2535"/>
      <c r="K3" s="2535"/>
      <c r="L3" s="2535"/>
      <c r="M3" s="2535"/>
      <c r="N3" s="1302"/>
    </row>
    <row r="4" spans="2:14" ht="15" x14ac:dyDescent="0.2">
      <c r="B4" s="2536" t="str">
        <f>'Single Audit Cover'!A4</f>
        <v>Year Ending June 30, 2018</v>
      </c>
      <c r="C4" s="2536"/>
      <c r="D4" s="2536"/>
      <c r="E4" s="2536"/>
      <c r="F4" s="2536"/>
      <c r="G4" s="2536"/>
      <c r="H4" s="2536"/>
      <c r="I4" s="2536"/>
      <c r="J4" s="2536"/>
      <c r="K4" s="2536"/>
      <c r="L4" s="2536"/>
      <c r="M4" s="253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41" t="s">
        <v>1230</v>
      </c>
      <c r="B2" s="2141"/>
      <c r="C2" s="2141"/>
      <c r="D2" s="2141"/>
      <c r="E2" s="2141"/>
      <c r="F2" s="2141"/>
      <c r="G2" s="2141"/>
      <c r="H2" s="2141"/>
      <c r="I2" s="2141"/>
      <c r="J2" s="214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55" t="s">
        <v>1731</v>
      </c>
      <c r="B35" s="2156"/>
      <c r="C35" s="2156"/>
      <c r="D35" s="2156"/>
      <c r="E35" s="2157"/>
      <c r="F35" s="2157"/>
      <c r="G35" s="2157"/>
      <c r="H35" s="2157"/>
      <c r="I35" s="215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55" t="s">
        <v>331</v>
      </c>
      <c r="B47" s="2158"/>
      <c r="C47" s="2158"/>
      <c r="D47" s="2158"/>
      <c r="E47" s="2159"/>
      <c r="F47" s="2159"/>
      <c r="G47" s="2159"/>
      <c r="H47" s="2159"/>
      <c r="I47" s="215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2074</v>
      </c>
      <c r="C53" s="179">
        <v>22</v>
      </c>
      <c r="D53" s="247" t="s">
        <v>1537</v>
      </c>
      <c r="E53" s="248"/>
      <c r="F53" s="249"/>
      <c r="G53" s="249" t="s">
        <v>1536</v>
      </c>
      <c r="H53" s="250">
        <v>33420</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62"/>
      <c r="C57" s="2163"/>
      <c r="D57" s="2163"/>
      <c r="E57" s="2163"/>
      <c r="F57" s="2163"/>
      <c r="G57" s="2163"/>
      <c r="H57" s="2163"/>
      <c r="I57" s="2163"/>
      <c r="J57" s="2164"/>
    </row>
    <row r="58" spans="1:10" s="181" customFormat="1" x14ac:dyDescent="0.2">
      <c r="A58" s="253"/>
      <c r="B58" s="2165"/>
      <c r="C58" s="2166"/>
      <c r="D58" s="2166"/>
      <c r="E58" s="2166"/>
      <c r="F58" s="2166"/>
      <c r="G58" s="2166"/>
      <c r="H58" s="2166"/>
      <c r="I58" s="2166"/>
      <c r="J58" s="2167"/>
    </row>
    <row r="59" spans="1:10" s="181" customFormat="1" x14ac:dyDescent="0.2">
      <c r="A59" s="253"/>
      <c r="B59" s="2165"/>
      <c r="C59" s="2166"/>
      <c r="D59" s="2166"/>
      <c r="E59" s="2166"/>
      <c r="F59" s="2166"/>
      <c r="G59" s="2166"/>
      <c r="H59" s="2166"/>
      <c r="I59" s="2166"/>
      <c r="J59" s="2167"/>
    </row>
    <row r="60" spans="1:10" s="181" customFormat="1" x14ac:dyDescent="0.2">
      <c r="A60" s="253"/>
      <c r="B60" s="2165"/>
      <c r="C60" s="2166"/>
      <c r="D60" s="2166"/>
      <c r="E60" s="2166"/>
      <c r="F60" s="2166"/>
      <c r="G60" s="2166"/>
      <c r="H60" s="2166"/>
      <c r="I60" s="2166"/>
      <c r="J60" s="2167"/>
    </row>
    <row r="61" spans="1:10" s="181" customFormat="1" x14ac:dyDescent="0.2">
      <c r="A61" s="253"/>
      <c r="B61" s="2165"/>
      <c r="C61" s="2166"/>
      <c r="D61" s="2166"/>
      <c r="E61" s="2166"/>
      <c r="F61" s="2166"/>
      <c r="G61" s="2166"/>
      <c r="H61" s="2166"/>
      <c r="I61" s="2166"/>
      <c r="J61" s="2167"/>
    </row>
    <row r="62" spans="1:10" s="181" customFormat="1" x14ac:dyDescent="0.2">
      <c r="A62" s="253"/>
      <c r="B62" s="2165"/>
      <c r="C62" s="2166"/>
      <c r="D62" s="2166"/>
      <c r="E62" s="2166"/>
      <c r="F62" s="2166"/>
      <c r="G62" s="2166"/>
      <c r="H62" s="2166"/>
      <c r="I62" s="2166"/>
      <c r="J62" s="2167"/>
    </row>
    <row r="63" spans="1:10" s="181" customFormat="1" x14ac:dyDescent="0.2">
      <c r="A63" s="253"/>
      <c r="B63" s="2165"/>
      <c r="C63" s="2166"/>
      <c r="D63" s="2166"/>
      <c r="E63" s="2166"/>
      <c r="F63" s="2166"/>
      <c r="G63" s="2166"/>
      <c r="H63" s="2166"/>
      <c r="I63" s="2166"/>
      <c r="J63" s="2167"/>
    </row>
    <row r="64" spans="1:10" s="181" customFormat="1" x14ac:dyDescent="0.2">
      <c r="A64" s="253"/>
      <c r="B64" s="2165"/>
      <c r="C64" s="2166"/>
      <c r="D64" s="2166"/>
      <c r="E64" s="2166"/>
      <c r="F64" s="2166"/>
      <c r="G64" s="2166"/>
      <c r="H64" s="2166"/>
      <c r="I64" s="2166"/>
      <c r="J64" s="2167"/>
    </row>
    <row r="65" spans="1:10" s="181" customFormat="1" x14ac:dyDescent="0.2">
      <c r="A65" s="253"/>
      <c r="B65" s="2165"/>
      <c r="C65" s="2166"/>
      <c r="D65" s="2166"/>
      <c r="E65" s="2166"/>
      <c r="F65" s="2166"/>
      <c r="G65" s="2166"/>
      <c r="H65" s="2166"/>
      <c r="I65" s="2166"/>
      <c r="J65" s="2167"/>
    </row>
    <row r="66" spans="1:10" s="181" customFormat="1" x14ac:dyDescent="0.2">
      <c r="A66" s="253"/>
      <c r="B66" s="2165"/>
      <c r="C66" s="2166"/>
      <c r="D66" s="2166"/>
      <c r="E66" s="2166"/>
      <c r="F66" s="2166"/>
      <c r="G66" s="2166"/>
      <c r="H66" s="2166"/>
      <c r="I66" s="2166"/>
      <c r="J66" s="2167"/>
    </row>
    <row r="67" spans="1:10" s="181" customFormat="1" ht="9" customHeight="1" x14ac:dyDescent="0.2">
      <c r="A67" s="254"/>
      <c r="B67" s="2168"/>
      <c r="C67" s="2169"/>
      <c r="D67" s="2169"/>
      <c r="E67" s="2169"/>
      <c r="F67" s="2169"/>
      <c r="G67" s="2169"/>
      <c r="H67" s="2169"/>
      <c r="I67" s="2169"/>
      <c r="J67" s="217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55" t="s">
        <v>1390</v>
      </c>
      <c r="B70" s="2158"/>
      <c r="C70" s="2158"/>
      <c r="D70" s="2158"/>
      <c r="E70" s="2159"/>
      <c r="F70" s="2159"/>
      <c r="G70" s="2159"/>
      <c r="H70" s="2159"/>
      <c r="I70" s="215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61"/>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60" t="s">
        <v>1387</v>
      </c>
      <c r="B83" s="2160"/>
      <c r="C83" s="2160"/>
      <c r="D83" s="216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2064</v>
      </c>
      <c r="B85" s="272"/>
      <c r="C85" s="273"/>
      <c r="D85" s="274"/>
      <c r="E85" s="275"/>
      <c r="F85" s="276">
        <v>-15088</v>
      </c>
      <c r="G85" s="276">
        <v>-262505</v>
      </c>
      <c r="H85" s="276">
        <v>-64270</v>
      </c>
      <c r="I85" s="276"/>
      <c r="J85" s="277">
        <f>SUM(E85:I85)</f>
        <v>-341863</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2064</v>
      </c>
      <c r="B88" s="286"/>
      <c r="C88" s="287"/>
      <c r="D88" s="288"/>
      <c r="E88" s="276"/>
      <c r="F88" s="276">
        <v>15088</v>
      </c>
      <c r="G88" s="276">
        <v>262505</v>
      </c>
      <c r="H88" s="276">
        <v>64270</v>
      </c>
      <c r="I88" s="276"/>
      <c r="J88" s="277">
        <f>SUM(E88:I88)</f>
        <v>341863</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42"/>
      <c r="C102" s="2143"/>
      <c r="D102" s="2143"/>
      <c r="E102" s="2143"/>
      <c r="F102" s="2143"/>
      <c r="G102" s="2143"/>
      <c r="H102" s="2143"/>
      <c r="I102" s="2144"/>
    </row>
    <row r="103" spans="1:9" s="181" customFormat="1" ht="11.25" customHeight="1" x14ac:dyDescent="0.2">
      <c r="A103" s="316"/>
      <c r="B103" s="2145"/>
      <c r="C103" s="2146"/>
      <c r="D103" s="2146"/>
      <c r="E103" s="2146"/>
      <c r="F103" s="2146"/>
      <c r="G103" s="2146"/>
      <c r="H103" s="2146"/>
      <c r="I103" s="2147"/>
    </row>
    <row r="104" spans="1:9" s="181" customFormat="1" ht="11.25" customHeight="1" x14ac:dyDescent="0.2">
      <c r="A104" s="316"/>
      <c r="B104" s="2145"/>
      <c r="C104" s="2146"/>
      <c r="D104" s="2146"/>
      <c r="E104" s="2146"/>
      <c r="F104" s="2146"/>
      <c r="G104" s="2146"/>
      <c r="H104" s="2146"/>
      <c r="I104" s="2147"/>
    </row>
    <row r="105" spans="1:9" s="181" customFormat="1" x14ac:dyDescent="0.2">
      <c r="A105" s="316"/>
      <c r="B105" s="2145"/>
      <c r="C105" s="2146"/>
      <c r="D105" s="2146"/>
      <c r="E105" s="2146"/>
      <c r="F105" s="2146"/>
      <c r="G105" s="2146"/>
      <c r="H105" s="2146"/>
      <c r="I105" s="2147"/>
    </row>
    <row r="106" spans="1:9" s="181" customFormat="1" ht="11.25" customHeight="1" x14ac:dyDescent="0.2">
      <c r="A106" s="316"/>
      <c r="B106" s="2145"/>
      <c r="C106" s="2146"/>
      <c r="D106" s="2146"/>
      <c r="E106" s="2146"/>
      <c r="F106" s="2146"/>
      <c r="G106" s="2146"/>
      <c r="H106" s="2146"/>
      <c r="I106" s="2147"/>
    </row>
    <row r="107" spans="1:9" s="181" customFormat="1" ht="11.25" customHeight="1" x14ac:dyDescent="0.2">
      <c r="A107" s="316"/>
      <c r="B107" s="2145"/>
      <c r="C107" s="2146"/>
      <c r="D107" s="2146"/>
      <c r="E107" s="2146"/>
      <c r="F107" s="2146"/>
      <c r="G107" s="2146"/>
      <c r="H107" s="2146"/>
      <c r="I107" s="2147"/>
    </row>
    <row r="108" spans="1:9" s="181" customFormat="1" ht="11.25" customHeight="1" x14ac:dyDescent="0.2">
      <c r="A108" s="316"/>
      <c r="B108" s="2145"/>
      <c r="C108" s="2146"/>
      <c r="D108" s="2146"/>
      <c r="E108" s="2146"/>
      <c r="F108" s="2146"/>
      <c r="G108" s="2146"/>
      <c r="H108" s="2146"/>
      <c r="I108" s="2147"/>
    </row>
    <row r="109" spans="1:9" s="181" customFormat="1" ht="11.25" customHeight="1" x14ac:dyDescent="0.2">
      <c r="A109" s="316"/>
      <c r="B109" s="2145"/>
      <c r="C109" s="2146"/>
      <c r="D109" s="2146"/>
      <c r="E109" s="2146"/>
      <c r="F109" s="2146"/>
      <c r="G109" s="2146"/>
      <c r="H109" s="2146"/>
      <c r="I109" s="2147"/>
    </row>
    <row r="110" spans="1:9" s="181" customFormat="1" ht="11.25" customHeight="1" x14ac:dyDescent="0.2">
      <c r="A110" s="316"/>
      <c r="B110" s="2145"/>
      <c r="C110" s="2146"/>
      <c r="D110" s="2146"/>
      <c r="E110" s="2146"/>
      <c r="F110" s="2146"/>
      <c r="G110" s="2146"/>
      <c r="H110" s="2146"/>
      <c r="I110" s="2147"/>
    </row>
    <row r="111" spans="1:9" s="181" customFormat="1" ht="11.25" customHeight="1" x14ac:dyDescent="0.2">
      <c r="A111" s="316"/>
      <c r="B111" s="2145"/>
      <c r="C111" s="2146"/>
      <c r="D111" s="2146"/>
      <c r="E111" s="2146"/>
      <c r="F111" s="2146"/>
      <c r="G111" s="2146"/>
      <c r="H111" s="2146"/>
      <c r="I111" s="2147"/>
    </row>
    <row r="112" spans="1:9" s="181" customFormat="1" ht="11.25" customHeight="1" x14ac:dyDescent="0.2">
      <c r="A112" s="316"/>
      <c r="B112" s="2148"/>
      <c r="C112" s="2149"/>
      <c r="D112" s="2149"/>
      <c r="E112" s="2149"/>
      <c r="F112" s="2149"/>
      <c r="G112" s="2149"/>
      <c r="H112" s="2149"/>
      <c r="I112" s="215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51" t="s">
        <v>2091</v>
      </c>
      <c r="D114" s="215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52" t="s">
        <v>1397</v>
      </c>
      <c r="D117" s="2153"/>
      <c r="E117" s="2154"/>
      <c r="F117" s="2154"/>
      <c r="G117" s="2154"/>
      <c r="H117" s="215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131"/>
  <sheetViews>
    <sheetView showGridLines="0" workbookViewId="0">
      <selection activeCell="AD19" sqref="AD19"/>
    </sheetView>
  </sheetViews>
  <sheetFormatPr defaultColWidth="33.5703125" defaultRowHeight="12.75" x14ac:dyDescent="0.2"/>
  <cols>
    <col min="1" max="1" width="0.140625" style="1959" customWidth="1"/>
    <col min="2" max="2" width="56.85546875" style="1959" customWidth="1"/>
    <col min="3" max="3" width="9.42578125" style="1961" customWidth="1"/>
    <col min="4" max="4" width="13.7109375" style="1962" customWidth="1"/>
    <col min="5" max="6" width="13.7109375" style="1959" customWidth="1"/>
    <col min="7" max="10" width="13.7109375" style="1963" customWidth="1"/>
    <col min="11" max="11" width="13.7109375" style="1959" customWidth="1"/>
    <col min="12" max="12" width="2.7109375" style="1959" customWidth="1"/>
    <col min="13" max="16384" width="33.5703125" style="1959"/>
  </cols>
  <sheetData>
    <row r="1" spans="2:12" ht="11.85" customHeight="1" x14ac:dyDescent="0.2">
      <c r="B1" s="2537" t="s">
        <v>2123</v>
      </c>
      <c r="C1" s="2538"/>
      <c r="D1" s="2538"/>
      <c r="E1" s="2538"/>
      <c r="F1" s="2538"/>
      <c r="G1" s="2538"/>
      <c r="H1" s="2538"/>
      <c r="I1" s="2538"/>
      <c r="J1" s="2538"/>
      <c r="K1" s="2538"/>
    </row>
    <row r="2" spans="2:12" ht="15" x14ac:dyDescent="0.2">
      <c r="B2" s="2539" t="s">
        <v>2124</v>
      </c>
      <c r="C2" s="2539"/>
      <c r="D2" s="2539"/>
      <c r="E2" s="2539"/>
      <c r="F2" s="2539"/>
      <c r="G2" s="2539"/>
      <c r="H2" s="2539"/>
      <c r="I2" s="2539"/>
      <c r="J2" s="2539"/>
      <c r="K2" s="2539"/>
      <c r="L2" s="1960"/>
    </row>
    <row r="3" spans="2:12" ht="15" x14ac:dyDescent="0.2">
      <c r="B3" s="2540">
        <v>43281</v>
      </c>
      <c r="C3" s="2541"/>
      <c r="D3" s="2541"/>
      <c r="E3" s="2541"/>
      <c r="F3" s="2541"/>
      <c r="G3" s="2541"/>
      <c r="H3" s="2541"/>
      <c r="I3" s="2541"/>
      <c r="J3" s="2541"/>
      <c r="K3" s="2541"/>
      <c r="L3" s="1960"/>
    </row>
    <row r="4" spans="2:12" ht="4.5" customHeight="1" x14ac:dyDescent="0.2"/>
    <row r="5" spans="2:12" ht="11.85" customHeight="1" x14ac:dyDescent="0.2">
      <c r="B5" s="1964"/>
      <c r="C5" s="1965"/>
      <c r="D5" s="1966" t="s">
        <v>1327</v>
      </c>
      <c r="E5" s="1967" t="s">
        <v>548</v>
      </c>
      <c r="F5" s="1968"/>
      <c r="G5" s="1969" t="s">
        <v>2125</v>
      </c>
      <c r="H5" s="1967"/>
      <c r="I5" s="1970"/>
      <c r="J5" s="1970"/>
      <c r="K5" s="1971"/>
    </row>
    <row r="6" spans="2:12" ht="11.85" customHeight="1" x14ac:dyDescent="0.2">
      <c r="B6" s="1972" t="s">
        <v>2126</v>
      </c>
      <c r="C6" s="1973" t="s">
        <v>1326</v>
      </c>
      <c r="D6" s="1974" t="s">
        <v>1325</v>
      </c>
      <c r="E6" s="1975" t="s">
        <v>1324</v>
      </c>
      <c r="F6" s="1976" t="s">
        <v>1324</v>
      </c>
      <c r="G6" s="1977" t="s">
        <v>1324</v>
      </c>
      <c r="H6" s="1978" t="s">
        <v>1324</v>
      </c>
      <c r="I6" s="1978" t="s">
        <v>1323</v>
      </c>
      <c r="J6" s="1978" t="s">
        <v>1322</v>
      </c>
      <c r="K6" s="1976" t="s">
        <v>30</v>
      </c>
    </row>
    <row r="7" spans="2:12" ht="11.85" customHeight="1" x14ac:dyDescent="0.2">
      <c r="B7" s="1979" t="s">
        <v>1321</v>
      </c>
      <c r="C7" s="1973" t="s">
        <v>2127</v>
      </c>
      <c r="D7" s="1974" t="s">
        <v>2128</v>
      </c>
      <c r="E7" s="1975" t="s">
        <v>1663</v>
      </c>
      <c r="F7" s="1976" t="s">
        <v>1946</v>
      </c>
      <c r="G7" s="1975" t="s">
        <v>1663</v>
      </c>
      <c r="H7" s="1976" t="s">
        <v>1946</v>
      </c>
      <c r="I7" s="1978" t="s">
        <v>1320</v>
      </c>
      <c r="J7" s="1978" t="s">
        <v>1319</v>
      </c>
      <c r="K7" s="1976"/>
    </row>
    <row r="8" spans="2:12" ht="11.85" customHeight="1" x14ac:dyDescent="0.2">
      <c r="B8" s="1979" t="s">
        <v>1318</v>
      </c>
      <c r="C8" s="1980" t="s">
        <v>1317</v>
      </c>
      <c r="D8" s="1981" t="s">
        <v>1316</v>
      </c>
      <c r="E8" s="1982" t="s">
        <v>1315</v>
      </c>
      <c r="F8" s="1983" t="s">
        <v>1314</v>
      </c>
      <c r="G8" s="1984" t="s">
        <v>1313</v>
      </c>
      <c r="H8" s="1985" t="s">
        <v>1312</v>
      </c>
      <c r="I8" s="1985" t="s">
        <v>1311</v>
      </c>
      <c r="J8" s="1985" t="s">
        <v>1310</v>
      </c>
      <c r="K8" s="1983" t="s">
        <v>1309</v>
      </c>
    </row>
    <row r="9" spans="2:12" ht="18" customHeight="1" x14ac:dyDescent="0.2">
      <c r="B9" s="1986" t="s">
        <v>2129</v>
      </c>
      <c r="C9" s="1987"/>
      <c r="D9" s="1988"/>
      <c r="E9" s="1989"/>
      <c r="F9" s="1989"/>
      <c r="G9" s="1989"/>
      <c r="H9" s="1989"/>
      <c r="I9" s="1989"/>
      <c r="J9" s="1989"/>
      <c r="K9" s="1989"/>
    </row>
    <row r="10" spans="2:12" ht="18" customHeight="1" x14ac:dyDescent="0.2">
      <c r="B10" s="1986" t="s">
        <v>2130</v>
      </c>
      <c r="C10" s="1990"/>
      <c r="D10" s="1991"/>
      <c r="E10" s="1992"/>
      <c r="F10" s="1992"/>
      <c r="G10" s="1992"/>
      <c r="H10" s="1992"/>
      <c r="I10" s="1992"/>
      <c r="J10" s="1992"/>
      <c r="K10" s="1992"/>
    </row>
    <row r="11" spans="2:12" ht="18" customHeight="1" x14ac:dyDescent="0.2">
      <c r="B11" s="1993" t="s">
        <v>2131</v>
      </c>
      <c r="C11" s="1990">
        <v>10.555</v>
      </c>
      <c r="D11" s="1991" t="s">
        <v>2132</v>
      </c>
      <c r="E11" s="1992">
        <v>291627</v>
      </c>
      <c r="F11" s="1992">
        <f>25251+46480</f>
        <v>71731</v>
      </c>
      <c r="G11" s="1992">
        <f>+E11</f>
        <v>291627</v>
      </c>
      <c r="H11" s="1992">
        <f>+F11</f>
        <v>71731</v>
      </c>
      <c r="I11" s="1992"/>
      <c r="J11" s="1992">
        <f>+G11+H11+I11</f>
        <v>363358</v>
      </c>
      <c r="K11" s="1992" t="s">
        <v>2133</v>
      </c>
    </row>
    <row r="12" spans="2:12" ht="18" customHeight="1" x14ac:dyDescent="0.2">
      <c r="B12" s="1993" t="s">
        <v>2131</v>
      </c>
      <c r="C12" s="1990">
        <v>10.555</v>
      </c>
      <c r="D12" s="1991" t="s">
        <v>2134</v>
      </c>
      <c r="E12" s="1992"/>
      <c r="F12" s="1992">
        <v>313124</v>
      </c>
      <c r="G12" s="1992"/>
      <c r="H12" s="1992">
        <f>+F12</f>
        <v>313124</v>
      </c>
      <c r="I12" s="1992"/>
      <c r="J12" s="1992">
        <f>+G12+H12+I12</f>
        <v>313124</v>
      </c>
      <c r="K12" s="1992" t="s">
        <v>2133</v>
      </c>
    </row>
    <row r="13" spans="2:12" ht="18" customHeight="1" x14ac:dyDescent="0.2">
      <c r="B13" s="1993" t="s">
        <v>2135</v>
      </c>
      <c r="C13" s="1990">
        <v>10.555</v>
      </c>
      <c r="D13" s="1991" t="s">
        <v>2132</v>
      </c>
      <c r="E13" s="1992"/>
      <c r="F13" s="1992">
        <f>1155+3953</f>
        <v>5108</v>
      </c>
      <c r="G13" s="1992"/>
      <c r="H13" s="1992">
        <f>+F13</f>
        <v>5108</v>
      </c>
      <c r="I13" s="1992"/>
      <c r="J13" s="1992">
        <f>+H13</f>
        <v>5108</v>
      </c>
      <c r="K13" s="1992" t="s">
        <v>2133</v>
      </c>
    </row>
    <row r="14" spans="2:12" ht="18" customHeight="1" x14ac:dyDescent="0.2">
      <c r="B14" s="1993" t="s">
        <v>2135</v>
      </c>
      <c r="C14" s="1990">
        <v>10.555</v>
      </c>
      <c r="D14" s="1991" t="s">
        <v>2136</v>
      </c>
      <c r="E14" s="1992"/>
      <c r="F14" s="1992">
        <v>49367</v>
      </c>
      <c r="G14" s="1992"/>
      <c r="H14" s="1992">
        <f>+F14</f>
        <v>49367</v>
      </c>
      <c r="I14" s="1992"/>
      <c r="J14" s="1992">
        <f>+H14</f>
        <v>49367</v>
      </c>
      <c r="K14" s="1992" t="s">
        <v>2133</v>
      </c>
    </row>
    <row r="15" spans="2:12" ht="18" customHeight="1" x14ac:dyDescent="0.2">
      <c r="B15" s="1993" t="s">
        <v>2137</v>
      </c>
      <c r="C15" s="1990">
        <v>10.555</v>
      </c>
      <c r="D15" s="1991" t="s">
        <v>2138</v>
      </c>
      <c r="E15" s="1992"/>
      <c r="F15" s="1992">
        <v>30288</v>
      </c>
      <c r="G15" s="1992"/>
      <c r="H15" s="1992">
        <f>+F15</f>
        <v>30288</v>
      </c>
      <c r="I15" s="1992"/>
      <c r="J15" s="1992">
        <f>+G15+H15+I15</f>
        <v>30288</v>
      </c>
      <c r="K15" s="1992" t="s">
        <v>2133</v>
      </c>
    </row>
    <row r="16" spans="2:12" ht="18" customHeight="1" x14ac:dyDescent="0.2">
      <c r="B16" s="1993" t="s">
        <v>2139</v>
      </c>
      <c r="C16" s="1990">
        <v>10.555</v>
      </c>
      <c r="D16" s="1991" t="s">
        <v>2140</v>
      </c>
      <c r="E16" s="1992"/>
      <c r="F16" s="1992">
        <v>44683</v>
      </c>
      <c r="G16" s="1992"/>
      <c r="H16" s="1992">
        <f>+F16</f>
        <v>44683</v>
      </c>
      <c r="I16" s="1992"/>
      <c r="J16" s="1992">
        <f>+G16+H16+I16</f>
        <v>44683</v>
      </c>
      <c r="K16" s="1992" t="s">
        <v>2133</v>
      </c>
    </row>
    <row r="17" spans="2:12" ht="18" customHeight="1" x14ac:dyDescent="0.2">
      <c r="B17" s="1986" t="s">
        <v>2141</v>
      </c>
      <c r="C17" s="1990"/>
      <c r="D17" s="1991"/>
      <c r="E17" s="1992">
        <f>+E11+E12+E16+E15+E13+E14</f>
        <v>291627</v>
      </c>
      <c r="F17" s="1992">
        <f>+F11+F12+F16+F15+F13+F14</f>
        <v>514301</v>
      </c>
      <c r="G17" s="1992">
        <f>+G11+G12+G16+G15+G13+G14</f>
        <v>291627</v>
      </c>
      <c r="H17" s="1992">
        <f>+H11+H12+H16+H15+H13+H14</f>
        <v>514301</v>
      </c>
      <c r="I17" s="1992"/>
      <c r="J17" s="1992">
        <f>+J11+J12+J16+J15+J13+J14</f>
        <v>805928</v>
      </c>
      <c r="K17" s="1992"/>
    </row>
    <row r="18" spans="2:12" ht="6.75" customHeight="1" x14ac:dyDescent="0.2">
      <c r="B18" s="1993"/>
      <c r="C18" s="1990"/>
      <c r="D18" s="1991"/>
      <c r="E18" s="1992"/>
      <c r="F18" s="1992"/>
      <c r="G18" s="1992"/>
      <c r="H18" s="1992"/>
      <c r="I18" s="1992"/>
      <c r="J18" s="1992"/>
      <c r="K18" s="1992"/>
    </row>
    <row r="19" spans="2:12" ht="18" customHeight="1" x14ac:dyDescent="0.2">
      <c r="B19" s="1986" t="s">
        <v>2142</v>
      </c>
      <c r="C19" s="1990"/>
      <c r="D19" s="1991"/>
      <c r="E19" s="1992"/>
      <c r="F19" s="1992"/>
      <c r="G19" s="1992"/>
      <c r="H19" s="1992"/>
      <c r="I19" s="1992"/>
      <c r="J19" s="1992"/>
      <c r="K19" s="1992"/>
    </row>
    <row r="20" spans="2:12" ht="18" customHeight="1" x14ac:dyDescent="0.2">
      <c r="B20" s="1986" t="s">
        <v>2130</v>
      </c>
      <c r="C20" s="1990"/>
      <c r="D20" s="1991"/>
      <c r="E20" s="1992"/>
      <c r="F20" s="1992"/>
      <c r="G20" s="1992"/>
      <c r="H20" s="1992"/>
      <c r="I20" s="1992"/>
      <c r="J20" s="1992"/>
      <c r="K20" s="1992"/>
    </row>
    <row r="21" spans="2:12" ht="18" customHeight="1" x14ac:dyDescent="0.2">
      <c r="B21" s="1993" t="s">
        <v>2143</v>
      </c>
      <c r="C21" s="1990" t="s">
        <v>2116</v>
      </c>
      <c r="D21" s="1991" t="s">
        <v>2144</v>
      </c>
      <c r="E21" s="1992">
        <v>176891</v>
      </c>
      <c r="F21" s="1992">
        <f>61113-12534</f>
        <v>48579</v>
      </c>
      <c r="G21" s="1992">
        <f>+E21</f>
        <v>176891</v>
      </c>
      <c r="H21" s="1992">
        <f>+F21</f>
        <v>48579</v>
      </c>
      <c r="I21" s="1992"/>
      <c r="J21" s="1992">
        <f>+G21+H21+I21</f>
        <v>225470</v>
      </c>
      <c r="K21" s="1992" t="s">
        <v>2133</v>
      </c>
    </row>
    <row r="22" spans="2:12" ht="18" customHeight="1" x14ac:dyDescent="0.2">
      <c r="B22" s="1993" t="s">
        <v>2143</v>
      </c>
      <c r="C22" s="1990" t="s">
        <v>2116</v>
      </c>
      <c r="D22" s="1991" t="s">
        <v>2145</v>
      </c>
      <c r="E22" s="1992"/>
      <c r="F22" s="1992">
        <v>93773</v>
      </c>
      <c r="G22" s="1992"/>
      <c r="H22" s="1992">
        <f t="shared" ref="H22:H24" si="0">+F22</f>
        <v>93773</v>
      </c>
      <c r="I22" s="1992"/>
      <c r="J22" s="1992">
        <f>+G22+H22+I22</f>
        <v>93773</v>
      </c>
      <c r="K22" s="1992" t="s">
        <v>2133</v>
      </c>
    </row>
    <row r="23" spans="2:12" ht="18" customHeight="1" x14ac:dyDescent="0.2">
      <c r="B23" s="1993" t="s">
        <v>2146</v>
      </c>
      <c r="C23" s="1990" t="s">
        <v>2147</v>
      </c>
      <c r="D23" s="1991" t="s">
        <v>2148</v>
      </c>
      <c r="E23" s="1992"/>
      <c r="F23" s="1992">
        <v>428666</v>
      </c>
      <c r="G23" s="1992"/>
      <c r="H23" s="1992">
        <f t="shared" si="0"/>
        <v>428666</v>
      </c>
      <c r="I23" s="1992"/>
      <c r="J23" s="1992">
        <f>+H23+G23</f>
        <v>428666</v>
      </c>
      <c r="K23" s="1992">
        <v>463741</v>
      </c>
    </row>
    <row r="24" spans="2:12" ht="18" customHeight="1" x14ac:dyDescent="0.2">
      <c r="B24" s="1993" t="s">
        <v>2149</v>
      </c>
      <c r="C24" s="1990" t="s">
        <v>2150</v>
      </c>
      <c r="D24" s="1991" t="s">
        <v>2151</v>
      </c>
      <c r="E24" s="1992">
        <v>60888</v>
      </c>
      <c r="F24" s="1992">
        <f>41228-40919</f>
        <v>309</v>
      </c>
      <c r="G24" s="1992">
        <f>+E24</f>
        <v>60888</v>
      </c>
      <c r="H24" s="1992">
        <f t="shared" si="0"/>
        <v>309</v>
      </c>
      <c r="I24" s="1992"/>
      <c r="J24" s="1992">
        <f>+G24+H24+I24</f>
        <v>61197</v>
      </c>
      <c r="K24" s="1992">
        <v>61197</v>
      </c>
    </row>
    <row r="25" spans="2:12" ht="18" customHeight="1" x14ac:dyDescent="0.2">
      <c r="B25" s="1993" t="s">
        <v>2149</v>
      </c>
      <c r="C25" s="1990" t="s">
        <v>2150</v>
      </c>
      <c r="D25" s="1991" t="s">
        <v>2152</v>
      </c>
      <c r="E25" s="1992"/>
      <c r="F25" s="1992">
        <v>58645</v>
      </c>
      <c r="G25" s="1992"/>
      <c r="H25" s="1992">
        <f>+F25</f>
        <v>58645</v>
      </c>
      <c r="I25" s="1992"/>
      <c r="J25" s="1992">
        <f>+G25+H25+I25</f>
        <v>58645</v>
      </c>
      <c r="K25" s="1992">
        <v>128478</v>
      </c>
    </row>
    <row r="26" spans="2:12" ht="18" customHeight="1" x14ac:dyDescent="0.2">
      <c r="B26" s="1993" t="s">
        <v>2153</v>
      </c>
      <c r="C26" s="1990">
        <v>84.424000000000007</v>
      </c>
      <c r="D26" s="1991" t="s">
        <v>2154</v>
      </c>
      <c r="E26" s="1992"/>
      <c r="F26" s="1992">
        <v>6100</v>
      </c>
      <c r="G26" s="1992"/>
      <c r="H26" s="1992">
        <f>+F26</f>
        <v>6100</v>
      </c>
      <c r="I26" s="1992"/>
      <c r="J26" s="1992">
        <f>+G26+H26+I26</f>
        <v>6100</v>
      </c>
      <c r="K26" s="1992">
        <v>10000</v>
      </c>
    </row>
    <row r="27" spans="2:12" ht="18" customHeight="1" x14ac:dyDescent="0.2">
      <c r="B27" s="1993" t="s">
        <v>2155</v>
      </c>
      <c r="C27" s="1990"/>
      <c r="D27" s="1991"/>
      <c r="E27" s="1992">
        <f>SUM(E21:E26)</f>
        <v>237779</v>
      </c>
      <c r="F27" s="1992">
        <f>SUM(F21:F26)</f>
        <v>636072</v>
      </c>
      <c r="G27" s="1992">
        <f>SUM(G21:G26)</f>
        <v>237779</v>
      </c>
      <c r="H27" s="1992">
        <f>SUM(H21:H26)</f>
        <v>636072</v>
      </c>
      <c r="I27" s="1992">
        <f t="shared" ref="I27" si="1">SUM(I21:I25)</f>
        <v>0</v>
      </c>
      <c r="J27" s="1992">
        <f>SUM(J21:J26)</f>
        <v>873851</v>
      </c>
      <c r="K27" s="1992"/>
      <c r="L27" s="1994"/>
    </row>
    <row r="28" spans="2:12" ht="6.75" customHeight="1" x14ac:dyDescent="0.2">
      <c r="B28" s="1993"/>
      <c r="C28" s="1987"/>
      <c r="D28" s="1988"/>
      <c r="E28" s="1989"/>
      <c r="F28" s="1989"/>
      <c r="G28" s="1989"/>
      <c r="H28" s="1989"/>
      <c r="I28" s="1989"/>
      <c r="J28" s="1989"/>
      <c r="K28" s="1989"/>
      <c r="L28" s="1994"/>
    </row>
    <row r="29" spans="2:12" ht="24" customHeight="1" x14ac:dyDescent="0.2">
      <c r="B29" s="1986" t="s">
        <v>2156</v>
      </c>
      <c r="C29" s="1987"/>
      <c r="D29" s="1988"/>
      <c r="E29" s="1989"/>
      <c r="F29" s="1989"/>
      <c r="G29" s="1989"/>
      <c r="H29" s="1989"/>
      <c r="I29" s="1989"/>
      <c r="J29" s="1989"/>
      <c r="K29" s="1989"/>
      <c r="L29" s="1994"/>
    </row>
    <row r="30" spans="2:12" ht="18" customHeight="1" x14ac:dyDescent="0.2">
      <c r="B30" s="1993" t="s">
        <v>2157</v>
      </c>
      <c r="C30" s="1990" t="s">
        <v>2158</v>
      </c>
      <c r="D30" s="1991" t="s">
        <v>2159</v>
      </c>
      <c r="E30" s="1992">
        <v>113471</v>
      </c>
      <c r="F30" s="1992">
        <v>982</v>
      </c>
      <c r="G30" s="1992">
        <f>+E30</f>
        <v>113471</v>
      </c>
      <c r="H30" s="1992">
        <f>F30</f>
        <v>982</v>
      </c>
      <c r="I30" s="1992"/>
      <c r="J30" s="1992">
        <f>+G30+H30+I30</f>
        <v>114453</v>
      </c>
      <c r="K30" s="1992">
        <v>114453</v>
      </c>
    </row>
    <row r="31" spans="2:12" ht="18" customHeight="1" x14ac:dyDescent="0.2">
      <c r="B31" s="1993" t="s">
        <v>2157</v>
      </c>
      <c r="C31" s="1990" t="s">
        <v>2158</v>
      </c>
      <c r="D31" s="1991" t="s">
        <v>2160</v>
      </c>
      <c r="E31" s="1992"/>
      <c r="F31" s="1992">
        <f>121140-322</f>
        <v>120818</v>
      </c>
      <c r="G31" s="1992"/>
      <c r="H31" s="1992">
        <f>F31</f>
        <v>120818</v>
      </c>
      <c r="I31" s="1992"/>
      <c r="J31" s="1992">
        <f>+G31+H31+I31</f>
        <v>120818</v>
      </c>
      <c r="K31" s="1992">
        <v>121140</v>
      </c>
    </row>
    <row r="32" spans="2:12" ht="18" customHeight="1" x14ac:dyDescent="0.2">
      <c r="B32" s="1995" t="s">
        <v>2161</v>
      </c>
      <c r="C32" s="1990"/>
      <c r="D32" s="1991"/>
      <c r="E32" s="1992">
        <f>+E30+E31</f>
        <v>113471</v>
      </c>
      <c r="F32" s="1992">
        <f>+F30+F31</f>
        <v>121800</v>
      </c>
      <c r="G32" s="1992">
        <f>+G30+G31</f>
        <v>113471</v>
      </c>
      <c r="H32" s="1992">
        <f>+H30+H31</f>
        <v>121800</v>
      </c>
      <c r="I32" s="1992"/>
      <c r="J32" s="1992">
        <f>+J30+J31</f>
        <v>235271</v>
      </c>
      <c r="K32" s="1992"/>
    </row>
    <row r="33" spans="2:12" ht="6.75" customHeight="1" x14ac:dyDescent="0.2">
      <c r="B33" s="1993"/>
      <c r="C33" s="1990"/>
      <c r="D33" s="1991"/>
      <c r="E33" s="1992"/>
      <c r="F33" s="1992"/>
      <c r="G33" s="1992"/>
      <c r="H33" s="1992"/>
      <c r="I33" s="1992"/>
      <c r="J33" s="1992"/>
      <c r="K33" s="1992"/>
    </row>
    <row r="34" spans="2:12" ht="18" customHeight="1" x14ac:dyDescent="0.2">
      <c r="B34" s="1986" t="s">
        <v>2162</v>
      </c>
      <c r="C34" s="1990"/>
      <c r="D34" s="1991"/>
      <c r="E34" s="1992"/>
      <c r="F34" s="1992"/>
      <c r="G34" s="1992"/>
      <c r="H34" s="1992"/>
      <c r="I34" s="1992"/>
      <c r="J34" s="1992"/>
      <c r="K34" s="1992"/>
    </row>
    <row r="35" spans="2:12" ht="18" customHeight="1" x14ac:dyDescent="0.2">
      <c r="B35" s="1993" t="s">
        <v>2163</v>
      </c>
      <c r="C35" s="1990">
        <v>84.027000000000001</v>
      </c>
      <c r="D35" s="1991" t="s">
        <v>2164</v>
      </c>
      <c r="E35" s="1992">
        <v>1056711</v>
      </c>
      <c r="F35" s="1992">
        <f>1069171-1056711</f>
        <v>12460</v>
      </c>
      <c r="G35" s="1992">
        <f>+E35</f>
        <v>1056711</v>
      </c>
      <c r="H35" s="1992">
        <f>+F35</f>
        <v>12460</v>
      </c>
      <c r="I35" s="1992"/>
      <c r="J35" s="1992">
        <f>+G35+H35+I35</f>
        <v>1069171</v>
      </c>
      <c r="K35" s="1992">
        <v>1235577</v>
      </c>
    </row>
    <row r="36" spans="2:12" ht="18" customHeight="1" x14ac:dyDescent="0.2">
      <c r="B36" s="1993" t="s">
        <v>2163</v>
      </c>
      <c r="C36" s="1990">
        <v>84.027000000000001</v>
      </c>
      <c r="D36" s="1991" t="s">
        <v>2165</v>
      </c>
      <c r="E36" s="1992"/>
      <c r="F36" s="1992">
        <v>1170472</v>
      </c>
      <c r="G36" s="1992"/>
      <c r="H36" s="1992">
        <f>+F36</f>
        <v>1170472</v>
      </c>
      <c r="I36" s="1992"/>
      <c r="J36" s="1992">
        <f>+G36+H36+I36</f>
        <v>1170472</v>
      </c>
      <c r="K36" s="1992">
        <v>1282764</v>
      </c>
    </row>
    <row r="37" spans="2:12" ht="18" customHeight="1" x14ac:dyDescent="0.2">
      <c r="B37" s="1993" t="s">
        <v>2166</v>
      </c>
      <c r="C37" s="1990"/>
      <c r="D37" s="1991"/>
      <c r="E37" s="1992">
        <f>+E35+E36</f>
        <v>1056711</v>
      </c>
      <c r="F37" s="1992">
        <f>+F35+F36</f>
        <v>1182932</v>
      </c>
      <c r="G37" s="1992">
        <f>+G35+G36</f>
        <v>1056711</v>
      </c>
      <c r="H37" s="1992">
        <f>+H35+H36</f>
        <v>1182932</v>
      </c>
      <c r="I37" s="1992"/>
      <c r="J37" s="1992">
        <f>+J35+J36</f>
        <v>2239643</v>
      </c>
      <c r="K37" s="1992"/>
      <c r="L37" s="1994"/>
    </row>
    <row r="38" spans="2:12" ht="6.75" customHeight="1" x14ac:dyDescent="0.2">
      <c r="B38" s="1986"/>
      <c r="C38" s="1990"/>
      <c r="D38" s="1991"/>
      <c r="E38" s="1992"/>
      <c r="F38" s="1992"/>
      <c r="G38" s="1992"/>
      <c r="H38" s="1992"/>
      <c r="I38" s="1992"/>
      <c r="J38" s="1992"/>
      <c r="K38" s="1992"/>
    </row>
    <row r="39" spans="2:12" ht="18" customHeight="1" x14ac:dyDescent="0.2">
      <c r="B39" s="1986" t="s">
        <v>2167</v>
      </c>
      <c r="C39" s="1990"/>
      <c r="D39" s="1991"/>
      <c r="E39" s="1992"/>
      <c r="F39" s="1992"/>
      <c r="G39" s="1992"/>
      <c r="H39" s="1992"/>
      <c r="I39" s="1992"/>
      <c r="J39" s="1992"/>
      <c r="K39" s="1992"/>
    </row>
    <row r="40" spans="2:12" ht="18" customHeight="1" x14ac:dyDescent="0.2">
      <c r="B40" s="1993" t="s">
        <v>2168</v>
      </c>
      <c r="C40" s="1990">
        <v>84.126000000000005</v>
      </c>
      <c r="D40" s="1991" t="s">
        <v>2169</v>
      </c>
      <c r="E40" s="1992"/>
      <c r="F40" s="1992">
        <v>19508</v>
      </c>
      <c r="G40" s="1992"/>
      <c r="H40" s="1992">
        <f>+F40</f>
        <v>19508</v>
      </c>
      <c r="I40" s="1992"/>
      <c r="J40" s="1992">
        <f>+G40+H40+I40</f>
        <v>19508</v>
      </c>
      <c r="K40" s="1992">
        <v>56228</v>
      </c>
    </row>
    <row r="41" spans="2:12" ht="6.75" customHeight="1" x14ac:dyDescent="0.2">
      <c r="B41" s="1993"/>
      <c r="C41" s="1990"/>
      <c r="D41" s="1991"/>
      <c r="E41" s="1992"/>
      <c r="F41" s="1992"/>
      <c r="G41" s="1992"/>
      <c r="H41" s="1992"/>
      <c r="I41" s="1992"/>
      <c r="J41" s="1992"/>
      <c r="K41" s="1992"/>
    </row>
    <row r="42" spans="2:12" ht="18" customHeight="1" x14ac:dyDescent="0.2">
      <c r="B42" s="1986" t="s">
        <v>2170</v>
      </c>
      <c r="C42" s="1990"/>
      <c r="D42" s="1991"/>
      <c r="E42" s="1992">
        <f t="shared" ref="E42:J42" si="2">+E27+E32+E37+E40</f>
        <v>1407961</v>
      </c>
      <c r="F42" s="1992">
        <f t="shared" si="2"/>
        <v>1960312</v>
      </c>
      <c r="G42" s="1992">
        <f t="shared" si="2"/>
        <v>1407961</v>
      </c>
      <c r="H42" s="1992">
        <f t="shared" si="2"/>
        <v>1960312</v>
      </c>
      <c r="I42" s="1992">
        <f t="shared" si="2"/>
        <v>0</v>
      </c>
      <c r="J42" s="1992">
        <f t="shared" si="2"/>
        <v>3368273</v>
      </c>
      <c r="K42" s="1992"/>
    </row>
    <row r="43" spans="2:12" ht="6.75" customHeight="1" x14ac:dyDescent="0.2">
      <c r="B43" s="1986"/>
      <c r="C43" s="1987"/>
      <c r="D43" s="1988"/>
      <c r="E43" s="1989"/>
      <c r="F43" s="1989"/>
      <c r="G43" s="1989"/>
      <c r="H43" s="1989"/>
      <c r="I43" s="1989"/>
      <c r="J43" s="1989"/>
      <c r="K43" s="1989"/>
    </row>
    <row r="44" spans="2:12" ht="18" customHeight="1" x14ac:dyDescent="0.2">
      <c r="B44" s="1986" t="s">
        <v>2171</v>
      </c>
      <c r="C44" s="1987"/>
      <c r="D44" s="1988"/>
      <c r="E44" s="1989"/>
      <c r="F44" s="1989"/>
      <c r="G44" s="1989"/>
      <c r="H44" s="1989"/>
      <c r="I44" s="1989"/>
      <c r="J44" s="1989"/>
      <c r="K44" s="1989"/>
    </row>
    <row r="45" spans="2:12" ht="24" customHeight="1" x14ac:dyDescent="0.2">
      <c r="B45" s="1986" t="s">
        <v>2172</v>
      </c>
      <c r="C45" s="1990"/>
      <c r="D45" s="1991"/>
      <c r="E45" s="1992"/>
      <c r="F45" s="1992"/>
      <c r="G45" s="1992"/>
      <c r="H45" s="1992"/>
      <c r="I45" s="1992"/>
      <c r="J45" s="1992"/>
      <c r="K45" s="1992"/>
    </row>
    <row r="46" spans="2:12" ht="18" hidden="1" customHeight="1" x14ac:dyDescent="0.2">
      <c r="B46" s="1993" t="s">
        <v>2173</v>
      </c>
      <c r="C46" s="1990">
        <v>93.778000000000006</v>
      </c>
      <c r="D46" s="1991" t="s">
        <v>2174</v>
      </c>
      <c r="E46" s="1992"/>
      <c r="F46" s="1992"/>
      <c r="G46" s="1992"/>
      <c r="H46" s="1992"/>
      <c r="I46" s="1992"/>
      <c r="J46" s="1992">
        <f>+G46+H46+I46</f>
        <v>0</v>
      </c>
      <c r="K46" s="1992" t="s">
        <v>2133</v>
      </c>
    </row>
    <row r="47" spans="2:12" ht="18" customHeight="1" x14ac:dyDescent="0.2">
      <c r="B47" s="1993" t="s">
        <v>2173</v>
      </c>
      <c r="C47" s="1990">
        <v>93.778000000000006</v>
      </c>
      <c r="D47" s="1991" t="s">
        <v>2175</v>
      </c>
      <c r="E47" s="1992"/>
      <c r="F47" s="1992">
        <v>48370</v>
      </c>
      <c r="G47" s="1992"/>
      <c r="H47" s="1992">
        <f>+F47</f>
        <v>48370</v>
      </c>
      <c r="I47" s="1992"/>
      <c r="J47" s="1992">
        <f>+G47+H47+I47</f>
        <v>48370</v>
      </c>
      <c r="K47" s="1992" t="s">
        <v>2133</v>
      </c>
    </row>
    <row r="48" spans="2:12" ht="21" customHeight="1" x14ac:dyDescent="0.2">
      <c r="B48" s="1996" t="s">
        <v>2176</v>
      </c>
      <c r="C48" s="1990"/>
      <c r="D48" s="1991"/>
      <c r="E48" s="1992">
        <f>+E46+E47</f>
        <v>0</v>
      </c>
      <c r="F48" s="1992">
        <f>+F46+F47</f>
        <v>48370</v>
      </c>
      <c r="G48" s="1992">
        <f>+G46+G47</f>
        <v>0</v>
      </c>
      <c r="H48" s="1992">
        <f>+H46+H47</f>
        <v>48370</v>
      </c>
      <c r="I48" s="1992"/>
      <c r="J48" s="1992">
        <f>+J46+J47</f>
        <v>48370</v>
      </c>
      <c r="K48" s="1992"/>
    </row>
    <row r="49" spans="2:11" ht="6.75" customHeight="1" x14ac:dyDescent="0.2">
      <c r="B49" s="1986"/>
      <c r="C49" s="1990"/>
      <c r="D49" s="1991"/>
      <c r="E49" s="1992"/>
      <c r="F49" s="1992"/>
      <c r="G49" s="1992"/>
      <c r="H49" s="1992"/>
      <c r="I49" s="1992"/>
      <c r="J49" s="1992"/>
      <c r="K49" s="1992"/>
    </row>
    <row r="50" spans="2:11" ht="18" customHeight="1" x14ac:dyDescent="0.2">
      <c r="B50" s="1996" t="s">
        <v>2177</v>
      </c>
      <c r="C50" s="1997"/>
      <c r="D50" s="1998"/>
      <c r="E50" s="1999">
        <f>+E48</f>
        <v>0</v>
      </c>
      <c r="F50" s="1999">
        <f>+F48</f>
        <v>48370</v>
      </c>
      <c r="G50" s="1999">
        <f>+G48</f>
        <v>0</v>
      </c>
      <c r="H50" s="1999">
        <f>+H48</f>
        <v>48370</v>
      </c>
      <c r="I50" s="1999"/>
      <c r="J50" s="1999">
        <f>+J48</f>
        <v>48370</v>
      </c>
      <c r="K50" s="1999"/>
    </row>
    <row r="51" spans="2:11" ht="6.75" customHeight="1" x14ac:dyDescent="0.2">
      <c r="B51" s="2000"/>
      <c r="C51" s="1997"/>
      <c r="D51" s="1998"/>
      <c r="E51" s="1999"/>
      <c r="F51" s="1999"/>
      <c r="G51" s="1999"/>
      <c r="H51" s="1999"/>
      <c r="I51" s="1999"/>
      <c r="J51" s="1999"/>
      <c r="K51" s="1999"/>
    </row>
    <row r="52" spans="2:11" ht="18" customHeight="1" x14ac:dyDescent="0.2">
      <c r="B52" s="1996" t="s">
        <v>2178</v>
      </c>
      <c r="C52" s="1997"/>
      <c r="D52" s="1998"/>
      <c r="E52" s="1999">
        <f t="shared" ref="E52:J52" si="3">+E50+E42+E17</f>
        <v>1699588</v>
      </c>
      <c r="F52" s="1999">
        <f t="shared" si="3"/>
        <v>2522983</v>
      </c>
      <c r="G52" s="1999">
        <f t="shared" si="3"/>
        <v>1699588</v>
      </c>
      <c r="H52" s="1999">
        <f t="shared" si="3"/>
        <v>2522983</v>
      </c>
      <c r="I52" s="1999">
        <f t="shared" si="3"/>
        <v>0</v>
      </c>
      <c r="J52" s="1999">
        <f t="shared" si="3"/>
        <v>4222571</v>
      </c>
      <c r="K52" s="1999"/>
    </row>
    <row r="53" spans="2:11" ht="13.5" customHeight="1" x14ac:dyDescent="0.2"/>
    <row r="54" spans="2:11" ht="13.5" customHeight="1" x14ac:dyDescent="0.2"/>
    <row r="55" spans="2:11" ht="13.5" customHeight="1" x14ac:dyDescent="0.2"/>
    <row r="56" spans="2:11" ht="13.5" customHeight="1" x14ac:dyDescent="0.2"/>
    <row r="57" spans="2:11" ht="13.5" customHeight="1" x14ac:dyDescent="0.2"/>
    <row r="58" spans="2:11" ht="13.5" customHeight="1" x14ac:dyDescent="0.2"/>
    <row r="59" spans="2:11" ht="13.5" customHeight="1" x14ac:dyDescent="0.2"/>
    <row r="60" spans="2:11" ht="13.5" customHeight="1" x14ac:dyDescent="0.2"/>
    <row r="61" spans="2:11" ht="13.5" customHeight="1" x14ac:dyDescent="0.2"/>
    <row r="62" spans="2:11" ht="13.5" customHeight="1" x14ac:dyDescent="0.2"/>
    <row r="63" spans="2:11" ht="13.5" customHeight="1" x14ac:dyDescent="0.2"/>
    <row r="64" spans="2:11"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4.7" customHeight="1" x14ac:dyDescent="0.2"/>
    <row r="91" ht="12.2"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4.7" customHeight="1" x14ac:dyDescent="0.2"/>
    <row r="131" ht="12.2" customHeight="1" x14ac:dyDescent="0.2"/>
  </sheetData>
  <mergeCells count="3">
    <mergeCell ref="B1:K1"/>
    <mergeCell ref="B2:K2"/>
    <mergeCell ref="B3:K3"/>
  </mergeCells>
  <pageMargins left="0.34" right="0.15" top="0.5" bottom="0.5" header="0.25" footer="0.25"/>
  <pageSetup scale="68" firstPageNumber="38" orientation="landscape"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AD19" sqref="AD19"/>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43" t="str">
        <f>'Single Audit Cover'!A7</f>
        <v>CHSD 155 Crystal Lake</v>
      </c>
      <c r="C1" s="2544"/>
      <c r="D1" s="2544"/>
      <c r="E1" s="2544"/>
      <c r="F1" s="2544"/>
      <c r="G1" s="2544"/>
      <c r="H1" s="2544"/>
      <c r="I1" s="2544"/>
      <c r="J1" s="1422"/>
    </row>
    <row r="2" spans="2:10" s="317" customFormat="1" ht="12.75" customHeight="1" x14ac:dyDescent="0.2">
      <c r="B2" s="2545">
        <f>'Single Audit Cover'!E7</f>
        <v>44063155016</v>
      </c>
      <c r="C2" s="2546"/>
      <c r="D2" s="2546"/>
      <c r="E2" s="2546"/>
      <c r="F2" s="2546"/>
      <c r="G2" s="2546"/>
      <c r="H2" s="2546"/>
      <c r="I2" s="2546"/>
      <c r="J2" s="1422"/>
    </row>
    <row r="3" spans="2:10" s="317" customFormat="1" ht="12.75" customHeight="1" x14ac:dyDescent="0.2">
      <c r="B3" s="2547" t="s">
        <v>1347</v>
      </c>
      <c r="C3" s="2548"/>
      <c r="D3" s="2548"/>
      <c r="E3" s="2548"/>
      <c r="F3" s="2548"/>
      <c r="G3" s="2548"/>
      <c r="H3" s="2548"/>
      <c r="I3" s="2548"/>
      <c r="J3" s="1423"/>
    </row>
    <row r="4" spans="2:10" s="317" customFormat="1" ht="12.75" customHeight="1" x14ac:dyDescent="0.2">
      <c r="B4" s="2547" t="str">
        <f>'Single Audit Cover'!A4</f>
        <v>Year Ending June 30, 2018</v>
      </c>
      <c r="C4" s="2548"/>
      <c r="D4" s="2548"/>
      <c r="E4" s="2548"/>
      <c r="F4" s="2548"/>
      <c r="G4" s="2548"/>
      <c r="H4" s="2548"/>
      <c r="I4" s="2548"/>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47" t="s">
        <v>1346</v>
      </c>
      <c r="C7" s="2548"/>
      <c r="D7" s="2548"/>
      <c r="E7" s="2548"/>
      <c r="F7" s="2548"/>
      <c r="G7" s="2548"/>
      <c r="H7" s="2548"/>
      <c r="I7" s="2548"/>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549" t="s">
        <v>2115</v>
      </c>
      <c r="D11" s="2549"/>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2074</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550" t="s">
        <v>2115</v>
      </c>
      <c r="E29" s="2550"/>
      <c r="F29" s="2550"/>
      <c r="G29" s="2550"/>
      <c r="H29" s="2550"/>
      <c r="I29" s="2550"/>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551" t="s">
        <v>1851</v>
      </c>
      <c r="D37" s="2552"/>
      <c r="E37" s="2552"/>
      <c r="F37" s="2553"/>
      <c r="G37" s="2551" t="s">
        <v>1674</v>
      </c>
      <c r="H37" s="2552"/>
      <c r="I37" s="2553"/>
    </row>
    <row r="38" spans="2:9" ht="16.5" customHeight="1" x14ac:dyDescent="0.2">
      <c r="B38" s="1444">
        <v>10.555</v>
      </c>
      <c r="C38" s="1954" t="s">
        <v>1118</v>
      </c>
      <c r="D38" s="1955"/>
      <c r="E38" s="1955"/>
      <c r="F38" s="1956"/>
      <c r="G38" s="2554">
        <v>384855</v>
      </c>
      <c r="H38" s="2555"/>
      <c r="I38" s="2556"/>
    </row>
    <row r="39" spans="2:9" ht="16.5" customHeight="1" x14ac:dyDescent="0.2">
      <c r="B39" s="1444">
        <v>10.555</v>
      </c>
      <c r="C39" s="1954" t="s">
        <v>2117</v>
      </c>
      <c r="D39" s="1955"/>
      <c r="E39" s="1955"/>
      <c r="F39" s="1956"/>
      <c r="G39" s="2542">
        <v>30288</v>
      </c>
      <c r="H39" s="2542"/>
      <c r="I39" s="2542"/>
    </row>
    <row r="40" spans="2:9" ht="16.5" customHeight="1" x14ac:dyDescent="0.2">
      <c r="B40" s="1444">
        <v>10.555</v>
      </c>
      <c r="C40" s="1954" t="s">
        <v>2118</v>
      </c>
      <c r="D40" s="1955"/>
      <c r="E40" s="1955"/>
      <c r="F40" s="1956"/>
      <c r="G40" s="2542">
        <v>44683</v>
      </c>
      <c r="H40" s="2542"/>
      <c r="I40" s="2542"/>
    </row>
    <row r="41" spans="2:9" ht="16.5" customHeight="1" x14ac:dyDescent="0.2">
      <c r="B41" s="1444" t="s">
        <v>2116</v>
      </c>
      <c r="C41" s="1954" t="s">
        <v>2119</v>
      </c>
      <c r="D41" s="1955"/>
      <c r="E41" s="1955"/>
      <c r="F41" s="1956"/>
      <c r="G41" s="2542">
        <v>142352</v>
      </c>
      <c r="H41" s="2542"/>
      <c r="I41" s="2542"/>
    </row>
    <row r="42" spans="2:9" ht="16.5" customHeight="1" x14ac:dyDescent="0.2">
      <c r="B42" s="1444">
        <v>84.027000000000001</v>
      </c>
      <c r="C42" s="1954" t="s">
        <v>2120</v>
      </c>
      <c r="D42" s="1955"/>
      <c r="E42" s="1955"/>
      <c r="F42" s="1956"/>
      <c r="G42" s="2542">
        <v>1182932</v>
      </c>
      <c r="H42" s="2542"/>
      <c r="I42" s="2542"/>
    </row>
    <row r="43" spans="2:9" ht="16.5" customHeight="1" x14ac:dyDescent="0.2">
      <c r="B43" s="1444"/>
      <c r="C43" s="2557" t="s">
        <v>1675</v>
      </c>
      <c r="D43" s="2558"/>
      <c r="E43" s="2558"/>
      <c r="F43" s="2559"/>
      <c r="G43" s="2560">
        <f>SUM(G38:I42)</f>
        <v>1785110</v>
      </c>
      <c r="H43" s="2560"/>
      <c r="I43" s="2560"/>
    </row>
    <row r="44" spans="2:9" ht="12.75" customHeight="1" x14ac:dyDescent="0.2"/>
    <row r="45" spans="2:9" ht="12.75" customHeight="1" x14ac:dyDescent="0.2">
      <c r="B45" s="1435" t="s">
        <v>1948</v>
      </c>
      <c r="D45" s="2561">
        <v>2522983</v>
      </c>
      <c r="E45" s="2562"/>
    </row>
    <row r="46" spans="2:9" ht="5.25" customHeight="1" x14ac:dyDescent="0.2">
      <c r="B46" s="1445"/>
      <c r="D46" s="1446"/>
      <c r="E46" s="1447"/>
    </row>
    <row r="47" spans="2:9" ht="12.75" customHeight="1" x14ac:dyDescent="0.2">
      <c r="B47" s="1300" t="s">
        <v>1676</v>
      </c>
      <c r="C47" s="1300"/>
      <c r="D47" s="1448">
        <f>+G43/D45</f>
        <v>0.70753944834348859</v>
      </c>
      <c r="E47" s="1449"/>
      <c r="F47" s="1450"/>
      <c r="I47" s="1451"/>
    </row>
    <row r="48" spans="2:9" ht="9.9499999999999993" customHeight="1" x14ac:dyDescent="0.2"/>
    <row r="49" spans="1:9" x14ac:dyDescent="0.2">
      <c r="B49" s="1368" t="s">
        <v>1335</v>
      </c>
      <c r="C49" s="1282"/>
      <c r="D49" s="1282"/>
      <c r="E49" s="2563">
        <v>750000</v>
      </c>
      <c r="F49" s="2563"/>
      <c r="G49" s="2563"/>
      <c r="H49" s="322"/>
    </row>
    <row r="51" spans="1:9" ht="13.5" customHeight="1" x14ac:dyDescent="0.2">
      <c r="B51" s="1368" t="s">
        <v>1334</v>
      </c>
      <c r="C51" s="1282"/>
      <c r="E51" s="1438"/>
      <c r="F51" s="1300" t="s">
        <v>940</v>
      </c>
      <c r="G51" s="1438" t="s">
        <v>2074</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18">
    <mergeCell ref="C43:F43"/>
    <mergeCell ref="G43:I43"/>
    <mergeCell ref="D45:E45"/>
    <mergeCell ref="E49:G49"/>
    <mergeCell ref="G40:I40"/>
    <mergeCell ref="G41:I41"/>
    <mergeCell ref="G42:I42"/>
    <mergeCell ref="G39:I39"/>
    <mergeCell ref="B1:I1"/>
    <mergeCell ref="B2:I2"/>
    <mergeCell ref="B3:I3"/>
    <mergeCell ref="B4:I4"/>
    <mergeCell ref="B7:I7"/>
    <mergeCell ref="C11:D11"/>
    <mergeCell ref="D29:I29"/>
    <mergeCell ref="C37:F37"/>
    <mergeCell ref="G37:I37"/>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D19" sqref="AD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3" t="str">
        <f>'Single Audit Cover'!A7</f>
        <v>CHSD 155 Crystal Lake</v>
      </c>
      <c r="C1" s="2543"/>
      <c r="D1" s="2543"/>
      <c r="E1" s="2543"/>
      <c r="F1" s="2543"/>
      <c r="G1" s="2543"/>
      <c r="H1" s="2543"/>
      <c r="I1" s="2543"/>
      <c r="J1" s="2543"/>
      <c r="K1" s="2543"/>
      <c r="L1" s="1374"/>
      <c r="M1" s="1374"/>
    </row>
    <row r="2" spans="1:13" ht="12" customHeight="1" x14ac:dyDescent="0.2">
      <c r="B2" s="2545">
        <f>'Single Audit Cover'!E7</f>
        <v>44063155016</v>
      </c>
      <c r="C2" s="2545"/>
      <c r="D2" s="2545"/>
      <c r="E2" s="2545"/>
      <c r="F2" s="2545"/>
      <c r="G2" s="2545"/>
      <c r="H2" s="2545"/>
      <c r="I2" s="2545"/>
      <c r="J2" s="2545"/>
      <c r="K2" s="2545"/>
      <c r="L2" s="1375"/>
      <c r="M2" s="1376"/>
    </row>
    <row r="3" spans="1:13" ht="10.35" customHeight="1" x14ac:dyDescent="0.2">
      <c r="B3" s="2566" t="s">
        <v>1347</v>
      </c>
      <c r="C3" s="2566"/>
      <c r="D3" s="2566"/>
      <c r="E3" s="2566"/>
      <c r="F3" s="2566"/>
      <c r="G3" s="2566"/>
      <c r="H3" s="2566"/>
      <c r="I3" s="2566"/>
      <c r="J3" s="2566"/>
      <c r="K3" s="2566"/>
      <c r="L3" s="1377"/>
      <c r="M3" s="1377"/>
    </row>
    <row r="4" spans="1:13" ht="14.25" customHeight="1" x14ac:dyDescent="0.2">
      <c r="B4" s="2567" t="str">
        <f>'Single Audit Cover'!A4</f>
        <v>Year Ending June 30, 2018</v>
      </c>
      <c r="C4" s="2567"/>
      <c r="D4" s="2567"/>
      <c r="E4" s="2567"/>
      <c r="F4" s="2567"/>
      <c r="G4" s="2567"/>
      <c r="H4" s="2567"/>
      <c r="I4" s="2567"/>
      <c r="J4" s="2567"/>
      <c r="K4" s="256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67" t="s">
        <v>1363</v>
      </c>
      <c r="C7" s="2567"/>
      <c r="D7" s="2568"/>
      <c r="E7" s="2568"/>
      <c r="F7" s="2568"/>
      <c r="G7" s="2568"/>
      <c r="H7" s="2568"/>
      <c r="I7" s="2568"/>
      <c r="J7" s="2568"/>
      <c r="K7" s="256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1949</v>
      </c>
      <c r="D10" s="1386" t="s">
        <v>2121</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65"/>
      <c r="C14" s="2565"/>
      <c r="D14" s="2565"/>
      <c r="E14" s="2565"/>
      <c r="F14" s="2565"/>
      <c r="G14" s="2565"/>
      <c r="H14" s="2565"/>
      <c r="I14" s="2565"/>
      <c r="J14" s="2565"/>
      <c r="K14" s="256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65"/>
      <c r="C17" s="2565"/>
      <c r="D17" s="2565"/>
      <c r="E17" s="2565"/>
      <c r="F17" s="2565"/>
      <c r="G17" s="2565"/>
      <c r="H17" s="2565"/>
      <c r="I17" s="2565"/>
      <c r="J17" s="2565"/>
      <c r="K17" s="2565"/>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69"/>
      <c r="C20" s="2569"/>
      <c r="D20" s="2565"/>
      <c r="E20" s="2565"/>
      <c r="F20" s="2565"/>
      <c r="G20" s="2565"/>
      <c r="H20" s="2565"/>
      <c r="I20" s="2565"/>
      <c r="J20" s="2565"/>
      <c r="K20" s="256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65"/>
      <c r="C23" s="2565"/>
      <c r="D23" s="2565"/>
      <c r="E23" s="2565"/>
      <c r="F23" s="2565"/>
      <c r="G23" s="2565"/>
      <c r="H23" s="2565"/>
      <c r="I23" s="2565"/>
      <c r="J23" s="2565"/>
      <c r="K23" s="256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65"/>
      <c r="C26" s="2565"/>
      <c r="D26" s="2565"/>
      <c r="E26" s="2565"/>
      <c r="F26" s="2565"/>
      <c r="G26" s="2565"/>
      <c r="H26" s="2565"/>
      <c r="I26" s="2565"/>
      <c r="J26" s="2565"/>
      <c r="K26" s="256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64"/>
      <c r="C29" s="2564"/>
      <c r="D29" s="2565"/>
      <c r="E29" s="2565"/>
      <c r="F29" s="2565"/>
      <c r="G29" s="2565"/>
      <c r="H29" s="2565"/>
      <c r="I29" s="2565"/>
      <c r="J29" s="2565"/>
      <c r="K29" s="256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64"/>
      <c r="C32" s="2564"/>
      <c r="D32" s="2565"/>
      <c r="E32" s="2565"/>
      <c r="F32" s="2565"/>
      <c r="G32" s="2565"/>
      <c r="H32" s="2565"/>
      <c r="I32" s="2565"/>
      <c r="J32" s="2565"/>
      <c r="K32" s="256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AD19" sqref="AD1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70" t="str">
        <f>'Single Audit Cover'!A7</f>
        <v>CHSD 155 Crystal Lake</v>
      </c>
      <c r="C1" s="2570"/>
      <c r="D1" s="2570"/>
      <c r="E1" s="2570"/>
      <c r="F1" s="2570"/>
      <c r="G1" s="2570"/>
      <c r="H1" s="2570"/>
      <c r="I1" s="2570"/>
      <c r="J1" s="2570"/>
      <c r="K1" s="2570"/>
      <c r="L1" s="1465"/>
    </row>
    <row r="2" spans="1:12" ht="12.75" customHeight="1" x14ac:dyDescent="0.2">
      <c r="B2" s="2571">
        <f>'Single Audit Cover'!E7</f>
        <v>44063155016</v>
      </c>
      <c r="C2" s="2571"/>
      <c r="D2" s="2571"/>
      <c r="E2" s="2571"/>
      <c r="F2" s="2571"/>
      <c r="G2" s="2571"/>
      <c r="H2" s="2571"/>
      <c r="I2" s="2571"/>
      <c r="J2" s="2571"/>
      <c r="K2" s="2571"/>
      <c r="L2" s="1466"/>
    </row>
    <row r="3" spans="1:12" ht="12.75" customHeight="1" x14ac:dyDescent="0.2">
      <c r="B3" s="2566" t="s">
        <v>1347</v>
      </c>
      <c r="C3" s="2566"/>
      <c r="D3" s="2566"/>
      <c r="E3" s="2566"/>
      <c r="F3" s="2566"/>
      <c r="G3" s="2566"/>
      <c r="H3" s="2566"/>
      <c r="I3" s="2566"/>
      <c r="J3" s="2566"/>
      <c r="K3" s="2566"/>
      <c r="L3" s="1377"/>
    </row>
    <row r="4" spans="1:12" ht="12.75" customHeight="1" x14ac:dyDescent="0.2">
      <c r="B4" s="2566" t="str">
        <f>'Single Audit Cover'!A4</f>
        <v>Year Ending June 30, 2018</v>
      </c>
      <c r="C4" s="2566"/>
      <c r="D4" s="2566"/>
      <c r="E4" s="2566"/>
      <c r="F4" s="2566"/>
      <c r="G4" s="2566"/>
      <c r="H4" s="2566"/>
      <c r="I4" s="2566"/>
      <c r="J4" s="2566"/>
      <c r="K4" s="2566"/>
      <c r="L4" s="1377"/>
    </row>
    <row r="5" spans="1:12" ht="5.25" customHeight="1" x14ac:dyDescent="0.2">
      <c r="B5" s="1260" t="s">
        <v>1231</v>
      </c>
      <c r="C5" s="1260"/>
      <c r="L5" s="322"/>
    </row>
    <row r="6" spans="1:12" ht="30.75" customHeight="1" x14ac:dyDescent="0.2">
      <c r="A6" s="322"/>
      <c r="B6" s="2572" t="s">
        <v>1375</v>
      </c>
      <c r="C6" s="2572"/>
      <c r="D6" s="2572"/>
      <c r="E6" s="2572"/>
      <c r="F6" s="2572"/>
      <c r="G6" s="2572"/>
      <c r="H6" s="2572"/>
      <c r="I6" s="2572"/>
      <c r="J6" s="2572"/>
      <c r="K6" s="2572"/>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1949</v>
      </c>
      <c r="D8" s="1468" t="s">
        <v>2121</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550"/>
      <c r="G12" s="2550"/>
      <c r="H12" s="2550"/>
      <c r="I12" s="2550"/>
      <c r="J12" s="2550"/>
      <c r="K12" s="255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73"/>
      <c r="E14" s="2573"/>
      <c r="F14" s="2573"/>
      <c r="H14" s="1475" t="s">
        <v>1370</v>
      </c>
      <c r="I14" s="2574"/>
      <c r="J14" s="2574"/>
      <c r="K14" s="257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74"/>
      <c r="E16" s="2574"/>
      <c r="F16" s="2574"/>
      <c r="G16" s="2574"/>
      <c r="H16" s="2574"/>
      <c r="I16" s="2574"/>
      <c r="J16" s="2574"/>
      <c r="K16" s="2574"/>
      <c r="L16" s="322"/>
    </row>
    <row r="17" spans="2:12" ht="13.5" customHeight="1" x14ac:dyDescent="0.2">
      <c r="B17" s="1387" t="s">
        <v>1368</v>
      </c>
      <c r="C17" s="1387"/>
      <c r="D17" s="2575"/>
      <c r="E17" s="2575"/>
      <c r="F17" s="2575"/>
      <c r="G17" s="2575"/>
      <c r="H17" s="2575"/>
      <c r="I17" s="2575"/>
      <c r="J17" s="2575"/>
      <c r="K17" s="257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65"/>
      <c r="C20" s="2565"/>
      <c r="D20" s="2565"/>
      <c r="E20" s="2565"/>
      <c r="F20" s="2565"/>
      <c r="G20" s="2565"/>
      <c r="H20" s="2565"/>
      <c r="I20" s="2565"/>
      <c r="J20" s="2565"/>
      <c r="K20" s="256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65"/>
      <c r="C23" s="2565"/>
      <c r="D23" s="2565"/>
      <c r="E23" s="2565"/>
      <c r="F23" s="2565"/>
      <c r="G23" s="2565"/>
      <c r="H23" s="2565"/>
      <c r="I23" s="2565"/>
      <c r="J23" s="2565"/>
      <c r="K23" s="256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65"/>
      <c r="C26" s="2565"/>
      <c r="D26" s="2565"/>
      <c r="E26" s="2565"/>
      <c r="F26" s="2565"/>
      <c r="G26" s="2565"/>
      <c r="H26" s="2565"/>
      <c r="I26" s="2565"/>
      <c r="J26" s="2565"/>
      <c r="K26" s="256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65"/>
      <c r="C29" s="2565"/>
      <c r="D29" s="2565"/>
      <c r="E29" s="2565"/>
      <c r="F29" s="2565"/>
      <c r="G29" s="2565"/>
      <c r="H29" s="2565"/>
      <c r="I29" s="2565"/>
      <c r="J29" s="2565"/>
      <c r="K29" s="256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65"/>
      <c r="C32" s="2565"/>
      <c r="D32" s="2565"/>
      <c r="E32" s="2565"/>
      <c r="F32" s="2565"/>
      <c r="G32" s="2565"/>
      <c r="H32" s="2565"/>
      <c r="I32" s="2565"/>
      <c r="J32" s="2565"/>
      <c r="K32" s="256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65"/>
      <c r="C35" s="2565"/>
      <c r="D35" s="2565"/>
      <c r="E35" s="2565"/>
      <c r="F35" s="2565"/>
      <c r="G35" s="2565"/>
      <c r="H35" s="2565"/>
      <c r="I35" s="2565"/>
      <c r="J35" s="2565"/>
      <c r="K35" s="256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65"/>
      <c r="C38" s="2565"/>
      <c r="D38" s="2565"/>
      <c r="E38" s="2565"/>
      <c r="F38" s="2565"/>
      <c r="G38" s="2565"/>
      <c r="H38" s="2565"/>
      <c r="I38" s="2565"/>
      <c r="J38" s="2565"/>
      <c r="K38" s="256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65"/>
      <c r="C41" s="2565"/>
      <c r="D41" s="2565"/>
      <c r="E41" s="2565"/>
      <c r="F41" s="2565"/>
      <c r="G41" s="2565"/>
      <c r="H41" s="2565"/>
      <c r="I41" s="2565"/>
      <c r="J41" s="2565"/>
      <c r="K41" s="256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18" sqref="D1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543" t="str">
        <f>'Single Audit Cover'!A7</f>
        <v>CHSD 155 Crystal Lake</v>
      </c>
      <c r="C1" s="2543"/>
      <c r="D1" s="2543"/>
      <c r="E1" s="1491"/>
    </row>
    <row r="2" spans="2:5" s="1282" customFormat="1" ht="12.75" customHeight="1" x14ac:dyDescent="0.2">
      <c r="B2" s="2545">
        <f>'Single Audit Cover'!E7</f>
        <v>44063155016</v>
      </c>
      <c r="C2" s="2545"/>
      <c r="D2" s="2545"/>
      <c r="E2" s="1492"/>
    </row>
    <row r="3" spans="2:5" ht="12.75" customHeight="1" x14ac:dyDescent="0.2">
      <c r="B3" s="2566" t="s">
        <v>1866</v>
      </c>
      <c r="C3" s="2566"/>
      <c r="D3" s="2566"/>
      <c r="E3" s="1274"/>
    </row>
    <row r="4" spans="2:5" s="1282" customFormat="1" ht="12.75" customHeight="1" x14ac:dyDescent="0.2">
      <c r="B4" s="2576" t="str">
        <f>'Single Audit Cover'!A4</f>
        <v>Year Ending June 30, 2018</v>
      </c>
      <c r="C4" s="2576"/>
      <c r="D4" s="2576"/>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t="s">
        <v>2121</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71" t="s">
        <v>404</v>
      </c>
      <c r="B1" s="2171"/>
      <c r="C1" s="2171"/>
      <c r="D1" s="2171"/>
      <c r="E1" s="2171"/>
      <c r="F1" s="2171"/>
      <c r="G1" s="2171"/>
      <c r="H1" s="2171"/>
      <c r="I1" s="2171"/>
      <c r="J1" s="2171"/>
      <c r="K1" s="2171"/>
      <c r="L1" s="2171"/>
      <c r="M1" s="217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2705254056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2.3158999999999999E-2</v>
      </c>
      <c r="E10" s="356" t="s">
        <v>1062</v>
      </c>
      <c r="F10" s="355">
        <v>1.921E-3</v>
      </c>
      <c r="G10" s="356" t="s">
        <v>1062</v>
      </c>
      <c r="H10" s="355">
        <v>5.3799999999999996E-4</v>
      </c>
      <c r="I10" s="356" t="s">
        <v>1063</v>
      </c>
      <c r="J10" s="1754">
        <f>ROUND(D10+F10+H10,5)</f>
        <v>2.562E-2</v>
      </c>
      <c r="K10" s="222"/>
      <c r="L10" s="355"/>
      <c r="M10" s="222"/>
    </row>
    <row r="11" spans="1:14" ht="7.5" customHeight="1" x14ac:dyDescent="0.2">
      <c r="B11" s="222"/>
      <c r="C11" s="222"/>
      <c r="D11" s="2181" t="str">
        <f>IF(SUM(J10)&lt;=0.0999999,"","Enter the Tax Rates by moving the decimal two places to the left.")</f>
        <v/>
      </c>
      <c r="E11" s="2182"/>
      <c r="F11" s="2182"/>
      <c r="G11" s="2182"/>
      <c r="H11" s="2182"/>
      <c r="I11" s="2182"/>
      <c r="J11" s="218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88315328</v>
      </c>
      <c r="E16" s="356"/>
      <c r="F16" s="1755">
        <f>SUM('Acct Summary 7-8'!C17,'Acct Summary 7-8'!D17,'Acct Summary 7-8'!F17)</f>
        <v>88305687</v>
      </c>
      <c r="G16" s="356"/>
      <c r="H16" s="1755">
        <f>SUM(D16-F16)</f>
        <v>9641</v>
      </c>
      <c r="I16" s="222"/>
      <c r="J16" s="1755">
        <f>SUM('Acct Summary 7-8'!C81,'Acct Summary 7-8'!D81,'Acct Summary 7-8'!F81,'Acct Summary 7-8'!I81)</f>
        <v>46844370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2074</v>
      </c>
      <c r="C31" s="367" t="s">
        <v>607</v>
      </c>
      <c r="D31" s="237" t="s">
        <v>1132</v>
      </c>
      <c r="E31" s="222"/>
      <c r="F31" s="222"/>
      <c r="G31" s="363"/>
      <c r="H31" s="1757">
        <f>IF(B31="X",(J7*0.069),IF(B32="X",(J7*0.138),"Enter x in a.or b."))</f>
        <v>186662529.86400002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81801751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72"/>
      <c r="C54" s="2173"/>
      <c r="D54" s="2173"/>
      <c r="E54" s="2173"/>
      <c r="F54" s="2173"/>
      <c r="G54" s="2173"/>
      <c r="H54" s="2173"/>
      <c r="I54" s="2173"/>
      <c r="J54" s="2173"/>
      <c r="K54" s="2173"/>
      <c r="L54" s="2174"/>
      <c r="M54" s="380"/>
    </row>
    <row r="55" spans="1:13" ht="12.75" customHeight="1" x14ac:dyDescent="0.2">
      <c r="B55" s="2175"/>
      <c r="C55" s="2176"/>
      <c r="D55" s="2176"/>
      <c r="E55" s="2176"/>
      <c r="F55" s="2176"/>
      <c r="G55" s="2176"/>
      <c r="H55" s="2176"/>
      <c r="I55" s="2176"/>
      <c r="J55" s="2176"/>
      <c r="K55" s="2176"/>
      <c r="L55" s="2177"/>
      <c r="M55" s="380"/>
    </row>
    <row r="56" spans="1:13" ht="12.75" customHeight="1" x14ac:dyDescent="0.2">
      <c r="B56" s="2175"/>
      <c r="C56" s="2176"/>
      <c r="D56" s="2176"/>
      <c r="E56" s="2176"/>
      <c r="F56" s="2176"/>
      <c r="G56" s="2176"/>
      <c r="H56" s="2176"/>
      <c r="I56" s="2176"/>
      <c r="J56" s="2176"/>
      <c r="K56" s="2176"/>
      <c r="L56" s="2177"/>
      <c r="M56" s="222"/>
    </row>
    <row r="57" spans="1:13" ht="12.75" customHeight="1" x14ac:dyDescent="0.2">
      <c r="B57" s="2175"/>
      <c r="C57" s="2176"/>
      <c r="D57" s="2176"/>
      <c r="E57" s="2176"/>
      <c r="F57" s="2176"/>
      <c r="G57" s="2176"/>
      <c r="H57" s="2176"/>
      <c r="I57" s="2176"/>
      <c r="J57" s="2176"/>
      <c r="K57" s="2176"/>
      <c r="L57" s="2177"/>
      <c r="M57" s="222"/>
    </row>
    <row r="58" spans="1:13" x14ac:dyDescent="0.2">
      <c r="B58" s="2178"/>
      <c r="C58" s="2179"/>
      <c r="D58" s="2179"/>
      <c r="E58" s="2179"/>
      <c r="F58" s="2179"/>
      <c r="G58" s="2179"/>
      <c r="H58" s="2179"/>
      <c r="I58" s="2179"/>
      <c r="J58" s="2179"/>
      <c r="K58" s="2179"/>
      <c r="L58" s="218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83"/>
      <c r="D61" s="218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K32" sqref="K3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86"/>
      <c r="B1" s="2187"/>
      <c r="C1" s="2187"/>
      <c r="D1" s="384"/>
      <c r="E1" s="384"/>
      <c r="F1" s="384"/>
      <c r="G1" s="384"/>
      <c r="H1" s="384"/>
      <c r="I1" s="384"/>
      <c r="J1" s="384"/>
      <c r="K1" s="384"/>
      <c r="L1" s="384"/>
      <c r="M1" s="384"/>
      <c r="N1" s="384"/>
      <c r="O1" s="2186"/>
      <c r="P1" s="2187"/>
      <c r="Q1" s="2187"/>
    </row>
    <row r="2" spans="1:18" ht="15" x14ac:dyDescent="0.2">
      <c r="A2" s="2190" t="s">
        <v>577</v>
      </c>
      <c r="B2" s="2190"/>
      <c r="C2" s="2190"/>
      <c r="D2" s="2190"/>
      <c r="E2" s="2190"/>
      <c r="F2" s="2190"/>
      <c r="G2" s="2190"/>
      <c r="H2" s="2190"/>
      <c r="I2" s="2190"/>
      <c r="J2" s="2190"/>
      <c r="K2" s="2190"/>
      <c r="L2" s="2190"/>
      <c r="M2" s="2190"/>
      <c r="N2" s="2190"/>
      <c r="O2" s="2190"/>
      <c r="P2" s="2190"/>
      <c r="Q2" s="2190"/>
      <c r="R2" s="2190"/>
    </row>
    <row r="3" spans="1:18" ht="12.75" x14ac:dyDescent="0.2">
      <c r="A3" s="2191" t="s">
        <v>1480</v>
      </c>
      <c r="B3" s="2191"/>
      <c r="C3" s="2191"/>
      <c r="D3" s="2191"/>
      <c r="E3" s="2191"/>
      <c r="F3" s="2191"/>
      <c r="G3" s="2191"/>
      <c r="H3" s="2191"/>
      <c r="I3" s="2191"/>
      <c r="J3" s="2191"/>
      <c r="K3" s="2191"/>
      <c r="L3" s="2191"/>
      <c r="M3" s="2191"/>
      <c r="N3" s="2191"/>
      <c r="O3" s="2191"/>
      <c r="P3" s="2191"/>
      <c r="Q3" s="2191"/>
      <c r="R3" s="2191"/>
    </row>
    <row r="4" spans="1:18" x14ac:dyDescent="0.2">
      <c r="A4" s="2192" t="s">
        <v>1635</v>
      </c>
      <c r="B4" s="2192"/>
      <c r="C4" s="2192"/>
      <c r="D4" s="2192"/>
      <c r="E4" s="2192"/>
      <c r="F4" s="2192"/>
      <c r="G4" s="2192"/>
      <c r="H4" s="2192"/>
      <c r="I4" s="2192"/>
      <c r="J4" s="2192"/>
      <c r="K4" s="2192"/>
      <c r="L4" s="2192"/>
      <c r="M4" s="2192"/>
      <c r="N4" s="2192"/>
      <c r="O4" s="2192"/>
      <c r="P4" s="2192"/>
      <c r="Q4" s="2192"/>
      <c r="R4" s="219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CHSD 155 Crystal Lake</v>
      </c>
      <c r="E7" s="391"/>
      <c r="G7" s="252"/>
      <c r="H7" s="387"/>
      <c r="I7" s="387"/>
      <c r="J7" s="387"/>
      <c r="K7" s="387"/>
      <c r="L7" s="329"/>
      <c r="M7" s="329"/>
      <c r="N7" s="329"/>
      <c r="O7" s="329"/>
      <c r="P7" s="329"/>
    </row>
    <row r="8" spans="1:18" ht="12.75" x14ac:dyDescent="0.2">
      <c r="A8" s="329"/>
      <c r="B8" s="329"/>
      <c r="C8" s="389" t="s">
        <v>1187</v>
      </c>
      <c r="D8" s="392">
        <f>COVER!A13</f>
        <v>44063155016</v>
      </c>
      <c r="E8" s="393"/>
      <c r="G8" s="329"/>
      <c r="H8" s="329"/>
      <c r="I8" s="329"/>
      <c r="J8" s="329"/>
      <c r="K8" s="329"/>
      <c r="L8" s="329"/>
      <c r="M8" s="329"/>
      <c r="N8" s="329"/>
      <c r="O8" s="329"/>
      <c r="P8" s="329"/>
    </row>
    <row r="9" spans="1:18" ht="12.75" x14ac:dyDescent="0.2">
      <c r="A9" s="329"/>
      <c r="B9" s="329"/>
      <c r="C9" s="389" t="s">
        <v>737</v>
      </c>
      <c r="D9" s="394" t="str">
        <f>COVER!A15</f>
        <v>McHenry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46844370</v>
      </c>
      <c r="I12" s="404"/>
      <c r="J12" s="404"/>
      <c r="K12" s="405">
        <f>TRUNC((H12/H13*100000),5)/100000</f>
        <v>0.53042174060000002</v>
      </c>
      <c r="L12" s="406"/>
      <c r="M12" s="360" t="s">
        <v>1206</v>
      </c>
      <c r="N12" s="360"/>
      <c r="O12" s="407">
        <v>0.35</v>
      </c>
      <c r="P12" s="218"/>
      <c r="Q12" s="218"/>
    </row>
    <row r="13" spans="1:18" s="408" customFormat="1" ht="12.75" x14ac:dyDescent="0.2">
      <c r="A13" s="218"/>
      <c r="B13" s="401"/>
      <c r="C13" s="2188" t="s">
        <v>1391</v>
      </c>
      <c r="D13" s="2189"/>
      <c r="E13" s="218"/>
      <c r="F13" s="409" t="s">
        <v>826</v>
      </c>
      <c r="G13" s="402"/>
      <c r="H13" s="403">
        <f>SUM('Acct Summary 7-8'!C8+'Acct Summary 7-8'!D8+'Acct Summary 7-8'!F8+'Acct Summary 7-8'!I8)+H14</f>
        <v>88315328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88305687</v>
      </c>
      <c r="I17" s="404"/>
      <c r="J17" s="416"/>
      <c r="K17" s="405">
        <f>TRUNC((H17/H18*100000),5)/100000</f>
        <v>0.99989083430000003</v>
      </c>
      <c r="L17" s="406"/>
      <c r="M17" s="417" t="s">
        <v>1233</v>
      </c>
      <c r="O17" s="418" t="str">
        <f>IF(AND(O16="2", J20 &gt; 2),"1",IF(AND(O16 = "1", J20 &gt; 2),"2",IF(AND(O16="1", J20 &gt;1),"1","0")))</f>
        <v>0</v>
      </c>
      <c r="P17" s="218"/>
    </row>
    <row r="18" spans="1:18" s="408" customFormat="1" ht="11.25" x14ac:dyDescent="0.2">
      <c r="A18" s="218"/>
      <c r="B18" s="401"/>
      <c r="C18" s="2188" t="s">
        <v>1384</v>
      </c>
      <c r="D18" s="2189"/>
      <c r="E18" s="218"/>
      <c r="F18" s="419" t="s">
        <v>827</v>
      </c>
      <c r="G18" s="402"/>
      <c r="H18" s="403">
        <f>SUM('Acct Summary 7-8'!C8+'Acct Summary 7-8'!D8+'Acct Summary 7-8'!F8+'Acct Summary 7-8'!I8)+H19</f>
        <v>88315328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85" t="s">
        <v>1479</v>
      </c>
      <c r="D24" s="2185"/>
      <c r="E24" s="218"/>
      <c r="F24" s="218" t="s">
        <v>465</v>
      </c>
      <c r="G24" s="402"/>
      <c r="H24" s="403">
        <f>SUM('Assets-Liab 5-6'!C4+'Assets-Liab 5-6'!D4+'Assets-Liab 5-6'!F4+'Assets-Liab 5-6'!I4+'Assets-Liab 5-6'!C5+'Assets-Liab 5-6'!D5+'Assets-Liab 5-6'!F5+'Assets-Liab 5-6'!I5)</f>
        <v>94615255</v>
      </c>
      <c r="I24" s="422"/>
      <c r="J24" s="422"/>
      <c r="K24" s="423">
        <f>TRUNC(((H24/H25*100000)/100000),2)</f>
        <v>385.72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245293.57500000001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2067</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58912317.577509999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81801751</v>
      </c>
      <c r="I32" s="420"/>
      <c r="J32" s="420"/>
      <c r="K32" s="423">
        <f>TRUNC(100-((((H32/H33*100))*100)/100),2)</f>
        <v>56.17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186662529.86400002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C1" colorId="8" zoomScale="110" zoomScaleNormal="110" workbookViewId="0">
      <pane ySplit="2" topLeftCell="A7" activePane="bottomLeft" state="frozen"/>
      <selection activeCell="N22" sqref="N22"/>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9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9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95" t="s">
        <v>1030</v>
      </c>
      <c r="B3" s="2196"/>
      <c r="C3" s="1581"/>
      <c r="D3" s="1582"/>
      <c r="E3" s="1582"/>
      <c r="F3" s="1582"/>
      <c r="G3" s="1582"/>
      <c r="H3" s="1582"/>
      <c r="I3" s="1582"/>
      <c r="J3" s="1582"/>
      <c r="K3" s="1582"/>
      <c r="L3" s="1582"/>
      <c r="M3" s="1583"/>
      <c r="N3" s="1584"/>
    </row>
    <row r="4" spans="1:14" ht="13.5" customHeight="1" x14ac:dyDescent="0.2">
      <c r="A4" s="463" t="s">
        <v>1750</v>
      </c>
      <c r="B4" s="464"/>
      <c r="C4" s="465">
        <f>20449181+50000</f>
        <v>20499181</v>
      </c>
      <c r="D4" s="466">
        <v>9761740</v>
      </c>
      <c r="E4" s="466">
        <v>235402</v>
      </c>
      <c r="F4" s="466">
        <v>5993911</v>
      </c>
      <c r="G4" s="466">
        <v>4042181</v>
      </c>
      <c r="H4" s="466">
        <f>10656027-50000</f>
        <v>10606027</v>
      </c>
      <c r="I4" s="466">
        <v>2061633</v>
      </c>
      <c r="J4" s="467"/>
      <c r="K4" s="466"/>
      <c r="L4" s="466">
        <v>928983</v>
      </c>
      <c r="M4" s="468"/>
      <c r="N4" s="469"/>
    </row>
    <row r="5" spans="1:14" x14ac:dyDescent="0.2">
      <c r="A5" s="463" t="s">
        <v>1049</v>
      </c>
      <c r="B5" s="470">
        <v>120</v>
      </c>
      <c r="C5" s="465">
        <v>56298790</v>
      </c>
      <c r="D5" s="466"/>
      <c r="E5" s="466"/>
      <c r="F5" s="466"/>
      <c r="G5" s="466"/>
      <c r="H5" s="466"/>
      <c r="I5" s="466"/>
      <c r="J5" s="467"/>
      <c r="K5" s="471"/>
      <c r="L5" s="472"/>
      <c r="M5" s="468"/>
      <c r="N5" s="469"/>
    </row>
    <row r="6" spans="1:14" ht="13.5" customHeight="1" x14ac:dyDescent="0.2">
      <c r="A6" s="473" t="s">
        <v>437</v>
      </c>
      <c r="B6" s="470">
        <v>130</v>
      </c>
      <c r="C6" s="465">
        <v>30106242</v>
      </c>
      <c r="D6" s="466">
        <v>2411830</v>
      </c>
      <c r="E6" s="466">
        <v>82709</v>
      </c>
      <c r="F6" s="466">
        <v>675166</v>
      </c>
      <c r="G6" s="471">
        <v>838678</v>
      </c>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964900</v>
      </c>
      <c r="D8" s="467"/>
      <c r="E8" s="467"/>
      <c r="F8" s="467">
        <v>277592</v>
      </c>
      <c r="G8" s="478"/>
      <c r="H8" s="467"/>
      <c r="I8" s="474"/>
      <c r="J8" s="474"/>
      <c r="K8" s="479"/>
      <c r="L8" s="480"/>
      <c r="M8" s="468"/>
      <c r="N8" s="469"/>
    </row>
    <row r="9" spans="1:14" ht="13.5" customHeight="1" x14ac:dyDescent="0.2">
      <c r="A9" s="473" t="s">
        <v>288</v>
      </c>
      <c r="B9" s="470">
        <v>160</v>
      </c>
      <c r="C9" s="476">
        <v>3777</v>
      </c>
      <c r="D9" s="467">
        <v>1604</v>
      </c>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v>124739</v>
      </c>
      <c r="D11" s="467">
        <v>960</v>
      </c>
      <c r="E11" s="467"/>
      <c r="F11" s="467"/>
      <c r="G11" s="467"/>
      <c r="H11" s="467"/>
      <c r="I11" s="478"/>
      <c r="J11" s="478"/>
      <c r="K11" s="467"/>
      <c r="L11" s="467"/>
      <c r="M11" s="469"/>
      <c r="N11" s="469"/>
    </row>
    <row r="12" spans="1:14" ht="13.5" customHeight="1" x14ac:dyDescent="0.2">
      <c r="A12" s="473" t="s">
        <v>439</v>
      </c>
      <c r="B12" s="470">
        <v>190</v>
      </c>
      <c r="C12" s="465">
        <v>54663</v>
      </c>
      <c r="D12" s="466"/>
      <c r="E12" s="466"/>
      <c r="F12" s="466"/>
      <c r="G12" s="466"/>
      <c r="H12" s="466"/>
      <c r="I12" s="466"/>
      <c r="J12" s="467"/>
      <c r="K12" s="466"/>
      <c r="L12" s="466"/>
      <c r="M12" s="469"/>
      <c r="N12" s="469"/>
    </row>
    <row r="13" spans="1:14" ht="13.5" customHeight="1" thickBot="1" x14ac:dyDescent="0.25">
      <c r="A13" s="1758" t="s">
        <v>665</v>
      </c>
      <c r="B13" s="1731"/>
      <c r="C13" s="1759">
        <f>SUM(C4:C12)</f>
        <v>108052292</v>
      </c>
      <c r="D13" s="1759">
        <f t="shared" ref="D13:L13" si="0">SUM(D4:D12)</f>
        <v>12176134</v>
      </c>
      <c r="E13" s="1759">
        <f t="shared" si="0"/>
        <v>318111</v>
      </c>
      <c r="F13" s="1759">
        <f t="shared" si="0"/>
        <v>6946669</v>
      </c>
      <c r="G13" s="1759">
        <f t="shared" si="0"/>
        <v>4880859</v>
      </c>
      <c r="H13" s="1759">
        <f t="shared" si="0"/>
        <v>10606027</v>
      </c>
      <c r="I13" s="1759">
        <f t="shared" si="0"/>
        <v>2061633</v>
      </c>
      <c r="J13" s="1759">
        <f t="shared" si="0"/>
        <v>0</v>
      </c>
      <c r="K13" s="1759">
        <f t="shared" si="0"/>
        <v>0</v>
      </c>
      <c r="L13" s="1759">
        <f t="shared" si="0"/>
        <v>928983</v>
      </c>
      <c r="M13" s="468"/>
      <c r="N13" s="469"/>
    </row>
    <row r="14" spans="1:14" ht="18" customHeight="1" thickTop="1" x14ac:dyDescent="0.2">
      <c r="A14" s="2197" t="s">
        <v>149</v>
      </c>
      <c r="B14" s="219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2330356</v>
      </c>
      <c r="N16" s="484"/>
    </row>
    <row r="17" spans="1:14" s="485" customFormat="1" ht="12.75" customHeight="1" x14ac:dyDescent="0.2">
      <c r="A17" s="482" t="s">
        <v>1470</v>
      </c>
      <c r="B17" s="483">
        <v>230</v>
      </c>
      <c r="C17" s="477"/>
      <c r="D17" s="477"/>
      <c r="E17" s="477"/>
      <c r="F17" s="477"/>
      <c r="G17" s="477"/>
      <c r="H17" s="477"/>
      <c r="I17" s="477"/>
      <c r="J17" s="477"/>
      <c r="K17" s="477"/>
      <c r="L17" s="477"/>
      <c r="M17" s="467">
        <v>77232645</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1699171</v>
      </c>
      <c r="N19" s="484"/>
    </row>
    <row r="20" spans="1:14" s="485" customFormat="1" ht="12.75" customHeight="1" x14ac:dyDescent="0.2">
      <c r="A20" s="482" t="s">
        <v>1473</v>
      </c>
      <c r="B20" s="483">
        <v>260</v>
      </c>
      <c r="C20" s="477"/>
      <c r="D20" s="477"/>
      <c r="E20" s="477"/>
      <c r="F20" s="477"/>
      <c r="G20" s="477"/>
      <c r="H20" s="477"/>
      <c r="I20" s="477"/>
      <c r="J20" s="477"/>
      <c r="K20" s="477"/>
      <c r="L20" s="477"/>
      <c r="M20" s="467">
        <v>6338689</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E38</f>
        <v>139890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81661861</v>
      </c>
    </row>
    <row r="23" spans="1:14" ht="13.5" customHeight="1" thickBot="1" x14ac:dyDescent="0.25">
      <c r="A23" s="1758" t="s">
        <v>664</v>
      </c>
      <c r="B23" s="1763"/>
      <c r="C23" s="468"/>
      <c r="D23" s="468"/>
      <c r="E23" s="468"/>
      <c r="F23" s="468"/>
      <c r="G23" s="468"/>
      <c r="H23" s="468"/>
      <c r="I23" s="468"/>
      <c r="J23" s="468"/>
      <c r="K23" s="468"/>
      <c r="L23" s="468"/>
      <c r="M23" s="1710">
        <f>SUM(M15:M22)</f>
        <v>87600861</v>
      </c>
      <c r="N23" s="1710">
        <f>SUM(N21:N22)</f>
        <v>81801751</v>
      </c>
    </row>
    <row r="24" spans="1:14" ht="18" customHeight="1" thickTop="1" x14ac:dyDescent="0.2">
      <c r="A24" s="2199" t="s">
        <v>619</v>
      </c>
      <c r="B24" s="220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f>2045670-100</f>
        <v>2045570</v>
      </c>
      <c r="D27" s="467">
        <v>378122</v>
      </c>
      <c r="E27" s="467"/>
      <c r="F27" s="467">
        <v>481789</v>
      </c>
      <c r="G27" s="467"/>
      <c r="H27" s="467">
        <v>5332488</v>
      </c>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7105639</v>
      </c>
      <c r="D30" s="474">
        <v>3858</v>
      </c>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v>161539</v>
      </c>
      <c r="H31" s="467"/>
      <c r="I31" s="467"/>
      <c r="J31" s="467"/>
      <c r="K31" s="467"/>
      <c r="L31" s="468"/>
      <c r="M31" s="468"/>
      <c r="N31" s="468"/>
    </row>
    <row r="32" spans="1:14" ht="13.5" customHeight="1" x14ac:dyDescent="0.2">
      <c r="A32" s="490" t="s">
        <v>673</v>
      </c>
      <c r="B32" s="491">
        <v>490</v>
      </c>
      <c r="C32" s="492">
        <v>65300701</v>
      </c>
      <c r="D32" s="492">
        <v>5344255</v>
      </c>
      <c r="E32" s="474">
        <v>178221</v>
      </c>
      <c r="F32" s="474">
        <v>1732424</v>
      </c>
      <c r="G32" s="474">
        <v>1807164</v>
      </c>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928983</v>
      </c>
      <c r="M33" s="468"/>
      <c r="N33" s="469"/>
    </row>
    <row r="34" spans="1:14" ht="13.5" customHeight="1" thickBot="1" x14ac:dyDescent="0.25">
      <c r="A34" s="1760" t="s">
        <v>675</v>
      </c>
      <c r="B34" s="1761"/>
      <c r="C34" s="1762">
        <f>SUM(C25:C33)</f>
        <v>74451910</v>
      </c>
      <c r="D34" s="1762">
        <f t="shared" ref="D34:K34" si="1">SUM(D25:D33)</f>
        <v>5726235</v>
      </c>
      <c r="E34" s="1762">
        <f t="shared" si="1"/>
        <v>178221</v>
      </c>
      <c r="F34" s="1762">
        <f t="shared" si="1"/>
        <v>2214213</v>
      </c>
      <c r="G34" s="1762">
        <f t="shared" si="1"/>
        <v>1968703</v>
      </c>
      <c r="H34" s="1762">
        <f t="shared" si="1"/>
        <v>5332488</v>
      </c>
      <c r="I34" s="1762">
        <f t="shared" si="1"/>
        <v>0</v>
      </c>
      <c r="J34" s="1762">
        <f t="shared" si="1"/>
        <v>0</v>
      </c>
      <c r="K34" s="1762">
        <f t="shared" si="1"/>
        <v>0</v>
      </c>
      <c r="L34" s="1743">
        <f>SUM(L33)</f>
        <v>928983</v>
      </c>
      <c r="M34" s="468"/>
      <c r="N34" s="480"/>
    </row>
    <row r="35" spans="1:14" ht="18" customHeight="1" thickTop="1" x14ac:dyDescent="0.2">
      <c r="A35" s="2201" t="s">
        <v>550</v>
      </c>
      <c r="B35" s="220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81801751</v>
      </c>
    </row>
    <row r="37" spans="1:14" ht="13.5" thickBot="1" x14ac:dyDescent="0.25">
      <c r="A37" s="1758" t="s">
        <v>674</v>
      </c>
      <c r="B37" s="1763"/>
      <c r="C37" s="477"/>
      <c r="D37" s="477"/>
      <c r="E37" s="477"/>
      <c r="F37" s="477"/>
      <c r="G37" s="477"/>
      <c r="H37" s="477"/>
      <c r="I37" s="477"/>
      <c r="J37" s="477"/>
      <c r="K37" s="477"/>
      <c r="L37" s="480"/>
      <c r="M37" s="468"/>
      <c r="N37" s="1710">
        <f>SUM(N36:N36)</f>
        <v>81801751</v>
      </c>
    </row>
    <row r="38" spans="1:14" s="329" customFormat="1" ht="13.5" customHeight="1" thickTop="1" x14ac:dyDescent="0.2">
      <c r="A38" s="496" t="s">
        <v>440</v>
      </c>
      <c r="B38" s="483">
        <v>714</v>
      </c>
      <c r="C38" s="466">
        <v>6742142</v>
      </c>
      <c r="D38" s="466"/>
      <c r="E38" s="466">
        <f>'Acct Summary 7-8'!E81</f>
        <v>139890</v>
      </c>
      <c r="F38" s="466"/>
      <c r="G38" s="466">
        <f>'Acct Summary 7-8'!G81</f>
        <v>2912156</v>
      </c>
      <c r="H38" s="466">
        <v>199827</v>
      </c>
      <c r="I38" s="466"/>
      <c r="J38" s="467"/>
      <c r="K38" s="466"/>
      <c r="L38" s="481"/>
      <c r="M38" s="497"/>
      <c r="N38" s="497"/>
    </row>
    <row r="39" spans="1:14" s="329" customFormat="1" ht="13.5" customHeight="1" x14ac:dyDescent="0.2">
      <c r="A39" s="496" t="s">
        <v>360</v>
      </c>
      <c r="B39" s="483">
        <v>730</v>
      </c>
      <c r="C39" s="466">
        <f>'Acct Summary 7-8'!C81-C38</f>
        <v>26858240</v>
      </c>
      <c r="D39" s="466">
        <f>'Acct Summary 7-8'!D81-D38</f>
        <v>6449899</v>
      </c>
      <c r="E39" s="466"/>
      <c r="F39" s="466">
        <f>'Acct Summary 7-8'!F81-F38</f>
        <v>4732456</v>
      </c>
      <c r="G39" s="466"/>
      <c r="H39" s="466">
        <f>'Acct Summary 7-8'!H81-H38</f>
        <v>5073712</v>
      </c>
      <c r="I39" s="466">
        <f>'Acct Summary 7-8'!I81-I38</f>
        <v>2061633</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87600861</v>
      </c>
      <c r="N40" s="497"/>
    </row>
    <row r="41" spans="1:14" ht="13.5" customHeight="1" thickBot="1" x14ac:dyDescent="0.25">
      <c r="A41" s="1758" t="s">
        <v>676</v>
      </c>
      <c r="B41" s="1728"/>
      <c r="C41" s="1710">
        <f>(SUM(C34,C37,C38,C39))</f>
        <v>108052292</v>
      </c>
      <c r="D41" s="1710">
        <f t="shared" ref="D41:L41" si="2">SUM(D34,D37,D38:D39)</f>
        <v>12176134</v>
      </c>
      <c r="E41" s="1710">
        <f t="shared" si="2"/>
        <v>318111</v>
      </c>
      <c r="F41" s="1710">
        <f t="shared" si="2"/>
        <v>6946669</v>
      </c>
      <c r="G41" s="1710">
        <f t="shared" si="2"/>
        <v>4880859</v>
      </c>
      <c r="H41" s="1710">
        <f t="shared" si="2"/>
        <v>10606027</v>
      </c>
      <c r="I41" s="1710">
        <f t="shared" si="2"/>
        <v>2061633</v>
      </c>
      <c r="J41" s="1710">
        <f t="shared" si="2"/>
        <v>0</v>
      </c>
      <c r="K41" s="1710">
        <f t="shared" si="2"/>
        <v>0</v>
      </c>
      <c r="L41" s="1710">
        <f t="shared" si="2"/>
        <v>928983</v>
      </c>
      <c r="M41" s="1710">
        <f>SUM(M40)</f>
        <v>87600861</v>
      </c>
      <c r="N41" s="1710">
        <f>SUM(N37)</f>
        <v>81801751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15" activePane="bottomLeft" state="frozenSplit"/>
      <selection activeCell="N22" sqref="N22"/>
      <selection pane="bottomLeft" activeCell="N22" sqref="N2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21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21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223" t="s">
        <v>1237</v>
      </c>
      <c r="B3" s="2224"/>
      <c r="C3" s="1595"/>
      <c r="D3" s="1596"/>
      <c r="E3" s="1596"/>
      <c r="F3" s="1596"/>
      <c r="G3" s="1596"/>
      <c r="H3" s="1596"/>
      <c r="I3" s="1596"/>
      <c r="J3" s="1596"/>
      <c r="K3" s="1597"/>
      <c r="L3" s="506"/>
    </row>
    <row r="4" spans="1:13" ht="15.75" customHeight="1" x14ac:dyDescent="0.2">
      <c r="A4" s="1952" t="s">
        <v>1579</v>
      </c>
      <c r="B4" s="1953">
        <v>1000</v>
      </c>
      <c r="C4" s="1764">
        <f>'Revenues 9-14'!C109</f>
        <v>71236218</v>
      </c>
      <c r="D4" s="1764">
        <f>'Revenues 9-14'!D109</f>
        <v>5452342</v>
      </c>
      <c r="E4" s="1764">
        <f>'Revenues 9-14'!E109</f>
        <v>1387582</v>
      </c>
      <c r="F4" s="1764">
        <f>'Revenues 9-14'!F109</f>
        <v>1543016</v>
      </c>
      <c r="G4" s="1764">
        <f>'Revenues 9-14'!G109</f>
        <v>2401560</v>
      </c>
      <c r="H4" s="1764">
        <f>'Revenues 9-14'!H109</f>
        <v>134624</v>
      </c>
      <c r="I4" s="1764">
        <f>'Revenues 9-14'!I109</f>
        <v>23510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6196130</v>
      </c>
      <c r="D6" s="1765">
        <f>'Revenues 9-14'!D173</f>
        <v>0</v>
      </c>
      <c r="E6" s="1765">
        <f>'Revenues 9-14'!E173</f>
        <v>0</v>
      </c>
      <c r="F6" s="1765">
        <f>'Revenues 9-14'!F173</f>
        <v>1209762</v>
      </c>
      <c r="G6" s="1765">
        <f>'Revenues 9-14'!G173</f>
        <v>0</v>
      </c>
      <c r="H6" s="1765">
        <f>'Revenues 9-14'!H173</f>
        <v>9272451</v>
      </c>
      <c r="I6" s="1765">
        <f>'Revenues 9-14'!I173</f>
        <v>0</v>
      </c>
      <c r="J6" s="1765">
        <f>'Revenues 9-14'!J173</f>
        <v>0</v>
      </c>
      <c r="K6" s="1765">
        <f>'Revenues 9-14'!K173</f>
        <v>0</v>
      </c>
      <c r="L6" s="347"/>
      <c r="M6" s="513"/>
    </row>
    <row r="7" spans="1:13" ht="15.75" customHeight="1" x14ac:dyDescent="0.2">
      <c r="A7" s="1598" t="s">
        <v>1582</v>
      </c>
      <c r="B7" s="1600">
        <v>4000</v>
      </c>
      <c r="C7" s="1765">
        <f>'Revenues 9-14'!C274</f>
        <v>2654350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80086698</v>
      </c>
      <c r="D8" s="1710">
        <f t="shared" ref="D8:K8" si="0">SUM(D4:D7)</f>
        <v>5452342</v>
      </c>
      <c r="E8" s="1710">
        <f t="shared" si="0"/>
        <v>1387582</v>
      </c>
      <c r="F8" s="1710">
        <f t="shared" si="0"/>
        <v>2752778</v>
      </c>
      <c r="G8" s="1710">
        <f t="shared" si="0"/>
        <v>2401560</v>
      </c>
      <c r="H8" s="1710">
        <f t="shared" si="0"/>
        <v>9407075</v>
      </c>
      <c r="I8" s="1710">
        <f t="shared" si="0"/>
        <v>23510</v>
      </c>
      <c r="J8" s="1710">
        <f t="shared" si="0"/>
        <v>0</v>
      </c>
      <c r="K8" s="1710">
        <f t="shared" si="0"/>
        <v>0</v>
      </c>
      <c r="L8" s="347"/>
    </row>
    <row r="9" spans="1:13" ht="15.75" thickTop="1" x14ac:dyDescent="0.2">
      <c r="A9" s="514" t="s">
        <v>1752</v>
      </c>
      <c r="B9" s="515">
        <v>3998</v>
      </c>
      <c r="C9" s="481">
        <v>36515443</v>
      </c>
      <c r="D9" s="516"/>
      <c r="E9" s="481"/>
      <c r="F9" s="481"/>
      <c r="G9" s="517"/>
      <c r="H9" s="481"/>
      <c r="I9" s="509" t="s">
        <v>1231</v>
      </c>
      <c r="J9" s="478"/>
      <c r="K9" s="481"/>
      <c r="L9" s="347"/>
    </row>
    <row r="10" spans="1:13" s="519" customFormat="1" ht="13.5" thickBot="1" x14ac:dyDescent="0.25">
      <c r="A10" s="1758" t="s">
        <v>1235</v>
      </c>
      <c r="B10" s="1731"/>
      <c r="C10" s="1710">
        <f>SUM(C8:C9)</f>
        <v>116602141</v>
      </c>
      <c r="D10" s="1710">
        <f t="shared" ref="D10:K10" si="1">SUM(D8:D9)</f>
        <v>5452342</v>
      </c>
      <c r="E10" s="1710">
        <f t="shared" si="1"/>
        <v>1387582</v>
      </c>
      <c r="F10" s="1710">
        <f t="shared" si="1"/>
        <v>2752778</v>
      </c>
      <c r="G10" s="1710">
        <f t="shared" si="1"/>
        <v>2401560</v>
      </c>
      <c r="H10" s="1710">
        <f t="shared" si="1"/>
        <v>9407075</v>
      </c>
      <c r="I10" s="1710">
        <f t="shared" si="1"/>
        <v>23510</v>
      </c>
      <c r="J10" s="1710">
        <f t="shared" si="1"/>
        <v>0</v>
      </c>
      <c r="K10" s="1710">
        <f t="shared" si="1"/>
        <v>0</v>
      </c>
      <c r="L10" s="518"/>
    </row>
    <row r="11" spans="1:13" s="519" customFormat="1" ht="16.7" customHeight="1" thickTop="1" x14ac:dyDescent="0.2">
      <c r="A11" s="2197" t="s">
        <v>1238</v>
      </c>
      <c r="B11" s="2198"/>
      <c r="C11" s="1592"/>
      <c r="D11" s="1593"/>
      <c r="E11" s="1593"/>
      <c r="F11" s="1593"/>
      <c r="G11" s="1593"/>
      <c r="H11" s="1593"/>
      <c r="I11" s="1593"/>
      <c r="J11" s="1593"/>
      <c r="K11" s="1594"/>
      <c r="L11" s="518"/>
    </row>
    <row r="12" spans="1:13" ht="15.75" customHeight="1" x14ac:dyDescent="0.2">
      <c r="A12" s="1598" t="s">
        <v>476</v>
      </c>
      <c r="B12" s="1600">
        <v>1000</v>
      </c>
      <c r="C12" s="1764">
        <f>'Expenditures 15-22'!K33</f>
        <v>53738163</v>
      </c>
      <c r="D12" s="520" t="s">
        <v>1231</v>
      </c>
      <c r="E12" s="468" t="s">
        <v>1231</v>
      </c>
      <c r="F12" s="468" t="s">
        <v>1231</v>
      </c>
      <c r="G12" s="1764">
        <f>'Expenditures 15-22'!K229</f>
        <v>1108170</v>
      </c>
      <c r="H12" s="521"/>
      <c r="I12" s="468" t="s">
        <v>1231</v>
      </c>
      <c r="J12" s="468" t="s">
        <v>1231</v>
      </c>
      <c r="K12" s="521" t="s">
        <v>1231</v>
      </c>
      <c r="L12" s="347"/>
    </row>
    <row r="13" spans="1:13" ht="15.75" customHeight="1" x14ac:dyDescent="0.2">
      <c r="A13" s="1598" t="s">
        <v>477</v>
      </c>
      <c r="B13" s="1600">
        <v>2000</v>
      </c>
      <c r="C13" s="1765">
        <f>'Expenditures 15-22'!K74</f>
        <v>23980005</v>
      </c>
      <c r="D13" s="1765">
        <f>'Expenditures 15-22'!K129</f>
        <v>6642871</v>
      </c>
      <c r="E13" s="469" t="s">
        <v>1231</v>
      </c>
      <c r="F13" s="1765">
        <f>'Expenditures 15-22'!K184</f>
        <v>3644910</v>
      </c>
      <c r="G13" s="1765">
        <f>'Expenditures 15-22'!K279</f>
        <v>1141645</v>
      </c>
      <c r="H13" s="1765">
        <f>'Expenditures 15-22'!K303</f>
        <v>9553817</v>
      </c>
      <c r="I13" s="468" t="s">
        <v>1231</v>
      </c>
      <c r="J13" s="1765">
        <f>'Expenditures 15-22'!K330</f>
        <v>0</v>
      </c>
      <c r="K13" s="1769">
        <f>'Expenditures 15-22'!K352</f>
        <v>0</v>
      </c>
      <c r="L13" s="347"/>
    </row>
    <row r="14" spans="1:13" ht="15.75" customHeight="1" x14ac:dyDescent="0.2">
      <c r="A14" s="1598" t="s">
        <v>469</v>
      </c>
      <c r="B14" s="1600">
        <v>3000</v>
      </c>
      <c r="C14" s="1765">
        <f>'Expenditures 15-22'!K75</f>
        <v>1223</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298515</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1371539</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78017906</v>
      </c>
      <c r="D17" s="1710">
        <f t="shared" si="2"/>
        <v>6642871</v>
      </c>
      <c r="E17" s="1710">
        <f t="shared" si="2"/>
        <v>1371539</v>
      </c>
      <c r="F17" s="1710">
        <f t="shared" si="2"/>
        <v>3644910</v>
      </c>
      <c r="G17" s="1710">
        <f t="shared" si="2"/>
        <v>2249815</v>
      </c>
      <c r="H17" s="1710">
        <f t="shared" si="2"/>
        <v>9553817</v>
      </c>
      <c r="I17" s="468"/>
      <c r="J17" s="1710">
        <f>SUM(J12:J16)</f>
        <v>0</v>
      </c>
      <c r="K17" s="1710">
        <f>SUM(K12:K16)</f>
        <v>0</v>
      </c>
      <c r="L17" s="347"/>
    </row>
    <row r="18" spans="1:12" ht="15" customHeight="1" thickTop="1" x14ac:dyDescent="0.2">
      <c r="A18" s="1766" t="s">
        <v>1753</v>
      </c>
      <c r="B18" s="1767">
        <v>4180</v>
      </c>
      <c r="C18" s="1764">
        <f t="shared" ref="C18:H18" si="3">C9</f>
        <v>36515443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114533349</v>
      </c>
      <c r="D19" s="1710">
        <f t="shared" si="4"/>
        <v>6642871</v>
      </c>
      <c r="E19" s="1710">
        <f t="shared" si="4"/>
        <v>1371539</v>
      </c>
      <c r="F19" s="1710">
        <f t="shared" si="4"/>
        <v>3644910</v>
      </c>
      <c r="G19" s="1710">
        <f t="shared" si="4"/>
        <v>2249815</v>
      </c>
      <c r="H19" s="1710">
        <f t="shared" si="4"/>
        <v>9553817</v>
      </c>
      <c r="I19" s="468"/>
      <c r="J19" s="1710">
        <f>SUM(J17:J18)</f>
        <v>0</v>
      </c>
      <c r="K19" s="1710">
        <f>SUM(K17:K18)</f>
        <v>0</v>
      </c>
      <c r="L19" s="347"/>
    </row>
    <row r="20" spans="1:12" ht="16.5" thickTop="1" thickBot="1" x14ac:dyDescent="0.25">
      <c r="A20" s="2213" t="s">
        <v>1754</v>
      </c>
      <c r="B20" s="2214"/>
      <c r="C20" s="1768">
        <f>C8-C17</f>
        <v>2068792</v>
      </c>
      <c r="D20" s="1768">
        <f t="shared" ref="D20:K20" si="5">D8-D17</f>
        <v>-1190529</v>
      </c>
      <c r="E20" s="1768">
        <f t="shared" si="5"/>
        <v>16043</v>
      </c>
      <c r="F20" s="1768">
        <f t="shared" si="5"/>
        <v>-892132</v>
      </c>
      <c r="G20" s="1768">
        <f t="shared" si="5"/>
        <v>151745</v>
      </c>
      <c r="H20" s="1768">
        <f t="shared" si="5"/>
        <v>-146742</v>
      </c>
      <c r="I20" s="1768">
        <f t="shared" si="5"/>
        <v>23510</v>
      </c>
      <c r="J20" s="1768">
        <f t="shared" si="5"/>
        <v>0</v>
      </c>
      <c r="K20" s="1768">
        <f t="shared" si="5"/>
        <v>0</v>
      </c>
      <c r="L20" s="347"/>
    </row>
    <row r="21" spans="1:12" ht="16.7" customHeight="1" thickTop="1" x14ac:dyDescent="0.2">
      <c r="A21" s="2225" t="s">
        <v>616</v>
      </c>
      <c r="B21" s="2226"/>
      <c r="C21" s="1592"/>
      <c r="D21" s="1593"/>
      <c r="E21" s="1593"/>
      <c r="F21" s="1593"/>
      <c r="G21" s="1593"/>
      <c r="H21" s="1593"/>
      <c r="I21" s="1593"/>
      <c r="J21" s="1593"/>
      <c r="K21" s="1594"/>
      <c r="L21" s="524"/>
    </row>
    <row r="22" spans="1:12" ht="15.75" customHeight="1" collapsed="1" x14ac:dyDescent="0.2">
      <c r="A22" s="2221" t="s">
        <v>617</v>
      </c>
      <c r="B22" s="2222"/>
      <c r="C22" s="477"/>
      <c r="D22" s="477"/>
      <c r="E22" s="477"/>
      <c r="F22" s="477"/>
      <c r="G22" s="477"/>
      <c r="H22" s="477"/>
      <c r="I22" s="477"/>
      <c r="J22" s="477"/>
      <c r="K22" s="477"/>
      <c r="L22" s="347"/>
    </row>
    <row r="23" spans="1:12" s="485" customFormat="1" ht="15.75" customHeight="1" x14ac:dyDescent="0.2">
      <c r="A23" s="2217" t="s">
        <v>311</v>
      </c>
      <c r="B23" s="221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219" t="s">
        <v>1038</v>
      </c>
      <c r="B32" s="222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227" t="s">
        <v>392</v>
      </c>
      <c r="B44" s="2228"/>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221" t="s">
        <v>110</v>
      </c>
      <c r="B45" s="2222"/>
      <c r="C45" s="528"/>
      <c r="D45" s="528"/>
      <c r="E45" s="528"/>
      <c r="F45" s="528"/>
      <c r="G45" s="528"/>
      <c r="H45" s="528"/>
      <c r="I45" s="528"/>
      <c r="J45" s="528"/>
      <c r="K45" s="528"/>
      <c r="L45" s="347"/>
    </row>
    <row r="46" spans="1:12" s="485" customFormat="1" ht="15.75" customHeight="1" x14ac:dyDescent="0.2">
      <c r="A46" s="2229" t="s">
        <v>111</v>
      </c>
      <c r="B46" s="223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203" t="s">
        <v>460</v>
      </c>
      <c r="B76" s="2204"/>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205" t="s">
        <v>1239</v>
      </c>
      <c r="B77" s="2206"/>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209" t="s">
        <v>618</v>
      </c>
      <c r="B78" s="2210"/>
      <c r="C78" s="1724">
        <f t="shared" ref="C78:K78" si="9">C20+C77</f>
        <v>2068792</v>
      </c>
      <c r="D78" s="1724">
        <f t="shared" si="9"/>
        <v>-1190529</v>
      </c>
      <c r="E78" s="1724">
        <f t="shared" si="9"/>
        <v>16043</v>
      </c>
      <c r="F78" s="1724">
        <f t="shared" si="9"/>
        <v>-892132</v>
      </c>
      <c r="G78" s="1724">
        <f t="shared" si="9"/>
        <v>151745</v>
      </c>
      <c r="H78" s="1724">
        <f t="shared" si="9"/>
        <v>-146742</v>
      </c>
      <c r="I78" s="1724">
        <f t="shared" si="9"/>
        <v>23510</v>
      </c>
      <c r="J78" s="1724">
        <f t="shared" si="9"/>
        <v>0</v>
      </c>
      <c r="K78" s="1724">
        <f t="shared" si="9"/>
        <v>0</v>
      </c>
      <c r="L78" s="533"/>
    </row>
    <row r="79" spans="1:12" ht="13.5" thickTop="1" x14ac:dyDescent="0.2">
      <c r="A79" s="1516" t="s">
        <v>2068</v>
      </c>
      <c r="B79" s="534"/>
      <c r="C79" s="478">
        <v>31531590</v>
      </c>
      <c r="D79" s="535">
        <v>7640428</v>
      </c>
      <c r="E79" s="535">
        <v>123847</v>
      </c>
      <c r="F79" s="535">
        <v>5624588</v>
      </c>
      <c r="G79" s="535">
        <v>2760411</v>
      </c>
      <c r="H79" s="535">
        <v>5420281</v>
      </c>
      <c r="I79" s="535">
        <v>2038123</v>
      </c>
      <c r="J79" s="535"/>
      <c r="K79" s="535"/>
      <c r="L79" s="347"/>
    </row>
    <row r="80" spans="1:12" x14ac:dyDescent="0.2">
      <c r="A80" s="2215" t="s">
        <v>1895</v>
      </c>
      <c r="B80" s="2216"/>
      <c r="C80" s="467"/>
      <c r="D80" s="467"/>
      <c r="E80" s="467"/>
      <c r="F80" s="467"/>
      <c r="G80" s="467"/>
      <c r="H80" s="467"/>
      <c r="I80" s="467"/>
      <c r="J80" s="467"/>
      <c r="K80" s="467"/>
      <c r="L80" s="347"/>
    </row>
    <row r="81" spans="1:12" ht="13.5" thickBot="1" x14ac:dyDescent="0.25">
      <c r="A81" s="2207" t="s">
        <v>2069</v>
      </c>
      <c r="B81" s="2208"/>
      <c r="C81" s="1710">
        <f>(SUM(C78:C80))</f>
        <v>33600382</v>
      </c>
      <c r="D81" s="1710">
        <f>SUM(D78:D80)</f>
        <v>6449899</v>
      </c>
      <c r="E81" s="1710">
        <f t="shared" ref="E81:K81" si="10">SUM(E78:E80)</f>
        <v>139890</v>
      </c>
      <c r="F81" s="1710">
        <f t="shared" si="10"/>
        <v>4732456</v>
      </c>
      <c r="G81" s="1710">
        <f t="shared" si="10"/>
        <v>2912156</v>
      </c>
      <c r="H81" s="1710">
        <f t="shared" si="10"/>
        <v>5273539</v>
      </c>
      <c r="I81" s="1710">
        <f t="shared" si="10"/>
        <v>2061633</v>
      </c>
      <c r="J81" s="1710">
        <f t="shared" si="10"/>
        <v>0</v>
      </c>
      <c r="K81" s="1710">
        <f t="shared" si="10"/>
        <v>0</v>
      </c>
      <c r="L81" s="347"/>
    </row>
    <row r="82" spans="1:12" ht="0.75" customHeight="1" thickTop="1" thickBot="1" x14ac:dyDescent="0.25">
      <c r="A82" s="536" t="s">
        <v>361</v>
      </c>
      <c r="B82" s="537"/>
      <c r="C82" s="538">
        <f>(C81-C79)</f>
        <v>2068792</v>
      </c>
      <c r="D82" s="538">
        <f t="shared" ref="D82:K82" si="11">(D81-D79)</f>
        <v>-1190529</v>
      </c>
      <c r="E82" s="538">
        <f t="shared" si="11"/>
        <v>16043</v>
      </c>
      <c r="F82" s="538">
        <f t="shared" si="11"/>
        <v>-892132</v>
      </c>
      <c r="G82" s="538">
        <f t="shared" si="11"/>
        <v>151745</v>
      </c>
      <c r="H82" s="538">
        <f t="shared" si="11"/>
        <v>-146742</v>
      </c>
      <c r="I82" s="538">
        <f t="shared" si="11"/>
        <v>23510</v>
      </c>
      <c r="J82" s="538">
        <f t="shared" si="11"/>
        <v>0</v>
      </c>
      <c r="K82" s="538">
        <f t="shared" si="11"/>
        <v>0</v>
      </c>
    </row>
    <row r="83" spans="1:12" ht="14.25" hidden="1" thickTop="1" thickBot="1" x14ac:dyDescent="0.25">
      <c r="A83" s="539" t="s">
        <v>362</v>
      </c>
      <c r="B83" s="464"/>
      <c r="C83" s="540">
        <f>C82/C81</f>
        <v>6.1570490478352301E-2</v>
      </c>
      <c r="D83" s="540">
        <f t="shared" ref="D83:K83" si="12">D82/D81</f>
        <v>-0.18458102987349104</v>
      </c>
      <c r="E83" s="540">
        <f t="shared" si="12"/>
        <v>0.11468296518693259</v>
      </c>
      <c r="F83" s="540">
        <f t="shared" si="12"/>
        <v>-0.18851353293089254</v>
      </c>
      <c r="G83" s="540">
        <f t="shared" si="12"/>
        <v>5.2107442046373888E-2</v>
      </c>
      <c r="H83" s="540">
        <f t="shared" si="12"/>
        <v>-2.7826095530913871E-2</v>
      </c>
      <c r="I83" s="540">
        <f t="shared" si="12"/>
        <v>1.1403581529787309E-2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N22" sqref="N22"/>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211" t="s">
        <v>1902</v>
      </c>
      <c r="B1" s="452"/>
      <c r="C1" s="453" t="s">
        <v>445</v>
      </c>
      <c r="D1" s="453" t="s">
        <v>446</v>
      </c>
      <c r="E1" s="453" t="s">
        <v>447</v>
      </c>
      <c r="F1" s="453" t="s">
        <v>448</v>
      </c>
      <c r="G1" s="453" t="s">
        <v>449</v>
      </c>
      <c r="H1" s="453" t="s">
        <v>450</v>
      </c>
      <c r="I1" s="453" t="s">
        <v>451</v>
      </c>
      <c r="J1" s="453" t="s">
        <v>452</v>
      </c>
      <c r="K1" s="453" t="s">
        <v>780</v>
      </c>
    </row>
    <row r="2" spans="1:12" ht="36" x14ac:dyDescent="0.2">
      <c r="A2" s="221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60601029</v>
      </c>
      <c r="D5" s="481">
        <v>5068494</v>
      </c>
      <c r="E5" s="466">
        <v>1377217</v>
      </c>
      <c r="F5" s="548">
        <v>1418865</v>
      </c>
      <c r="G5" s="466">
        <v>955614</v>
      </c>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1760262</v>
      </c>
      <c r="D7" s="466"/>
      <c r="E7" s="468"/>
      <c r="F7" s="467"/>
      <c r="G7" s="467"/>
      <c r="H7" s="467"/>
      <c r="I7" s="468"/>
      <c r="J7" s="468"/>
      <c r="K7" s="468"/>
    </row>
    <row r="8" spans="1:12" x14ac:dyDescent="0.2">
      <c r="A8" s="463" t="s">
        <v>433</v>
      </c>
      <c r="B8" s="470">
        <v>1150</v>
      </c>
      <c r="C8" s="475"/>
      <c r="D8" s="475"/>
      <c r="E8" s="477"/>
      <c r="F8" s="477"/>
      <c r="G8" s="481">
        <v>1307569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62361291</v>
      </c>
      <c r="D12" s="1729">
        <f t="shared" si="0"/>
        <v>5068494</v>
      </c>
      <c r="E12" s="1729">
        <f t="shared" si="0"/>
        <v>1377217</v>
      </c>
      <c r="F12" s="1729">
        <f t="shared" si="0"/>
        <v>1418865</v>
      </c>
      <c r="G12" s="1729">
        <f t="shared" si="0"/>
        <v>2263183</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1040367</v>
      </c>
      <c r="D16" s="466"/>
      <c r="E16" s="466"/>
      <c r="F16" s="466"/>
      <c r="G16" s="466">
        <v>94000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1040367</v>
      </c>
      <c r="D18" s="1732">
        <f t="shared" ref="D18:K18" si="1">SUM(D14:D17)</f>
        <v>0</v>
      </c>
      <c r="E18" s="1732">
        <f t="shared" si="1"/>
        <v>0</v>
      </c>
      <c r="F18" s="1732">
        <f t="shared" si="1"/>
        <v>0</v>
      </c>
      <c r="G18" s="1732">
        <f t="shared" si="1"/>
        <v>94000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101022</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132000</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233022</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172</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54994</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55166</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818201</v>
      </c>
      <c r="D65" s="466">
        <v>109247</v>
      </c>
      <c r="E65" s="466">
        <v>10365</v>
      </c>
      <c r="F65" s="467">
        <v>68985</v>
      </c>
      <c r="G65" s="466">
        <v>44377</v>
      </c>
      <c r="H65" s="466">
        <v>36583</v>
      </c>
      <c r="I65" s="466">
        <v>23510</v>
      </c>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818201</v>
      </c>
      <c r="D67" s="1710">
        <f t="shared" ref="D67:K67" si="2">SUM(D65:D66)</f>
        <v>109247</v>
      </c>
      <c r="E67" s="1710">
        <f t="shared" si="2"/>
        <v>10365</v>
      </c>
      <c r="F67" s="1710">
        <f t="shared" si="2"/>
        <v>68985</v>
      </c>
      <c r="G67" s="1710">
        <f t="shared" si="2"/>
        <v>44377</v>
      </c>
      <c r="H67" s="1710">
        <f t="shared" si="2"/>
        <v>36583</v>
      </c>
      <c r="I67" s="1710">
        <f t="shared" si="2"/>
        <v>23510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379735</v>
      </c>
      <c r="D69" s="468"/>
      <c r="E69" s="468"/>
      <c r="F69" s="468"/>
      <c r="G69" s="468"/>
      <c r="H69" s="468"/>
      <c r="I69" s="468"/>
      <c r="J69" s="468"/>
      <c r="K69" s="468"/>
    </row>
    <row r="70" spans="1:11" ht="12.75" customHeight="1" x14ac:dyDescent="0.2">
      <c r="A70" s="463" t="s">
        <v>1054</v>
      </c>
      <c r="B70" s="470">
        <v>1612</v>
      </c>
      <c r="C70" s="551">
        <v>13779</v>
      </c>
      <c r="D70" s="468"/>
      <c r="E70" s="468"/>
      <c r="F70" s="468"/>
      <c r="G70" s="468"/>
      <c r="H70" s="468"/>
      <c r="I70" s="468"/>
      <c r="J70" s="468"/>
      <c r="K70" s="468"/>
    </row>
    <row r="71" spans="1:11" ht="12.75" customHeight="1" x14ac:dyDescent="0.2">
      <c r="A71" s="463" t="s">
        <v>291</v>
      </c>
      <c r="B71" s="470">
        <v>1613</v>
      </c>
      <c r="C71" s="551">
        <v>557920</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13109</v>
      </c>
      <c r="D73" s="468"/>
      <c r="E73" s="468"/>
      <c r="F73" s="468"/>
      <c r="G73" s="468"/>
      <c r="H73" s="468"/>
      <c r="I73" s="468"/>
      <c r="J73" s="468"/>
      <c r="K73" s="468"/>
    </row>
    <row r="74" spans="1:11" ht="12.75" customHeight="1" x14ac:dyDescent="0.2">
      <c r="A74" s="463" t="s">
        <v>25</v>
      </c>
      <c r="B74" s="470">
        <v>1690</v>
      </c>
      <c r="C74" s="551">
        <v>635</v>
      </c>
      <c r="D74" s="468"/>
      <c r="E74" s="468"/>
      <c r="F74" s="468"/>
      <c r="G74" s="468"/>
      <c r="H74" s="468"/>
      <c r="I74" s="468"/>
      <c r="J74" s="468"/>
      <c r="K74" s="468"/>
    </row>
    <row r="75" spans="1:11" ht="12.75" customHeight="1" thickBot="1" x14ac:dyDescent="0.25">
      <c r="A75" s="1730" t="s">
        <v>569</v>
      </c>
      <c r="B75" s="1731"/>
      <c r="C75" s="1710">
        <f>SUM(C69:C74)</f>
        <v>965178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231207</v>
      </c>
      <c r="D77" s="466"/>
      <c r="E77" s="468"/>
      <c r="F77" s="468"/>
      <c r="G77" s="468"/>
      <c r="H77" s="468"/>
      <c r="I77" s="468"/>
      <c r="J77" s="468"/>
      <c r="K77" s="468"/>
    </row>
    <row r="78" spans="1:11" ht="12.75" customHeight="1" x14ac:dyDescent="0.2">
      <c r="A78" s="463" t="s">
        <v>78</v>
      </c>
      <c r="B78" s="470">
        <v>1719</v>
      </c>
      <c r="C78" s="551">
        <v>215350</v>
      </c>
      <c r="D78" s="466"/>
      <c r="E78" s="468"/>
      <c r="F78" s="468"/>
      <c r="G78" s="468"/>
      <c r="H78" s="468"/>
      <c r="I78" s="468"/>
      <c r="J78" s="468"/>
      <c r="K78" s="468"/>
    </row>
    <row r="79" spans="1:11" ht="12.75" customHeight="1" x14ac:dyDescent="0.2">
      <c r="A79" s="463" t="s">
        <v>571</v>
      </c>
      <c r="B79" s="470">
        <v>1720</v>
      </c>
      <c r="C79" s="551">
        <v>557653</v>
      </c>
      <c r="D79" s="466">
        <v>177805</v>
      </c>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616561</v>
      </c>
      <c r="D81" s="466">
        <v>290</v>
      </c>
      <c r="E81" s="468"/>
      <c r="F81" s="468"/>
      <c r="G81" s="468"/>
      <c r="H81" s="468"/>
      <c r="I81" s="468"/>
      <c r="J81" s="468"/>
      <c r="K81" s="468"/>
    </row>
    <row r="82" spans="1:11" ht="12.75" customHeight="1" thickBot="1" x14ac:dyDescent="0.25">
      <c r="A82" s="1730" t="s">
        <v>259</v>
      </c>
      <c r="B82" s="1731"/>
      <c r="C82" s="1729">
        <f>SUM(C77:C81)</f>
        <v>1620771</v>
      </c>
      <c r="D82" s="1710">
        <f>SUM(D77:D81)</f>
        <v>178095</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1104370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v>182</v>
      </c>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v>250</v>
      </c>
      <c r="D92" s="468"/>
      <c r="E92" s="468"/>
      <c r="F92" s="468"/>
      <c r="G92" s="468"/>
      <c r="H92" s="468"/>
      <c r="I92" s="468"/>
      <c r="J92" s="468"/>
      <c r="K92" s="468"/>
    </row>
    <row r="93" spans="1:11" ht="12.75" customHeight="1" thickBot="1" x14ac:dyDescent="0.25">
      <c r="A93" s="1730" t="s">
        <v>261</v>
      </c>
      <c r="B93" s="1731"/>
      <c r="C93" s="1710">
        <f>SUM(C84:C92)</f>
        <v>1104802</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92703</v>
      </c>
      <c r="E95" s="521"/>
      <c r="F95" s="521"/>
      <c r="G95" s="521"/>
      <c r="H95" s="521"/>
      <c r="I95" s="521"/>
      <c r="J95" s="521"/>
      <c r="K95" s="521"/>
    </row>
    <row r="96" spans="1:11" ht="12.75" customHeight="1" x14ac:dyDescent="0.2">
      <c r="A96" s="463" t="s">
        <v>409</v>
      </c>
      <c r="B96" s="470">
        <v>1920</v>
      </c>
      <c r="C96" s="551">
        <v>14532</v>
      </c>
      <c r="D96" s="551"/>
      <c r="E96" s="479"/>
      <c r="F96" s="478"/>
      <c r="G96" s="478"/>
      <c r="H96" s="478"/>
      <c r="I96" s="478"/>
      <c r="J96" s="478"/>
      <c r="K96" s="478"/>
    </row>
    <row r="97" spans="1:12" ht="12.75" customHeight="1" x14ac:dyDescent="0.2">
      <c r="A97" s="1517" t="s">
        <v>262</v>
      </c>
      <c r="B97" s="559">
        <v>1930</v>
      </c>
      <c r="C97" s="489"/>
      <c r="D97" s="467"/>
      <c r="E97" s="474"/>
      <c r="F97" s="467"/>
      <c r="G97" s="467"/>
      <c r="H97" s="467">
        <v>29934</v>
      </c>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54844</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51786</v>
      </c>
      <c r="D101" s="526"/>
      <c r="E101" s="480"/>
      <c r="F101" s="526"/>
      <c r="G101" s="475"/>
      <c r="H101" s="526"/>
      <c r="I101" s="468"/>
      <c r="J101" s="475"/>
      <c r="K101" s="475"/>
    </row>
    <row r="102" spans="1:12" ht="12.75" customHeight="1" x14ac:dyDescent="0.2">
      <c r="A102" s="463" t="s">
        <v>265</v>
      </c>
      <c r="B102" s="470">
        <v>1980</v>
      </c>
      <c r="C102" s="489">
        <v>57568</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1197</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115661</v>
      </c>
      <c r="D106" s="489"/>
      <c r="E106" s="467"/>
      <c r="F106" s="467"/>
      <c r="G106" s="467"/>
      <c r="H106" s="467"/>
      <c r="I106" s="521"/>
      <c r="J106" s="467"/>
      <c r="K106" s="467"/>
    </row>
    <row r="107" spans="1:12" ht="12.75" customHeight="1" x14ac:dyDescent="0.2">
      <c r="A107" s="463" t="s">
        <v>80</v>
      </c>
      <c r="B107" s="470">
        <v>1999</v>
      </c>
      <c r="C107" s="551">
        <v>2796998</v>
      </c>
      <c r="D107" s="466">
        <v>3803</v>
      </c>
      <c r="E107" s="466"/>
      <c r="F107" s="466"/>
      <c r="G107" s="466"/>
      <c r="H107" s="466">
        <v>68107</v>
      </c>
      <c r="I107" s="466"/>
      <c r="J107" s="467"/>
      <c r="K107" s="466"/>
    </row>
    <row r="108" spans="1:12" ht="12.75" customHeight="1" thickBot="1" x14ac:dyDescent="0.25">
      <c r="A108" s="1730" t="s">
        <v>508</v>
      </c>
      <c r="B108" s="1734"/>
      <c r="C108" s="1729">
        <f>SUM(C95:C107)</f>
        <v>3092586</v>
      </c>
      <c r="D108" s="1729">
        <f t="shared" ref="D108:K108" si="3">SUM(D95:D107)</f>
        <v>96506</v>
      </c>
      <c r="E108" s="1729">
        <f t="shared" si="3"/>
        <v>0</v>
      </c>
      <c r="F108" s="1729">
        <f t="shared" si="3"/>
        <v>0</v>
      </c>
      <c r="G108" s="1729">
        <f t="shared" si="3"/>
        <v>0</v>
      </c>
      <c r="H108" s="1729">
        <f t="shared" si="3"/>
        <v>98041</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71236218</v>
      </c>
      <c r="D109" s="1737">
        <f t="shared" si="4"/>
        <v>5452342</v>
      </c>
      <c r="E109" s="1737">
        <f t="shared" si="4"/>
        <v>1387582</v>
      </c>
      <c r="F109" s="1737">
        <f t="shared" si="4"/>
        <v>1543016</v>
      </c>
      <c r="G109" s="1737">
        <f t="shared" si="4"/>
        <v>2401560</v>
      </c>
      <c r="H109" s="1737">
        <f t="shared" si="4"/>
        <v>134624</v>
      </c>
      <c r="I109" s="1737">
        <f t="shared" si="4"/>
        <v>23510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f>5060126+50000</f>
        <v>5110126</v>
      </c>
      <c r="D117" s="481"/>
      <c r="E117" s="466"/>
      <c r="F117" s="481"/>
      <c r="G117" s="481"/>
      <c r="H117" s="466">
        <f>9322451-50000</f>
        <v>9272451</v>
      </c>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5110126</v>
      </c>
      <c r="D121" s="1729">
        <f t="shared" si="5"/>
        <v>0</v>
      </c>
      <c r="E121" s="1729">
        <f t="shared" si="5"/>
        <v>0</v>
      </c>
      <c r="F121" s="1729">
        <f t="shared" si="5"/>
        <v>0</v>
      </c>
      <c r="G121" s="1729">
        <f t="shared" si="5"/>
        <v>0</v>
      </c>
      <c r="H121" s="1729">
        <f t="shared" si="5"/>
        <v>9272451</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282719</v>
      </c>
      <c r="D124" s="561"/>
      <c r="E124" s="468"/>
      <c r="F124" s="548"/>
      <c r="G124" s="468"/>
      <c r="H124" s="468"/>
      <c r="I124" s="468"/>
      <c r="J124" s="468"/>
      <c r="K124" s="468"/>
    </row>
    <row r="125" spans="1:11" ht="12.75" customHeight="1" x14ac:dyDescent="0.2">
      <c r="A125" s="463" t="s">
        <v>1521</v>
      </c>
      <c r="B125" s="562">
        <v>3105</v>
      </c>
      <c r="C125" s="466">
        <v>197164</v>
      </c>
      <c r="D125" s="561"/>
      <c r="E125" s="468"/>
      <c r="F125" s="466"/>
      <c r="G125" s="468"/>
      <c r="H125" s="468"/>
      <c r="I125" s="468"/>
      <c r="J125" s="468"/>
      <c r="K125" s="468"/>
    </row>
    <row r="126" spans="1:11" ht="12.75" customHeight="1" x14ac:dyDescent="0.2">
      <c r="A126" s="463" t="s">
        <v>922</v>
      </c>
      <c r="B126" s="562">
        <v>3110</v>
      </c>
      <c r="C126" s="551">
        <v>220284</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700167</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139324</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139324</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21506</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21506</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3866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188338</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57685</v>
      </c>
      <c r="G151" s="467"/>
      <c r="H151" s="468"/>
      <c r="I151" s="468"/>
      <c r="J151" s="468"/>
      <c r="K151" s="468"/>
    </row>
    <row r="152" spans="1:11" ht="12.75" customHeight="1" x14ac:dyDescent="0.2">
      <c r="A152" s="463" t="s">
        <v>1117</v>
      </c>
      <c r="B152" s="562">
        <v>3510</v>
      </c>
      <c r="C152" s="551"/>
      <c r="D152" s="466"/>
      <c r="E152" s="561"/>
      <c r="F152" s="466">
        <v>1152077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1209762</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32803</v>
      </c>
      <c r="D171" s="580"/>
      <c r="E171" s="580"/>
      <c r="F171" s="580"/>
      <c r="G171" s="581"/>
      <c r="H171" s="582"/>
      <c r="I171" s="581"/>
      <c r="J171" s="581"/>
      <c r="K171" s="582"/>
    </row>
    <row r="172" spans="1:11" ht="12.75" customHeight="1" thickTop="1" thickBot="1" x14ac:dyDescent="0.25">
      <c r="A172" s="2231" t="s">
        <v>418</v>
      </c>
      <c r="B172" s="2232"/>
      <c r="C172" s="1744">
        <f t="shared" ref="C172:K172" si="6">SUM(C131,C140,C144,C145:C149,C154,C155:C170,C171)</f>
        <v>1086004</v>
      </c>
      <c r="D172" s="1744">
        <f t="shared" si="6"/>
        <v>0</v>
      </c>
      <c r="E172" s="1744">
        <f t="shared" si="6"/>
        <v>0</v>
      </c>
      <c r="F172" s="1744">
        <f t="shared" si="6"/>
        <v>1209762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6196130</v>
      </c>
      <c r="D173" s="1737">
        <f>SUM(D121,D172)</f>
        <v>0</v>
      </c>
      <c r="E173" s="1737">
        <f>SUM(E121,E172)</f>
        <v>0</v>
      </c>
      <c r="F173" s="1737">
        <f t="shared" ref="F173:K173" si="7">SUM(F121,F172)</f>
        <v>1209762</v>
      </c>
      <c r="G173" s="1737">
        <f t="shared" si="7"/>
        <v>0</v>
      </c>
      <c r="H173" s="1737">
        <f t="shared" si="7"/>
        <v>9272451</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233" t="s">
        <v>1572</v>
      </c>
      <c r="B175" s="223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237" t="s">
        <v>1764</v>
      </c>
      <c r="B178" s="223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241" t="s">
        <v>1763</v>
      </c>
      <c r="B179" s="224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239" t="s">
        <v>818</v>
      </c>
      <c r="B184" s="224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235" t="s">
        <v>1903</v>
      </c>
      <c r="B185" s="223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384855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54475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v>74972</v>
      </c>
      <c r="D200" s="468"/>
      <c r="E200" s="561"/>
      <c r="F200" s="468"/>
      <c r="G200" s="585"/>
      <c r="H200" s="468"/>
      <c r="I200" s="468"/>
      <c r="J200" s="468"/>
      <c r="K200" s="468"/>
    </row>
    <row r="201" spans="1:11" ht="12.75" customHeight="1" thickBot="1" x14ac:dyDescent="0.25">
      <c r="A201" s="1730" t="s">
        <v>569</v>
      </c>
      <c r="B201" s="1731"/>
      <c r="C201" s="1710">
        <f>SUM(C193:C200)</f>
        <v>514302</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428666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428666</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6100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6100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1182936</v>
      </c>
      <c r="D220" s="466"/>
      <c r="E220" s="468"/>
      <c r="F220" s="466"/>
      <c r="G220" s="466"/>
      <c r="H220" s="468"/>
      <c r="I220" s="468"/>
      <c r="J220" s="468"/>
      <c r="K220" s="468"/>
    </row>
    <row r="221" spans="1:11" ht="12.75" customHeight="1" x14ac:dyDescent="0.2">
      <c r="A221" s="463" t="s">
        <v>1114</v>
      </c>
      <c r="B221" s="470">
        <v>4625</v>
      </c>
      <c r="C221" s="551">
        <v>142351</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1325287</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121800</v>
      </c>
      <c r="D227" s="466"/>
      <c r="E227" s="468"/>
      <c r="F227" s="468"/>
      <c r="G227" s="466"/>
      <c r="H227" s="468"/>
      <c r="I227" s="468"/>
      <c r="J227" s="468"/>
      <c r="K227" s="468"/>
    </row>
    <row r="228" spans="1:11" ht="12.75" customHeight="1" thickBot="1" x14ac:dyDescent="0.25">
      <c r="A228" s="1745" t="s">
        <v>1145</v>
      </c>
      <c r="B228" s="1746"/>
      <c r="C228" s="1729">
        <f>SUM(C226:C227)</f>
        <v>121800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58954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48370</v>
      </c>
      <c r="D270" s="576"/>
      <c r="E270" s="468"/>
      <c r="F270" s="576"/>
      <c r="G270" s="576"/>
      <c r="H270" s="468"/>
      <c r="I270" s="468"/>
      <c r="J270" s="468"/>
      <c r="K270" s="468"/>
    </row>
    <row r="271" spans="1:11" ht="12.75" customHeight="1" thickTop="1" thickBot="1" x14ac:dyDescent="0.25">
      <c r="A271" s="463" t="s">
        <v>395</v>
      </c>
      <c r="B271" s="470">
        <v>4992</v>
      </c>
      <c r="C271" s="575">
        <v>131363</v>
      </c>
      <c r="D271" s="576"/>
      <c r="E271" s="468"/>
      <c r="F271" s="576"/>
      <c r="G271" s="576"/>
      <c r="H271" s="468"/>
      <c r="I271" s="468"/>
      <c r="J271" s="468"/>
      <c r="K271" s="468"/>
    </row>
    <row r="272" spans="1:11" s="594" customFormat="1" ht="12.75" customHeight="1" thickTop="1" thickBot="1" x14ac:dyDescent="0.25">
      <c r="A272" s="563" t="s">
        <v>77</v>
      </c>
      <c r="B272" s="557">
        <v>4999</v>
      </c>
      <c r="C272" s="575">
        <v>19508</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2654350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2654350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80086698</v>
      </c>
      <c r="D275" s="1737">
        <f t="shared" si="12"/>
        <v>5452342</v>
      </c>
      <c r="E275" s="1737">
        <f t="shared" si="12"/>
        <v>1387582</v>
      </c>
      <c r="F275" s="1737">
        <f t="shared" si="12"/>
        <v>2752778</v>
      </c>
      <c r="G275" s="1737">
        <f t="shared" si="12"/>
        <v>2401560</v>
      </c>
      <c r="H275" s="1737">
        <f t="shared" si="12"/>
        <v>9407075</v>
      </c>
      <c r="I275" s="1737">
        <f t="shared" si="12"/>
        <v>23510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0" activePane="bottomLeft" state="frozen"/>
      <selection activeCell="N22" sqref="N22"/>
      <selection pane="bottomLeft" activeCell="N22" sqref="N2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211"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4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51" t="s">
        <v>315</v>
      </c>
      <c r="B3" s="225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26819656</v>
      </c>
      <c r="D5" s="466">
        <v>6795053</v>
      </c>
      <c r="E5" s="466">
        <v>590199</v>
      </c>
      <c r="F5" s="466">
        <v>1205537</v>
      </c>
      <c r="G5" s="466">
        <v>95036</v>
      </c>
      <c r="H5" s="466">
        <v>9182</v>
      </c>
      <c r="I5" s="467">
        <v>119147</v>
      </c>
      <c r="J5" s="467">
        <v>128673</v>
      </c>
      <c r="K5" s="1693">
        <f>SUM(C5:J5)</f>
        <v>35762483</v>
      </c>
      <c r="L5" s="466">
        <v>38746191</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c r="D7" s="467"/>
      <c r="E7" s="467"/>
      <c r="F7" s="467"/>
      <c r="G7" s="467"/>
      <c r="H7" s="467"/>
      <c r="I7" s="467"/>
      <c r="J7" s="467"/>
      <c r="K7" s="1693">
        <f t="shared" ref="K7:K32" si="0">SUM(C7:J7)</f>
        <v>0</v>
      </c>
      <c r="L7" s="466">
        <v>0</v>
      </c>
    </row>
    <row r="8" spans="1:14" x14ac:dyDescent="0.2">
      <c r="A8" s="1526" t="s">
        <v>166</v>
      </c>
      <c r="B8" s="615">
        <v>1200</v>
      </c>
      <c r="C8" s="466">
        <v>6633505</v>
      </c>
      <c r="D8" s="466">
        <v>1812510</v>
      </c>
      <c r="E8" s="466">
        <v>192522</v>
      </c>
      <c r="F8" s="466">
        <v>140631</v>
      </c>
      <c r="G8" s="466"/>
      <c r="H8" s="466">
        <v>1050</v>
      </c>
      <c r="I8" s="467">
        <v>40851</v>
      </c>
      <c r="J8" s="467"/>
      <c r="K8" s="1693">
        <f t="shared" si="0"/>
        <v>8821069</v>
      </c>
      <c r="L8" s="466">
        <v>8928094</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c r="D10" s="466"/>
      <c r="E10" s="466"/>
      <c r="F10" s="466"/>
      <c r="G10" s="466"/>
      <c r="H10" s="466"/>
      <c r="I10" s="467"/>
      <c r="J10" s="467"/>
      <c r="K10" s="1693">
        <f t="shared" si="0"/>
        <v>0</v>
      </c>
      <c r="L10" s="466">
        <v>0</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v>2533399</v>
      </c>
      <c r="D13" s="466">
        <v>658875</v>
      </c>
      <c r="E13" s="466">
        <v>21120</v>
      </c>
      <c r="F13" s="466">
        <v>43740</v>
      </c>
      <c r="G13" s="466">
        <v>50756</v>
      </c>
      <c r="H13" s="466"/>
      <c r="I13" s="467">
        <v>139115</v>
      </c>
      <c r="J13" s="467"/>
      <c r="K13" s="1693">
        <f t="shared" si="0"/>
        <v>3447005</v>
      </c>
      <c r="L13" s="466">
        <v>3321790</v>
      </c>
    </row>
    <row r="14" spans="1:14" x14ac:dyDescent="0.2">
      <c r="A14" s="1526" t="s">
        <v>1020</v>
      </c>
      <c r="B14" s="615">
        <v>1500</v>
      </c>
      <c r="C14" s="466">
        <v>2971797</v>
      </c>
      <c r="D14" s="466">
        <v>244585</v>
      </c>
      <c r="E14" s="466">
        <v>464911</v>
      </c>
      <c r="F14" s="466">
        <v>435794</v>
      </c>
      <c r="G14" s="466">
        <v>30282</v>
      </c>
      <c r="H14" s="466">
        <v>258489</v>
      </c>
      <c r="I14" s="467">
        <v>21747</v>
      </c>
      <c r="J14" s="467"/>
      <c r="K14" s="1693">
        <f t="shared" si="0"/>
        <v>4427605</v>
      </c>
      <c r="L14" s="466">
        <v>4698738</v>
      </c>
    </row>
    <row r="15" spans="1:14" x14ac:dyDescent="0.2">
      <c r="A15" s="1526" t="s">
        <v>1021</v>
      </c>
      <c r="B15" s="615">
        <v>1600</v>
      </c>
      <c r="C15" s="466">
        <v>262210</v>
      </c>
      <c r="D15" s="466">
        <v>17486</v>
      </c>
      <c r="E15" s="466"/>
      <c r="F15" s="466">
        <v>1583</v>
      </c>
      <c r="G15" s="466"/>
      <c r="H15" s="466"/>
      <c r="I15" s="467"/>
      <c r="J15" s="467"/>
      <c r="K15" s="1693">
        <f t="shared" si="0"/>
        <v>281279</v>
      </c>
      <c r="L15" s="466">
        <v>316603</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v>198969</v>
      </c>
      <c r="D17" s="467">
        <v>57200</v>
      </c>
      <c r="E17" s="467">
        <v>55933</v>
      </c>
      <c r="F17" s="467">
        <v>17091</v>
      </c>
      <c r="G17" s="467"/>
      <c r="H17" s="467"/>
      <c r="I17" s="467"/>
      <c r="J17" s="467"/>
      <c r="K17" s="1693">
        <f t="shared" si="0"/>
        <v>329193</v>
      </c>
      <c r="L17" s="466">
        <v>331172</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v>17902</v>
      </c>
      <c r="I21" s="617"/>
      <c r="J21" s="477"/>
      <c r="K21" s="1693">
        <f t="shared" si="0"/>
        <v>17902</v>
      </c>
      <c r="L21" s="471">
        <v>45000</v>
      </c>
    </row>
    <row r="22" spans="1:12" x14ac:dyDescent="0.2">
      <c r="A22" s="1527" t="s">
        <v>764</v>
      </c>
      <c r="B22" s="603" t="s">
        <v>751</v>
      </c>
      <c r="C22" s="477"/>
      <c r="D22" s="477"/>
      <c r="E22" s="477"/>
      <c r="F22" s="477"/>
      <c r="G22" s="477"/>
      <c r="H22" s="474">
        <v>651627</v>
      </c>
      <c r="I22" s="617"/>
      <c r="J22" s="477"/>
      <c r="K22" s="1693">
        <f t="shared" si="0"/>
        <v>651627</v>
      </c>
      <c r="L22" s="471">
        <v>900000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39419536</v>
      </c>
      <c r="D33" s="1692">
        <f t="shared" ref="D33:L33" si="1">SUM(D5:D32)</f>
        <v>9585709</v>
      </c>
      <c r="E33" s="1692">
        <f t="shared" si="1"/>
        <v>1324685</v>
      </c>
      <c r="F33" s="1692">
        <f t="shared" si="1"/>
        <v>1844376</v>
      </c>
      <c r="G33" s="1692">
        <f t="shared" si="1"/>
        <v>176074</v>
      </c>
      <c r="H33" s="1692">
        <f t="shared" si="1"/>
        <v>938250</v>
      </c>
      <c r="I33" s="1692">
        <f t="shared" si="1"/>
        <v>320860</v>
      </c>
      <c r="J33" s="1692">
        <f t="shared" si="1"/>
        <v>128673</v>
      </c>
      <c r="K33" s="1692">
        <f t="shared" si="1"/>
        <v>53738163</v>
      </c>
      <c r="L33" s="1692">
        <f t="shared" si="1"/>
        <v>57287588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1207150</v>
      </c>
      <c r="D36" s="481">
        <v>331959</v>
      </c>
      <c r="E36" s="481"/>
      <c r="F36" s="481"/>
      <c r="G36" s="481"/>
      <c r="H36" s="481"/>
      <c r="I36" s="467"/>
      <c r="J36" s="467"/>
      <c r="K36" s="1693">
        <f t="shared" ref="K36:K41" si="2">SUM(C36:J36)</f>
        <v>1539109</v>
      </c>
      <c r="L36" s="466">
        <v>1484116</v>
      </c>
    </row>
    <row r="37" spans="1:14" x14ac:dyDescent="0.2">
      <c r="A37" s="1526" t="s">
        <v>1151</v>
      </c>
      <c r="B37" s="615">
        <v>2120</v>
      </c>
      <c r="C37" s="466">
        <v>2803172</v>
      </c>
      <c r="D37" s="466">
        <v>770379</v>
      </c>
      <c r="E37" s="466">
        <v>12298</v>
      </c>
      <c r="F37" s="466">
        <v>42725</v>
      </c>
      <c r="G37" s="466"/>
      <c r="H37" s="466">
        <v>3028</v>
      </c>
      <c r="I37" s="467"/>
      <c r="J37" s="467"/>
      <c r="K37" s="1693">
        <f t="shared" si="2"/>
        <v>3631602</v>
      </c>
      <c r="L37" s="466">
        <v>3607226</v>
      </c>
    </row>
    <row r="38" spans="1:14" x14ac:dyDescent="0.2">
      <c r="A38" s="1526" t="s">
        <v>207</v>
      </c>
      <c r="B38" s="615">
        <v>2130</v>
      </c>
      <c r="C38" s="466">
        <v>447048</v>
      </c>
      <c r="D38" s="466">
        <v>122207</v>
      </c>
      <c r="E38" s="466">
        <v>157938</v>
      </c>
      <c r="F38" s="466">
        <v>3450</v>
      </c>
      <c r="G38" s="466"/>
      <c r="H38" s="466"/>
      <c r="I38" s="467"/>
      <c r="J38" s="467"/>
      <c r="K38" s="1693">
        <f t="shared" si="2"/>
        <v>730643</v>
      </c>
      <c r="L38" s="466">
        <v>808856</v>
      </c>
    </row>
    <row r="39" spans="1:14" x14ac:dyDescent="0.2">
      <c r="A39" s="1526" t="s">
        <v>208</v>
      </c>
      <c r="B39" s="615">
        <v>2140</v>
      </c>
      <c r="C39" s="466">
        <v>382789</v>
      </c>
      <c r="D39" s="466">
        <v>80217</v>
      </c>
      <c r="E39" s="466"/>
      <c r="F39" s="466"/>
      <c r="G39" s="466"/>
      <c r="H39" s="466"/>
      <c r="I39" s="467"/>
      <c r="J39" s="467"/>
      <c r="K39" s="1693">
        <f t="shared" si="2"/>
        <v>463006</v>
      </c>
      <c r="L39" s="466">
        <v>470210</v>
      </c>
    </row>
    <row r="40" spans="1:14" x14ac:dyDescent="0.2">
      <c r="A40" s="1526" t="s">
        <v>209</v>
      </c>
      <c r="B40" s="615">
        <v>2150</v>
      </c>
      <c r="C40" s="466">
        <v>348830</v>
      </c>
      <c r="D40" s="466">
        <v>68601</v>
      </c>
      <c r="E40" s="466"/>
      <c r="F40" s="466"/>
      <c r="G40" s="466"/>
      <c r="H40" s="466"/>
      <c r="I40" s="467"/>
      <c r="J40" s="467"/>
      <c r="K40" s="1693">
        <f t="shared" si="2"/>
        <v>417431</v>
      </c>
      <c r="L40" s="466">
        <v>410343</v>
      </c>
    </row>
    <row r="41" spans="1:14" x14ac:dyDescent="0.2">
      <c r="A41" s="1526" t="s">
        <v>1768</v>
      </c>
      <c r="B41" s="615">
        <v>2190</v>
      </c>
      <c r="C41" s="466"/>
      <c r="D41" s="466"/>
      <c r="E41" s="466"/>
      <c r="F41" s="466"/>
      <c r="G41" s="466"/>
      <c r="H41" s="466"/>
      <c r="I41" s="467"/>
      <c r="J41" s="467"/>
      <c r="K41" s="1693">
        <f t="shared" si="2"/>
        <v>0</v>
      </c>
      <c r="L41" s="466">
        <v>0</v>
      </c>
    </row>
    <row r="42" spans="1:14" ht="12.75" customHeight="1" thickBot="1" x14ac:dyDescent="0.25">
      <c r="A42" s="1690" t="s">
        <v>581</v>
      </c>
      <c r="B42" s="1691" t="s">
        <v>740</v>
      </c>
      <c r="C42" s="1692">
        <f>SUM(C36:C41)</f>
        <v>5188989</v>
      </c>
      <c r="D42" s="1692">
        <f t="shared" ref="D42:L42" si="3">SUM(D36:D41)</f>
        <v>1373363</v>
      </c>
      <c r="E42" s="1692">
        <f t="shared" si="3"/>
        <v>170236</v>
      </c>
      <c r="F42" s="1692">
        <f t="shared" si="3"/>
        <v>46175</v>
      </c>
      <c r="G42" s="1692">
        <f t="shared" si="3"/>
        <v>0</v>
      </c>
      <c r="H42" s="1692">
        <f t="shared" si="3"/>
        <v>3028</v>
      </c>
      <c r="I42" s="1692">
        <f t="shared" si="3"/>
        <v>0</v>
      </c>
      <c r="J42" s="1692">
        <f t="shared" si="3"/>
        <v>0</v>
      </c>
      <c r="K42" s="1692">
        <f t="shared" si="3"/>
        <v>6781791</v>
      </c>
      <c r="L42" s="1692">
        <f t="shared" si="3"/>
        <v>6780751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3176382</v>
      </c>
      <c r="D44" s="481">
        <v>1096173</v>
      </c>
      <c r="E44" s="481">
        <v>266893</v>
      </c>
      <c r="F44" s="481">
        <v>15507</v>
      </c>
      <c r="G44" s="481"/>
      <c r="H44" s="481">
        <v>191</v>
      </c>
      <c r="I44" s="467"/>
      <c r="J44" s="467"/>
      <c r="K44" s="1694">
        <f>SUM(C44:J44)</f>
        <v>4555146</v>
      </c>
      <c r="L44" s="481">
        <v>4743091</v>
      </c>
    </row>
    <row r="45" spans="1:14" x14ac:dyDescent="0.2">
      <c r="A45" s="1526" t="s">
        <v>869</v>
      </c>
      <c r="B45" s="615">
        <v>2220</v>
      </c>
      <c r="C45" s="466">
        <v>636307</v>
      </c>
      <c r="D45" s="466">
        <v>162227</v>
      </c>
      <c r="E45" s="466">
        <v>67519</v>
      </c>
      <c r="F45" s="466">
        <v>90934</v>
      </c>
      <c r="G45" s="466"/>
      <c r="H45" s="466">
        <v>165</v>
      </c>
      <c r="I45" s="467">
        <v>17385</v>
      </c>
      <c r="J45" s="467"/>
      <c r="K45" s="1694">
        <f>SUM(C45:J45)</f>
        <v>974537</v>
      </c>
      <c r="L45" s="466">
        <v>947972</v>
      </c>
    </row>
    <row r="46" spans="1:14" x14ac:dyDescent="0.2">
      <c r="A46" s="1526" t="s">
        <v>870</v>
      </c>
      <c r="B46" s="615">
        <v>2230</v>
      </c>
      <c r="C46" s="466">
        <v>5950</v>
      </c>
      <c r="D46" s="466">
        <v>17</v>
      </c>
      <c r="E46" s="466">
        <v>131147</v>
      </c>
      <c r="F46" s="466">
        <v>357923</v>
      </c>
      <c r="G46" s="466"/>
      <c r="H46" s="466"/>
      <c r="I46" s="467"/>
      <c r="J46" s="467"/>
      <c r="K46" s="1694">
        <f>SUM(C46:J46)</f>
        <v>495037</v>
      </c>
      <c r="L46" s="466">
        <v>562450</v>
      </c>
    </row>
    <row r="47" spans="1:14" ht="12.75" customHeight="1" thickBot="1" x14ac:dyDescent="0.25">
      <c r="A47" s="1690" t="s">
        <v>582</v>
      </c>
      <c r="B47" s="1691" t="s">
        <v>32</v>
      </c>
      <c r="C47" s="1692">
        <f>SUM(C44:C46)</f>
        <v>3818639</v>
      </c>
      <c r="D47" s="1692">
        <f t="shared" ref="D47:K47" si="4">SUM(D44:D46)</f>
        <v>1258417</v>
      </c>
      <c r="E47" s="1692">
        <f t="shared" si="4"/>
        <v>465559</v>
      </c>
      <c r="F47" s="1692">
        <f t="shared" si="4"/>
        <v>464364</v>
      </c>
      <c r="G47" s="1692">
        <f t="shared" si="4"/>
        <v>0</v>
      </c>
      <c r="H47" s="1692">
        <f t="shared" si="4"/>
        <v>356</v>
      </c>
      <c r="I47" s="1692">
        <f t="shared" si="4"/>
        <v>17385</v>
      </c>
      <c r="J47" s="1692">
        <f t="shared" si="4"/>
        <v>0</v>
      </c>
      <c r="K47" s="1692">
        <f t="shared" si="4"/>
        <v>6024720</v>
      </c>
      <c r="L47" s="1692">
        <f>SUM(L44:L46)</f>
        <v>6253513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59359</v>
      </c>
      <c r="D49" s="481">
        <v>11194</v>
      </c>
      <c r="E49" s="481">
        <v>314694</v>
      </c>
      <c r="F49" s="481">
        <v>22487</v>
      </c>
      <c r="G49" s="481"/>
      <c r="H49" s="481">
        <v>17509</v>
      </c>
      <c r="I49" s="467"/>
      <c r="J49" s="467"/>
      <c r="K49" s="1694">
        <f>SUM(C49:J49)</f>
        <v>425243</v>
      </c>
      <c r="L49" s="481">
        <v>662587</v>
      </c>
    </row>
    <row r="50" spans="1:14" x14ac:dyDescent="0.2">
      <c r="A50" s="1526" t="s">
        <v>872</v>
      </c>
      <c r="B50" s="615">
        <v>2320</v>
      </c>
      <c r="C50" s="466">
        <v>364524</v>
      </c>
      <c r="D50" s="466">
        <v>112494</v>
      </c>
      <c r="E50" s="466">
        <v>8213</v>
      </c>
      <c r="F50" s="466">
        <v>5658</v>
      </c>
      <c r="G50" s="466"/>
      <c r="H50" s="466">
        <v>2856</v>
      </c>
      <c r="I50" s="467"/>
      <c r="J50" s="467"/>
      <c r="K50" s="1694">
        <f>SUM(C50:J50)</f>
        <v>493745</v>
      </c>
      <c r="L50" s="466">
        <v>526350</v>
      </c>
    </row>
    <row r="51" spans="1:14" x14ac:dyDescent="0.2">
      <c r="A51" s="1526" t="s">
        <v>44</v>
      </c>
      <c r="B51" s="615">
        <v>2330</v>
      </c>
      <c r="C51" s="466"/>
      <c r="D51" s="466">
        <v>258</v>
      </c>
      <c r="E51" s="466"/>
      <c r="F51" s="466"/>
      <c r="G51" s="466"/>
      <c r="H51" s="466"/>
      <c r="I51" s="467"/>
      <c r="J51" s="467"/>
      <c r="K51" s="1694">
        <f>SUM(C51:J51)</f>
        <v>258</v>
      </c>
      <c r="L51" s="466">
        <v>250</v>
      </c>
    </row>
    <row r="52" spans="1:14" ht="22.5" x14ac:dyDescent="0.2">
      <c r="A52" s="1527" t="s">
        <v>316</v>
      </c>
      <c r="B52" s="628" t="s">
        <v>384</v>
      </c>
      <c r="C52" s="474"/>
      <c r="D52" s="474"/>
      <c r="E52" s="474">
        <v>686631</v>
      </c>
      <c r="F52" s="474"/>
      <c r="G52" s="474"/>
      <c r="H52" s="474">
        <v>40000</v>
      </c>
      <c r="I52" s="474"/>
      <c r="J52" s="474"/>
      <c r="K52" s="1694">
        <f>SUM(C52:J52)</f>
        <v>726631</v>
      </c>
      <c r="L52" s="474">
        <v>700000</v>
      </c>
    </row>
    <row r="53" spans="1:14" ht="12.75" customHeight="1" thickBot="1" x14ac:dyDescent="0.25">
      <c r="A53" s="1690" t="s">
        <v>741</v>
      </c>
      <c r="B53" s="1691" t="s">
        <v>33</v>
      </c>
      <c r="C53" s="1692">
        <f>SUM(C49:C52)</f>
        <v>423883</v>
      </c>
      <c r="D53" s="1692">
        <f t="shared" ref="D53:L53" si="5">SUM(D49:D52)</f>
        <v>123946</v>
      </c>
      <c r="E53" s="1692">
        <f t="shared" si="5"/>
        <v>1009538</v>
      </c>
      <c r="F53" s="1692">
        <f t="shared" si="5"/>
        <v>28145</v>
      </c>
      <c r="G53" s="1692">
        <f t="shared" si="5"/>
        <v>0</v>
      </c>
      <c r="H53" s="1692">
        <f t="shared" si="5"/>
        <v>60365</v>
      </c>
      <c r="I53" s="1692">
        <f t="shared" si="5"/>
        <v>0</v>
      </c>
      <c r="J53" s="1692">
        <f t="shared" si="5"/>
        <v>0</v>
      </c>
      <c r="K53" s="1692">
        <f t="shared" si="5"/>
        <v>1645877</v>
      </c>
      <c r="L53" s="1692">
        <f t="shared" si="5"/>
        <v>1889187</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1517884</v>
      </c>
      <c r="D55" s="481">
        <v>467085</v>
      </c>
      <c r="E55" s="481">
        <v>65853</v>
      </c>
      <c r="F55" s="481">
        <v>146524</v>
      </c>
      <c r="G55" s="481"/>
      <c r="H55" s="481">
        <v>7485</v>
      </c>
      <c r="I55" s="467">
        <v>28725</v>
      </c>
      <c r="J55" s="467"/>
      <c r="K55" s="1694">
        <f>SUM(C55:J55)</f>
        <v>2233556</v>
      </c>
      <c r="L55" s="481">
        <v>2242683</v>
      </c>
    </row>
    <row r="56" spans="1:14" ht="12.75" customHeight="1" x14ac:dyDescent="0.2">
      <c r="A56" s="1530" t="s">
        <v>394</v>
      </c>
      <c r="B56" s="629">
        <v>2490</v>
      </c>
      <c r="C56" s="466">
        <v>1166524</v>
      </c>
      <c r="D56" s="466">
        <v>375267</v>
      </c>
      <c r="E56" s="466"/>
      <c r="F56" s="466">
        <v>2434</v>
      </c>
      <c r="G56" s="466"/>
      <c r="H56" s="466"/>
      <c r="I56" s="467"/>
      <c r="J56" s="467"/>
      <c r="K56" s="1694">
        <f>SUM(C56:J56)</f>
        <v>1544225</v>
      </c>
      <c r="L56" s="466">
        <v>1398932</v>
      </c>
    </row>
    <row r="57" spans="1:14" s="343" customFormat="1" ht="12.75" customHeight="1" thickBot="1" x14ac:dyDescent="0.25">
      <c r="A57" s="1690" t="s">
        <v>281</v>
      </c>
      <c r="B57" s="1695" t="s">
        <v>34</v>
      </c>
      <c r="C57" s="1696">
        <f>SUM(C55:C56)</f>
        <v>2684408</v>
      </c>
      <c r="D57" s="1696">
        <f t="shared" ref="D57:K57" si="6">SUM(D55:D56)</f>
        <v>842352</v>
      </c>
      <c r="E57" s="1696">
        <f t="shared" si="6"/>
        <v>65853</v>
      </c>
      <c r="F57" s="1696">
        <f t="shared" si="6"/>
        <v>148958</v>
      </c>
      <c r="G57" s="1696">
        <f t="shared" si="6"/>
        <v>0</v>
      </c>
      <c r="H57" s="1696">
        <f t="shared" si="6"/>
        <v>7485</v>
      </c>
      <c r="I57" s="1696">
        <f t="shared" si="6"/>
        <v>28725</v>
      </c>
      <c r="J57" s="1696">
        <f t="shared" si="6"/>
        <v>0</v>
      </c>
      <c r="K57" s="1696">
        <f t="shared" si="6"/>
        <v>3777781</v>
      </c>
      <c r="L57" s="1692">
        <f>SUM(L55:L56)</f>
        <v>3641615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140006</v>
      </c>
      <c r="D59" s="481">
        <v>37067</v>
      </c>
      <c r="E59" s="481"/>
      <c r="F59" s="481"/>
      <c r="G59" s="481"/>
      <c r="H59" s="481"/>
      <c r="I59" s="467"/>
      <c r="J59" s="467"/>
      <c r="K59" s="1694">
        <f t="shared" ref="K59:K64" si="7">SUM(C59:J59)</f>
        <v>177073</v>
      </c>
      <c r="L59" s="481">
        <v>182845</v>
      </c>
      <c r="M59" s="610"/>
      <c r="N59" s="610"/>
    </row>
    <row r="60" spans="1:14" s="343" customFormat="1" x14ac:dyDescent="0.2">
      <c r="A60" s="1526" t="s">
        <v>483</v>
      </c>
      <c r="B60" s="615">
        <v>2520</v>
      </c>
      <c r="C60" s="466">
        <v>410430</v>
      </c>
      <c r="D60" s="466">
        <v>95848</v>
      </c>
      <c r="E60" s="466">
        <v>130260</v>
      </c>
      <c r="F60" s="466">
        <v>84586</v>
      </c>
      <c r="G60" s="466"/>
      <c r="H60" s="466">
        <v>4135</v>
      </c>
      <c r="I60" s="467"/>
      <c r="J60" s="467"/>
      <c r="K60" s="1694">
        <f t="shared" si="7"/>
        <v>725259</v>
      </c>
      <c r="L60" s="466">
        <v>701919</v>
      </c>
      <c r="M60" s="610"/>
      <c r="N60" s="610"/>
    </row>
    <row r="61" spans="1:14" s="343" customFormat="1" x14ac:dyDescent="0.2">
      <c r="A61" s="1526" t="s">
        <v>206</v>
      </c>
      <c r="B61" s="615">
        <v>2540</v>
      </c>
      <c r="C61" s="466"/>
      <c r="D61" s="466"/>
      <c r="E61" s="466"/>
      <c r="F61" s="466"/>
      <c r="G61" s="466"/>
      <c r="H61" s="466"/>
      <c r="I61" s="467"/>
      <c r="J61" s="467"/>
      <c r="K61" s="1694">
        <f t="shared" si="7"/>
        <v>0</v>
      </c>
      <c r="L61" s="466">
        <v>12000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v>328325</v>
      </c>
      <c r="D63" s="466">
        <v>188611</v>
      </c>
      <c r="E63" s="466">
        <v>1067023</v>
      </c>
      <c r="F63" s="466">
        <v>7547</v>
      </c>
      <c r="G63" s="466">
        <v>31753</v>
      </c>
      <c r="H63" s="466">
        <v>620</v>
      </c>
      <c r="I63" s="467">
        <v>6149</v>
      </c>
      <c r="J63" s="467"/>
      <c r="K63" s="1694">
        <f t="shared" si="7"/>
        <v>1630028</v>
      </c>
      <c r="L63" s="466">
        <v>1764358</v>
      </c>
    </row>
    <row r="64" spans="1:14" s="610" customFormat="1" x14ac:dyDescent="0.2">
      <c r="A64" s="1531" t="s">
        <v>103</v>
      </c>
      <c r="B64" s="631">
        <v>2570</v>
      </c>
      <c r="C64" s="481">
        <v>37966</v>
      </c>
      <c r="D64" s="481">
        <v>1378</v>
      </c>
      <c r="E64" s="481">
        <v>396</v>
      </c>
      <c r="F64" s="481">
        <v>27503</v>
      </c>
      <c r="G64" s="481"/>
      <c r="H64" s="481"/>
      <c r="I64" s="467"/>
      <c r="J64" s="467"/>
      <c r="K64" s="1694">
        <f t="shared" si="7"/>
        <v>67243</v>
      </c>
      <c r="L64" s="481">
        <v>67737</v>
      </c>
    </row>
    <row r="65" spans="1:14" s="343" customFormat="1" ht="12.75" customHeight="1" thickBot="1" x14ac:dyDescent="0.25">
      <c r="A65" s="1690" t="s">
        <v>743</v>
      </c>
      <c r="B65" s="1691" t="s">
        <v>35</v>
      </c>
      <c r="C65" s="1692">
        <f>SUM(C59:C64)</f>
        <v>916727</v>
      </c>
      <c r="D65" s="1692">
        <f t="shared" ref="D65:L65" si="8">SUM(D59:D64)</f>
        <v>322904</v>
      </c>
      <c r="E65" s="1692">
        <f t="shared" si="8"/>
        <v>1197679</v>
      </c>
      <c r="F65" s="1692">
        <f t="shared" si="8"/>
        <v>119636</v>
      </c>
      <c r="G65" s="1692">
        <f t="shared" si="8"/>
        <v>31753</v>
      </c>
      <c r="H65" s="1692">
        <f t="shared" si="8"/>
        <v>4755</v>
      </c>
      <c r="I65" s="1692">
        <f t="shared" si="8"/>
        <v>6149</v>
      </c>
      <c r="J65" s="1692">
        <f t="shared" si="8"/>
        <v>0</v>
      </c>
      <c r="K65" s="1692">
        <f t="shared" si="8"/>
        <v>2599603</v>
      </c>
      <c r="L65" s="1692">
        <f t="shared" si="8"/>
        <v>2728859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v>104243</v>
      </c>
      <c r="D69" s="466">
        <v>15815</v>
      </c>
      <c r="E69" s="466">
        <v>7825</v>
      </c>
      <c r="F69" s="466">
        <v>1385</v>
      </c>
      <c r="G69" s="466"/>
      <c r="H69" s="466">
        <v>103</v>
      </c>
      <c r="I69" s="467">
        <v>158</v>
      </c>
      <c r="J69" s="467"/>
      <c r="K69" s="1694">
        <f>SUM(C69:J69)</f>
        <v>129529</v>
      </c>
      <c r="L69" s="466">
        <v>166497</v>
      </c>
      <c r="M69" s="610"/>
      <c r="N69" s="610"/>
    </row>
    <row r="70" spans="1:14" s="343" customFormat="1" x14ac:dyDescent="0.2">
      <c r="A70" s="1526" t="s">
        <v>423</v>
      </c>
      <c r="B70" s="615">
        <v>2640</v>
      </c>
      <c r="C70" s="466">
        <v>299063</v>
      </c>
      <c r="D70" s="466">
        <v>104993</v>
      </c>
      <c r="E70" s="466">
        <v>37712</v>
      </c>
      <c r="F70" s="466">
        <v>42635</v>
      </c>
      <c r="G70" s="466"/>
      <c r="H70" s="466">
        <v>4781</v>
      </c>
      <c r="I70" s="467"/>
      <c r="J70" s="467"/>
      <c r="K70" s="1694">
        <f>SUM(C70:J70)</f>
        <v>489184</v>
      </c>
      <c r="L70" s="466">
        <v>521259</v>
      </c>
      <c r="M70" s="610"/>
      <c r="N70" s="610"/>
    </row>
    <row r="71" spans="1:14" s="343" customFormat="1" x14ac:dyDescent="0.2">
      <c r="A71" s="1526" t="s">
        <v>424</v>
      </c>
      <c r="B71" s="615">
        <v>2660</v>
      </c>
      <c r="C71" s="466">
        <v>938584</v>
      </c>
      <c r="D71" s="466">
        <v>154592</v>
      </c>
      <c r="E71" s="466">
        <v>495391</v>
      </c>
      <c r="F71" s="466">
        <v>149980</v>
      </c>
      <c r="G71" s="466">
        <v>6294</v>
      </c>
      <c r="H71" s="466">
        <v>1031</v>
      </c>
      <c r="I71" s="467">
        <v>785648</v>
      </c>
      <c r="J71" s="467"/>
      <c r="K71" s="1694">
        <f>SUM(C71:J71)</f>
        <v>2531520</v>
      </c>
      <c r="L71" s="466">
        <v>2685462</v>
      </c>
      <c r="M71" s="610"/>
      <c r="N71" s="610"/>
    </row>
    <row r="72" spans="1:14" s="343" customFormat="1" ht="12.75" customHeight="1" thickBot="1" x14ac:dyDescent="0.25">
      <c r="A72" s="1690" t="s">
        <v>37</v>
      </c>
      <c r="B72" s="1697" t="s">
        <v>36</v>
      </c>
      <c r="C72" s="1692">
        <f>SUM(C67:C71)</f>
        <v>1341890</v>
      </c>
      <c r="D72" s="1692">
        <f t="shared" ref="D72:K72" si="9">SUM(D67:D71)</f>
        <v>275400</v>
      </c>
      <c r="E72" s="1692">
        <f t="shared" si="9"/>
        <v>540928</v>
      </c>
      <c r="F72" s="1692">
        <f t="shared" si="9"/>
        <v>194000</v>
      </c>
      <c r="G72" s="1692">
        <f t="shared" si="9"/>
        <v>6294</v>
      </c>
      <c r="H72" s="1692">
        <f t="shared" si="9"/>
        <v>5915</v>
      </c>
      <c r="I72" s="1692">
        <f t="shared" si="9"/>
        <v>785806</v>
      </c>
      <c r="J72" s="1692">
        <f t="shared" si="9"/>
        <v>0</v>
      </c>
      <c r="K72" s="1692">
        <f t="shared" si="9"/>
        <v>3150233</v>
      </c>
      <c r="L72" s="1692">
        <f>SUM(L67:L71)</f>
        <v>3373218</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200</v>
      </c>
      <c r="M73" s="610"/>
      <c r="N73" s="610"/>
    </row>
    <row r="74" spans="1:14" ht="12.75" customHeight="1" thickTop="1" thickBot="1" x14ac:dyDescent="0.25">
      <c r="A74" s="1690" t="s">
        <v>865</v>
      </c>
      <c r="B74" s="1698">
        <v>2000</v>
      </c>
      <c r="C74" s="1699">
        <f>SUM(C42,C47,C53,C57,C65,C72,C73)</f>
        <v>14374536</v>
      </c>
      <c r="D74" s="1699">
        <f t="shared" ref="D74:K74" si="10">SUM(D42,D47,D53,D57,D65,D72,D73)</f>
        <v>4196382</v>
      </c>
      <c r="E74" s="1699">
        <f t="shared" si="10"/>
        <v>3449793</v>
      </c>
      <c r="F74" s="1699">
        <f t="shared" si="10"/>
        <v>1001278</v>
      </c>
      <c r="G74" s="1699">
        <f t="shared" si="10"/>
        <v>38047</v>
      </c>
      <c r="H74" s="1699">
        <f t="shared" si="10"/>
        <v>81904</v>
      </c>
      <c r="I74" s="1699">
        <f t="shared" si="10"/>
        <v>838065</v>
      </c>
      <c r="J74" s="1699">
        <f t="shared" si="10"/>
        <v>0</v>
      </c>
      <c r="K74" s="1699">
        <f t="shared" si="10"/>
        <v>23980005</v>
      </c>
      <c r="L74" s="1699">
        <f>SUM(L42,L47,L53,L57,L65,L72,L73)</f>
        <v>24667343</v>
      </c>
    </row>
    <row r="75" spans="1:14" s="259" customFormat="1" ht="15.75" customHeight="1" thickTop="1" thickBot="1" x14ac:dyDescent="0.25">
      <c r="A75" s="1632" t="s">
        <v>49</v>
      </c>
      <c r="B75" s="1633" t="s">
        <v>596</v>
      </c>
      <c r="C75" s="573"/>
      <c r="D75" s="573"/>
      <c r="E75" s="573">
        <v>1223</v>
      </c>
      <c r="F75" s="573"/>
      <c r="G75" s="573"/>
      <c r="H75" s="573"/>
      <c r="I75" s="531"/>
      <c r="J75" s="531"/>
      <c r="K75" s="1692">
        <f>SUM(C75:J75)</f>
        <v>1223</v>
      </c>
      <c r="L75" s="576">
        <v>1012</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0</v>
      </c>
    </row>
    <row r="79" spans="1:14" x14ac:dyDescent="0.2">
      <c r="A79" s="1526" t="s">
        <v>322</v>
      </c>
      <c r="B79" s="615">
        <v>4120</v>
      </c>
      <c r="C79" s="617"/>
      <c r="D79" s="617"/>
      <c r="E79" s="466">
        <v>77751</v>
      </c>
      <c r="F79" s="617"/>
      <c r="G79" s="617"/>
      <c r="H79" s="466"/>
      <c r="I79" s="477"/>
      <c r="J79" s="477"/>
      <c r="K79" s="1693">
        <f t="shared" si="11"/>
        <v>77751</v>
      </c>
      <c r="L79" s="466">
        <v>150000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v>129337</v>
      </c>
      <c r="F83" s="617"/>
      <c r="G83" s="617"/>
      <c r="H83" s="466"/>
      <c r="I83" s="477"/>
      <c r="J83" s="477"/>
      <c r="K83" s="1693">
        <f t="shared" si="11"/>
        <v>129337</v>
      </c>
      <c r="L83" s="466">
        <v>115000</v>
      </c>
    </row>
    <row r="84" spans="1:12" ht="13.5" thickBot="1" x14ac:dyDescent="0.25">
      <c r="A84" s="1690" t="s">
        <v>1565</v>
      </c>
      <c r="B84" s="1700">
        <v>4100</v>
      </c>
      <c r="C84" s="617"/>
      <c r="D84" s="617"/>
      <c r="E84" s="1692">
        <f>SUM(E78:E83)</f>
        <v>207088</v>
      </c>
      <c r="F84" s="617"/>
      <c r="G84" s="617"/>
      <c r="H84" s="1692">
        <f>SUM(H78:H83)</f>
        <v>0</v>
      </c>
      <c r="I84" s="477"/>
      <c r="J84" s="477"/>
      <c r="K84" s="1692">
        <f>SUM(K78:K83)</f>
        <v>207088</v>
      </c>
      <c r="L84" s="1692">
        <f>SUM(L78:L83)</f>
        <v>265000</v>
      </c>
    </row>
    <row r="85" spans="1:12" ht="12.75" customHeight="1" thickTop="1" thickBot="1" x14ac:dyDescent="0.25">
      <c r="A85" s="1533" t="s">
        <v>273</v>
      </c>
      <c r="B85" s="636">
        <v>4210</v>
      </c>
      <c r="C85" s="617"/>
      <c r="D85" s="617"/>
      <c r="E85" s="637"/>
      <c r="F85" s="617"/>
      <c r="G85" s="617"/>
      <c r="H85" s="535"/>
      <c r="I85" s="477"/>
      <c r="J85" s="477"/>
      <c r="K85" s="1699">
        <f>H85</f>
        <v>0</v>
      </c>
      <c r="L85" s="530">
        <v>10000</v>
      </c>
    </row>
    <row r="86" spans="1:12" ht="12.75" customHeight="1" thickTop="1" thickBot="1" x14ac:dyDescent="0.25">
      <c r="A86" s="1534" t="s">
        <v>723</v>
      </c>
      <c r="B86" s="638">
        <v>4220</v>
      </c>
      <c r="C86" s="617"/>
      <c r="D86" s="617"/>
      <c r="E86" s="639"/>
      <c r="F86" s="617"/>
      <c r="G86" s="617"/>
      <c r="H86" s="467">
        <v>91427</v>
      </c>
      <c r="I86" s="477"/>
      <c r="J86" s="477"/>
      <c r="K86" s="1699">
        <f t="shared" ref="K86:K98" si="12">H86</f>
        <v>91427</v>
      </c>
      <c r="L86" s="530">
        <v>20000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2000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91427</v>
      </c>
      <c r="I92" s="477"/>
      <c r="J92" s="477"/>
      <c r="K92" s="1699">
        <f t="shared" si="12"/>
        <v>91427</v>
      </c>
      <c r="L92" s="1692">
        <f>SUM(L85:L91)</f>
        <v>32000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207088</v>
      </c>
      <c r="F102" s="617"/>
      <c r="G102" s="617"/>
      <c r="H102" s="1699">
        <f>SUM(H84,H92,H100,H101)</f>
        <v>91427</v>
      </c>
      <c r="I102" s="477"/>
      <c r="J102" s="477"/>
      <c r="K102" s="1699">
        <f>SUM(K84,K92,K100,K101)</f>
        <v>298515</v>
      </c>
      <c r="L102" s="1699">
        <f>SUM(L84,L92,L100,L101)</f>
        <v>297000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250000</v>
      </c>
      <c r="M113" s="614"/>
      <c r="N113" s="614"/>
    </row>
    <row r="114" spans="1:14" ht="12.75" customHeight="1" thickTop="1" thickBot="1" x14ac:dyDescent="0.25">
      <c r="A114" s="1690" t="s">
        <v>50</v>
      </c>
      <c r="B114" s="1704"/>
      <c r="C114" s="1692">
        <f>SUM(C33,C74,C75,C102,C112,C113)</f>
        <v>53794072</v>
      </c>
      <c r="D114" s="1692">
        <f t="shared" ref="D114:K114" si="13">SUM(D33,D74,D75,D102,D112,D113)</f>
        <v>13782091</v>
      </c>
      <c r="E114" s="1692">
        <f t="shared" si="13"/>
        <v>4982789</v>
      </c>
      <c r="F114" s="1692">
        <f t="shared" si="13"/>
        <v>2845654</v>
      </c>
      <c r="G114" s="1692">
        <f t="shared" si="13"/>
        <v>214121</v>
      </c>
      <c r="H114" s="1692">
        <f>SUM(H33,H74,H75,H102,H112,H113)</f>
        <v>1111581</v>
      </c>
      <c r="I114" s="1692">
        <f t="shared" si="13"/>
        <v>1158925</v>
      </c>
      <c r="J114" s="1692">
        <f t="shared" si="13"/>
        <v>128673</v>
      </c>
      <c r="K114" s="1692">
        <f t="shared" si="13"/>
        <v>78017906</v>
      </c>
      <c r="L114" s="1692">
        <f>SUM(L33,L74,L75,L102,L112,L113)</f>
        <v>82502943</v>
      </c>
    </row>
    <row r="115" spans="1:14" ht="13.5" thickTop="1" x14ac:dyDescent="0.2">
      <c r="A115" s="2243" t="s">
        <v>1053</v>
      </c>
      <c r="B115" s="2244"/>
      <c r="C115" s="619"/>
      <c r="D115" s="619"/>
      <c r="E115" s="619"/>
      <c r="F115" s="619"/>
      <c r="G115" s="619"/>
      <c r="H115" s="619"/>
      <c r="I115" s="619"/>
      <c r="J115" s="619"/>
      <c r="K115" s="1706">
        <f>'Revenues 9-14'!C275-'Expenditures 15-22'!K114</f>
        <v>2068792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48" t="s">
        <v>314</v>
      </c>
      <c r="B117" s="224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v>66200</v>
      </c>
      <c r="H123" s="466"/>
      <c r="I123" s="467"/>
      <c r="J123" s="467"/>
      <c r="K123" s="1692">
        <f>SUM(C123:J123)</f>
        <v>66200</v>
      </c>
      <c r="L123" s="466">
        <v>77700</v>
      </c>
    </row>
    <row r="124" spans="1:14" ht="14.25" thickTop="1" thickBot="1" x14ac:dyDescent="0.25">
      <c r="A124" s="1526" t="s">
        <v>206</v>
      </c>
      <c r="B124" s="615">
        <v>2540</v>
      </c>
      <c r="C124" s="466">
        <v>2543295</v>
      </c>
      <c r="D124" s="466">
        <v>622690</v>
      </c>
      <c r="E124" s="466">
        <v>1339360</v>
      </c>
      <c r="F124" s="466">
        <v>1782418</v>
      </c>
      <c r="G124" s="466">
        <v>235553</v>
      </c>
      <c r="H124" s="466"/>
      <c r="I124" s="467">
        <v>53355</v>
      </c>
      <c r="J124" s="467"/>
      <c r="K124" s="1692">
        <f>SUM(C124:J124)</f>
        <v>6576671</v>
      </c>
      <c r="L124" s="466">
        <v>6901262</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2543295</v>
      </c>
      <c r="D127" s="1692">
        <f t="shared" ref="D127:L127" si="14">SUM(D122:D126)</f>
        <v>622690</v>
      </c>
      <c r="E127" s="1692">
        <f t="shared" si="14"/>
        <v>1339360</v>
      </c>
      <c r="F127" s="1692">
        <f t="shared" si="14"/>
        <v>1782418</v>
      </c>
      <c r="G127" s="1692">
        <f t="shared" si="14"/>
        <v>301753</v>
      </c>
      <c r="H127" s="1692">
        <f t="shared" si="14"/>
        <v>0</v>
      </c>
      <c r="I127" s="1692">
        <f t="shared" si="14"/>
        <v>53355</v>
      </c>
      <c r="J127" s="1692">
        <f t="shared" si="14"/>
        <v>0</v>
      </c>
      <c r="K127" s="1692">
        <f t="shared" si="14"/>
        <v>6642871</v>
      </c>
      <c r="L127" s="1692">
        <f t="shared" si="14"/>
        <v>6978962</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2543295</v>
      </c>
      <c r="D129" s="1699">
        <f t="shared" ref="D129:L129" si="15">SUM(D120,D127,D128)</f>
        <v>622690</v>
      </c>
      <c r="E129" s="1699">
        <f t="shared" si="15"/>
        <v>1339360</v>
      </c>
      <c r="F129" s="1699">
        <f t="shared" si="15"/>
        <v>1782418</v>
      </c>
      <c r="G129" s="1699">
        <f t="shared" si="15"/>
        <v>301753</v>
      </c>
      <c r="H129" s="1699">
        <f t="shared" si="15"/>
        <v>0</v>
      </c>
      <c r="I129" s="1699">
        <f t="shared" si="15"/>
        <v>53355</v>
      </c>
      <c r="J129" s="1699">
        <f t="shared" si="15"/>
        <v>0</v>
      </c>
      <c r="K129" s="1699">
        <f t="shared" si="15"/>
        <v>6642871</v>
      </c>
      <c r="L129" s="1699">
        <f t="shared" si="15"/>
        <v>6978962</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1953</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642">
        <v>0</v>
      </c>
    </row>
    <row r="135" spans="1:14" x14ac:dyDescent="0.2">
      <c r="A135" s="1526" t="s">
        <v>721</v>
      </c>
      <c r="B135" s="615">
        <v>4140</v>
      </c>
      <c r="C135" s="617"/>
      <c r="D135" s="617"/>
      <c r="E135" s="467"/>
      <c r="F135" s="617"/>
      <c r="G135" s="617"/>
      <c r="H135" s="466"/>
      <c r="I135" s="477"/>
      <c r="J135" s="617"/>
      <c r="K135" s="1694">
        <f>SUM(E135,H135)</f>
        <v>0</v>
      </c>
      <c r="L135" s="642">
        <v>0</v>
      </c>
    </row>
    <row r="136" spans="1:14" x14ac:dyDescent="0.2">
      <c r="A136" s="1530" t="s">
        <v>722</v>
      </c>
      <c r="B136" s="629">
        <v>4190</v>
      </c>
      <c r="C136" s="617"/>
      <c r="D136" s="617"/>
      <c r="E136" s="467"/>
      <c r="F136" s="617"/>
      <c r="G136" s="617"/>
      <c r="H136" s="466"/>
      <c r="I136" s="477"/>
      <c r="J136" s="617"/>
      <c r="K136" s="1694">
        <f>SUM(E136,H136)</f>
        <v>0</v>
      </c>
      <c r="L136" s="642">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81">
        <v>0</v>
      </c>
    </row>
    <row r="144" spans="1:14" ht="12.75" customHeight="1" x14ac:dyDescent="0.2">
      <c r="A144" s="1526" t="s">
        <v>1232</v>
      </c>
      <c r="B144" s="629" t="s">
        <v>638</v>
      </c>
      <c r="C144" s="617"/>
      <c r="D144" s="617"/>
      <c r="E144" s="617"/>
      <c r="F144" s="617"/>
      <c r="G144" s="617"/>
      <c r="H144" s="466"/>
      <c r="I144" s="468"/>
      <c r="J144" s="617"/>
      <c r="K144" s="1694">
        <f>SUM(H144)</f>
        <v>0</v>
      </c>
      <c r="L144" s="481">
        <v>0</v>
      </c>
    </row>
    <row r="145" spans="1:14" x14ac:dyDescent="0.2">
      <c r="A145" s="1526" t="s">
        <v>91</v>
      </c>
      <c r="B145" s="615" t="s">
        <v>610</v>
      </c>
      <c r="C145" s="617"/>
      <c r="D145" s="617"/>
      <c r="E145" s="617"/>
      <c r="F145" s="617"/>
      <c r="G145" s="617"/>
      <c r="H145" s="466"/>
      <c r="I145" s="468"/>
      <c r="J145" s="617"/>
      <c r="K145" s="1694">
        <f>SUM(H145)</f>
        <v>0</v>
      </c>
      <c r="L145" s="481">
        <v>0</v>
      </c>
    </row>
    <row r="146" spans="1:14" ht="12.75" customHeight="1" x14ac:dyDescent="0.2">
      <c r="A146" s="1526" t="s">
        <v>640</v>
      </c>
      <c r="B146" s="615" t="s">
        <v>639</v>
      </c>
      <c r="C146" s="617"/>
      <c r="D146" s="617"/>
      <c r="E146" s="617"/>
      <c r="F146" s="617"/>
      <c r="G146" s="617"/>
      <c r="H146" s="466"/>
      <c r="I146" s="468"/>
      <c r="J146" s="617"/>
      <c r="K146" s="1694">
        <f>SUM(H146)</f>
        <v>0</v>
      </c>
      <c r="L146" s="481">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500000</v>
      </c>
    </row>
    <row r="151" spans="1:14" ht="12.75" customHeight="1" thickTop="1" thickBot="1" x14ac:dyDescent="0.25">
      <c r="A151" s="2260" t="s">
        <v>641</v>
      </c>
      <c r="B151" s="2240"/>
      <c r="C151" s="1692">
        <f>SUM(C129,C130,C139,C149,C150)</f>
        <v>2543295</v>
      </c>
      <c r="D151" s="1692">
        <f t="shared" ref="D151:K151" si="16">SUM(D129,D130,D139,D149,D150)</f>
        <v>622690</v>
      </c>
      <c r="E151" s="1692">
        <f t="shared" si="16"/>
        <v>1339360</v>
      </c>
      <c r="F151" s="1692">
        <f t="shared" si="16"/>
        <v>1782418</v>
      </c>
      <c r="G151" s="1692">
        <f t="shared" si="16"/>
        <v>301753</v>
      </c>
      <c r="H151" s="1692">
        <f t="shared" si="16"/>
        <v>0</v>
      </c>
      <c r="I151" s="1692">
        <f t="shared" si="16"/>
        <v>53355</v>
      </c>
      <c r="J151" s="1692">
        <f t="shared" si="16"/>
        <v>0</v>
      </c>
      <c r="K151" s="1692">
        <f t="shared" si="16"/>
        <v>6642871</v>
      </c>
      <c r="L151" s="1692">
        <f>SUM(L129,L130,L139,L149,L150)</f>
        <v>7478962</v>
      </c>
    </row>
    <row r="152" spans="1:14" ht="12.75" customHeight="1" thickTop="1" x14ac:dyDescent="0.2">
      <c r="A152" s="2263" t="s">
        <v>1240</v>
      </c>
      <c r="B152" s="2264"/>
      <c r="C152" s="619"/>
      <c r="D152" s="619"/>
      <c r="E152" s="619"/>
      <c r="F152" s="619"/>
      <c r="G152" s="619"/>
      <c r="H152" s="619"/>
      <c r="I152" s="619"/>
      <c r="J152" s="617"/>
      <c r="K152" s="1706">
        <f>'Revenues 9-14'!D275-'Expenditures 15-22'!K151</f>
        <v>-1190529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48" t="s">
        <v>642</v>
      </c>
      <c r="B154" s="225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1953</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1955</v>
      </c>
      <c r="C158" s="617"/>
      <c r="D158" s="617"/>
      <c r="E158" s="617"/>
      <c r="F158" s="617"/>
      <c r="G158" s="617"/>
      <c r="H158" s="467"/>
      <c r="I158" s="617"/>
      <c r="J158" s="617"/>
      <c r="K158" s="1693">
        <f>H158</f>
        <v>0</v>
      </c>
      <c r="L158" s="467">
        <v>0</v>
      </c>
      <c r="M158" s="620"/>
      <c r="N158" s="620"/>
    </row>
    <row r="159" spans="1:14" s="621" customFormat="1" ht="12" x14ac:dyDescent="0.2">
      <c r="A159" s="1849" t="s">
        <v>1956</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1957</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605850</v>
      </c>
      <c r="I169" s="617"/>
      <c r="J169" s="617"/>
      <c r="K169" s="1693">
        <f>SUM(C169:H169)</f>
        <v>605850</v>
      </c>
      <c r="L169" s="657">
        <v>605850</v>
      </c>
    </row>
    <row r="170" spans="1:14" ht="33.75" customHeight="1" x14ac:dyDescent="0.2">
      <c r="A170" s="670" t="s">
        <v>1769</v>
      </c>
      <c r="B170" s="672" t="s">
        <v>31</v>
      </c>
      <c r="C170" s="617"/>
      <c r="D170" s="617"/>
      <c r="E170" s="617"/>
      <c r="F170" s="617"/>
      <c r="G170" s="617"/>
      <c r="H170" s="569">
        <v>765000</v>
      </c>
      <c r="I170" s="617"/>
      <c r="J170" s="617"/>
      <c r="K170" s="1693">
        <f>SUM(C170:J170)</f>
        <v>765000</v>
      </c>
      <c r="L170" s="569">
        <v>765000</v>
      </c>
    </row>
    <row r="171" spans="1:14" ht="15.75" customHeight="1" x14ac:dyDescent="0.2">
      <c r="A171" s="622" t="s">
        <v>790</v>
      </c>
      <c r="B171" s="673" t="s">
        <v>86</v>
      </c>
      <c r="C171" s="617"/>
      <c r="D171" s="617"/>
      <c r="E171" s="466"/>
      <c r="F171" s="617"/>
      <c r="G171" s="617"/>
      <c r="H171" s="569">
        <v>689</v>
      </c>
      <c r="I171" s="477"/>
      <c r="J171" s="617"/>
      <c r="K171" s="1693">
        <f>SUM(C171:J171)</f>
        <v>689</v>
      </c>
      <c r="L171" s="569">
        <v>1000</v>
      </c>
    </row>
    <row r="172" spans="1:14" ht="12.75" customHeight="1" thickBot="1" x14ac:dyDescent="0.25">
      <c r="A172" s="1690" t="s">
        <v>659</v>
      </c>
      <c r="B172" s="1691" t="s">
        <v>513</v>
      </c>
      <c r="C172" s="617"/>
      <c r="D172" s="617"/>
      <c r="E172" s="1699">
        <f>SUM(E168,E169,E170,E171)</f>
        <v>0</v>
      </c>
      <c r="F172" s="617"/>
      <c r="G172" s="617"/>
      <c r="H172" s="1699">
        <f>SUM(H168,H169,H170,H171)</f>
        <v>1371539</v>
      </c>
      <c r="I172" s="639"/>
      <c r="J172" s="617"/>
      <c r="K172" s="1699">
        <f>SUM(K168,K169,K170,K171)</f>
        <v>1371539</v>
      </c>
      <c r="L172" s="1699">
        <f>SUM(L168,L169,L170,L171)</f>
        <v>1371850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1371539</v>
      </c>
      <c r="I174" s="639"/>
      <c r="J174" s="617"/>
      <c r="K174" s="1699">
        <f>SUM(K160,K172,K173)</f>
        <v>1371539</v>
      </c>
      <c r="L174" s="1699">
        <f>SUM(L160,L172,L173)</f>
        <v>1371850</v>
      </c>
    </row>
    <row r="175" spans="1:14" ht="13.5" thickTop="1" x14ac:dyDescent="0.2">
      <c r="A175" s="2243" t="s">
        <v>1053</v>
      </c>
      <c r="B175" s="2244"/>
      <c r="C175" s="617"/>
      <c r="D175" s="617"/>
      <c r="E175" s="617"/>
      <c r="F175" s="617"/>
      <c r="G175" s="617"/>
      <c r="H175" s="619"/>
      <c r="I175" s="617"/>
      <c r="J175" s="617"/>
      <c r="K175" s="1706">
        <f>'Revenues 9-14'!E275-'Expenditures 15-22'!K174</f>
        <v>16043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3083217</v>
      </c>
      <c r="F182" s="466"/>
      <c r="G182" s="466">
        <v>534065</v>
      </c>
      <c r="H182" s="466"/>
      <c r="I182" s="467">
        <v>27628</v>
      </c>
      <c r="J182" s="467"/>
      <c r="K182" s="1693">
        <f>SUM(C182:J182)</f>
        <v>3644910</v>
      </c>
      <c r="L182" s="466">
        <v>4191889</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0</v>
      </c>
      <c r="D184" s="1699">
        <f t="shared" ref="D184:J184" si="17">SUM(D180,D182,D183)</f>
        <v>0</v>
      </c>
      <c r="E184" s="1699">
        <f t="shared" si="17"/>
        <v>3083217</v>
      </c>
      <c r="F184" s="1699">
        <f t="shared" si="17"/>
        <v>0</v>
      </c>
      <c r="G184" s="1699">
        <f t="shared" si="17"/>
        <v>534065</v>
      </c>
      <c r="H184" s="1699">
        <f t="shared" si="17"/>
        <v>0</v>
      </c>
      <c r="I184" s="1699">
        <f t="shared" si="17"/>
        <v>27628</v>
      </c>
      <c r="J184" s="1699">
        <f t="shared" si="17"/>
        <v>0</v>
      </c>
      <c r="K184" s="1699">
        <f>SUM(K180,K182,K183)</f>
        <v>3644910</v>
      </c>
      <c r="L184" s="1699">
        <f>SUM(L180, L182:L183)</f>
        <v>4191889</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66">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0</v>
      </c>
      <c r="D210" s="1692">
        <f>SUM(D184,D185)</f>
        <v>0</v>
      </c>
      <c r="E210" s="1692">
        <f>SUM(E184,E185,E196)</f>
        <v>3083217</v>
      </c>
      <c r="F210" s="1692">
        <f>SUM(F184,F185)</f>
        <v>0</v>
      </c>
      <c r="G210" s="1692">
        <f>SUM(G184,G185)</f>
        <v>534065</v>
      </c>
      <c r="H210" s="1692">
        <f>SUM(H184,H185,H196,H208,H209)</f>
        <v>0</v>
      </c>
      <c r="I210" s="1692">
        <f>SUM(I184,I185)</f>
        <v>27628</v>
      </c>
      <c r="J210" s="1692">
        <f>SUM(J184,J185)</f>
        <v>0</v>
      </c>
      <c r="K210" s="1693">
        <f>SUM(K184,K185,K196,K208,K209)</f>
        <v>3644910</v>
      </c>
      <c r="L210" s="1692">
        <f>SUM(L184,L185,L196,L208,L209)</f>
        <v>4191889</v>
      </c>
    </row>
    <row r="211" spans="1:14" ht="13.5" thickTop="1" x14ac:dyDescent="0.2">
      <c r="A211" s="2243" t="s">
        <v>1053</v>
      </c>
      <c r="B211" s="2244"/>
      <c r="C211" s="619"/>
      <c r="D211" s="619"/>
      <c r="E211" s="619"/>
      <c r="F211" s="619"/>
      <c r="G211" s="619"/>
      <c r="H211" s="619"/>
      <c r="I211" s="617"/>
      <c r="J211" s="617"/>
      <c r="K211" s="1706">
        <f>'Revenues 9-14'!F275-'Expenditures 15-22'!K210</f>
        <v>-892132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65" t="s">
        <v>1022</v>
      </c>
      <c r="B213" s="226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463101</v>
      </c>
      <c r="E215" s="617"/>
      <c r="F215" s="617"/>
      <c r="G215" s="617"/>
      <c r="H215" s="617"/>
      <c r="I215" s="617"/>
      <c r="J215" s="617"/>
      <c r="K215" s="1693">
        <f>D215</f>
        <v>463101</v>
      </c>
      <c r="L215" s="466">
        <v>499963</v>
      </c>
    </row>
    <row r="216" spans="1:14" x14ac:dyDescent="0.2">
      <c r="A216" s="1526" t="s">
        <v>165</v>
      </c>
      <c r="B216" s="615" t="s">
        <v>1024</v>
      </c>
      <c r="C216" s="617"/>
      <c r="D216" s="467"/>
      <c r="E216" s="617"/>
      <c r="F216" s="617"/>
      <c r="G216" s="617"/>
      <c r="H216" s="617"/>
      <c r="I216" s="617"/>
      <c r="J216" s="617"/>
      <c r="K216" s="1693">
        <f t="shared" ref="K216:K228" si="19">D216</f>
        <v>0</v>
      </c>
      <c r="L216" s="466">
        <v>0</v>
      </c>
    </row>
    <row r="217" spans="1:14" x14ac:dyDescent="0.2">
      <c r="A217" s="1526" t="s">
        <v>166</v>
      </c>
      <c r="B217" s="615">
        <v>1200</v>
      </c>
      <c r="C217" s="617"/>
      <c r="D217" s="466">
        <v>462561</v>
      </c>
      <c r="E217" s="617"/>
      <c r="F217" s="617"/>
      <c r="G217" s="617"/>
      <c r="H217" s="617"/>
      <c r="I217" s="617"/>
      <c r="J217" s="617"/>
      <c r="K217" s="1693">
        <f t="shared" si="19"/>
        <v>462561</v>
      </c>
      <c r="L217" s="466">
        <v>473327</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c r="E219" s="617"/>
      <c r="F219" s="617"/>
      <c r="G219" s="617"/>
      <c r="H219" s="617"/>
      <c r="I219" s="617"/>
      <c r="J219" s="617"/>
      <c r="K219" s="1693">
        <f t="shared" si="19"/>
        <v>0</v>
      </c>
      <c r="L219" s="466">
        <v>0</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v>35006</v>
      </c>
      <c r="E222" s="617"/>
      <c r="F222" s="617"/>
      <c r="G222" s="617"/>
      <c r="H222" s="617"/>
      <c r="I222" s="617"/>
      <c r="J222" s="617"/>
      <c r="K222" s="1693">
        <f t="shared" si="19"/>
        <v>35006</v>
      </c>
      <c r="L222" s="466">
        <v>37323</v>
      </c>
    </row>
    <row r="223" spans="1:14" x14ac:dyDescent="0.2">
      <c r="A223" s="1526" t="s">
        <v>1020</v>
      </c>
      <c r="B223" s="615">
        <v>1500</v>
      </c>
      <c r="C223" s="617"/>
      <c r="D223" s="466">
        <v>140443</v>
      </c>
      <c r="E223" s="617"/>
      <c r="F223" s="617"/>
      <c r="G223" s="617"/>
      <c r="H223" s="617"/>
      <c r="I223" s="617"/>
      <c r="J223" s="617"/>
      <c r="K223" s="1693">
        <f t="shared" si="19"/>
        <v>140443</v>
      </c>
      <c r="L223" s="466">
        <v>139018</v>
      </c>
    </row>
    <row r="224" spans="1:14" x14ac:dyDescent="0.2">
      <c r="A224" s="1526" t="s">
        <v>1021</v>
      </c>
      <c r="B224" s="615">
        <v>1600</v>
      </c>
      <c r="C224" s="617"/>
      <c r="D224" s="466">
        <v>4337</v>
      </c>
      <c r="E224" s="617"/>
      <c r="F224" s="617"/>
      <c r="G224" s="617"/>
      <c r="H224" s="617"/>
      <c r="I224" s="617"/>
      <c r="J224" s="617"/>
      <c r="K224" s="1693">
        <f t="shared" si="19"/>
        <v>4337</v>
      </c>
      <c r="L224" s="466">
        <v>4899</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v>2722</v>
      </c>
      <c r="E226" s="617"/>
      <c r="F226" s="617"/>
      <c r="G226" s="617"/>
      <c r="H226" s="617"/>
      <c r="I226" s="617"/>
      <c r="J226" s="617"/>
      <c r="K226" s="1693">
        <f t="shared" si="19"/>
        <v>2722</v>
      </c>
      <c r="L226" s="466">
        <v>2785</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1108170</v>
      </c>
      <c r="E229" s="617"/>
      <c r="F229" s="617"/>
      <c r="G229" s="617"/>
      <c r="H229" s="617"/>
      <c r="I229" s="617"/>
      <c r="J229" s="617"/>
      <c r="K229" s="1692">
        <f>SUM(K215:K228)</f>
        <v>1108170</v>
      </c>
      <c r="L229" s="1692">
        <f>SUM(L215:L228)</f>
        <v>1157315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68199</v>
      </c>
      <c r="E232" s="617"/>
      <c r="F232" s="617"/>
      <c r="G232" s="617"/>
      <c r="H232" s="617"/>
      <c r="I232" s="617"/>
      <c r="J232" s="617"/>
      <c r="K232" s="1693">
        <f t="shared" ref="K232:K237" si="20">D232</f>
        <v>68199</v>
      </c>
      <c r="L232" s="466">
        <v>58135</v>
      </c>
    </row>
    <row r="233" spans="1:12" x14ac:dyDescent="0.2">
      <c r="A233" s="1526" t="s">
        <v>1151</v>
      </c>
      <c r="B233" s="615">
        <v>2120</v>
      </c>
      <c r="C233" s="617"/>
      <c r="D233" s="466">
        <v>94919</v>
      </c>
      <c r="E233" s="617"/>
      <c r="F233" s="617"/>
      <c r="G233" s="617"/>
      <c r="H233" s="617"/>
      <c r="I233" s="617"/>
      <c r="J233" s="617"/>
      <c r="K233" s="1693">
        <f t="shared" si="20"/>
        <v>94919</v>
      </c>
      <c r="L233" s="466">
        <v>96145</v>
      </c>
    </row>
    <row r="234" spans="1:12" x14ac:dyDescent="0.2">
      <c r="A234" s="1526" t="s">
        <v>207</v>
      </c>
      <c r="B234" s="615">
        <v>2130</v>
      </c>
      <c r="C234" s="617"/>
      <c r="D234" s="466">
        <v>14178</v>
      </c>
      <c r="E234" s="617"/>
      <c r="F234" s="617"/>
      <c r="G234" s="617"/>
      <c r="H234" s="617"/>
      <c r="I234" s="617"/>
      <c r="J234" s="617"/>
      <c r="K234" s="1693">
        <f t="shared" si="20"/>
        <v>14178</v>
      </c>
      <c r="L234" s="466">
        <v>14706</v>
      </c>
    </row>
    <row r="235" spans="1:12" x14ac:dyDescent="0.2">
      <c r="A235" s="1526" t="s">
        <v>208</v>
      </c>
      <c r="B235" s="615">
        <v>2140</v>
      </c>
      <c r="C235" s="617"/>
      <c r="D235" s="466">
        <v>5343</v>
      </c>
      <c r="E235" s="617"/>
      <c r="F235" s="617"/>
      <c r="G235" s="617"/>
      <c r="H235" s="617"/>
      <c r="I235" s="617"/>
      <c r="J235" s="617"/>
      <c r="K235" s="1693">
        <f t="shared" si="20"/>
        <v>5343</v>
      </c>
      <c r="L235" s="466">
        <v>5486</v>
      </c>
    </row>
    <row r="236" spans="1:12" x14ac:dyDescent="0.2">
      <c r="A236" s="1526" t="s">
        <v>209</v>
      </c>
      <c r="B236" s="615">
        <v>2150</v>
      </c>
      <c r="C236" s="617"/>
      <c r="D236" s="466">
        <v>4829</v>
      </c>
      <c r="E236" s="617"/>
      <c r="F236" s="617"/>
      <c r="G236" s="617"/>
      <c r="H236" s="617"/>
      <c r="I236" s="617"/>
      <c r="J236" s="617"/>
      <c r="K236" s="1693">
        <f t="shared" si="20"/>
        <v>4829</v>
      </c>
      <c r="L236" s="466">
        <v>4663</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187468</v>
      </c>
      <c r="E238" s="617"/>
      <c r="F238" s="617"/>
      <c r="G238" s="617"/>
      <c r="H238" s="617"/>
      <c r="I238" s="617"/>
      <c r="J238" s="617"/>
      <c r="K238" s="1692">
        <f>SUM(K232:K237)</f>
        <v>187468</v>
      </c>
      <c r="L238" s="1692">
        <f>SUM(L232:L237)</f>
        <v>179135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62148</v>
      </c>
      <c r="E240" s="617"/>
      <c r="F240" s="617"/>
      <c r="G240" s="617"/>
      <c r="H240" s="617"/>
      <c r="I240" s="617"/>
      <c r="J240" s="617"/>
      <c r="K240" s="1694">
        <f>D240</f>
        <v>62148</v>
      </c>
      <c r="L240" s="481">
        <v>63345</v>
      </c>
    </row>
    <row r="241" spans="1:12" x14ac:dyDescent="0.2">
      <c r="A241" s="1526" t="s">
        <v>869</v>
      </c>
      <c r="B241" s="615">
        <v>2220</v>
      </c>
      <c r="C241" s="617"/>
      <c r="D241" s="466">
        <v>43277</v>
      </c>
      <c r="E241" s="617"/>
      <c r="F241" s="617"/>
      <c r="G241" s="617"/>
      <c r="H241" s="617"/>
      <c r="I241" s="617"/>
      <c r="J241" s="617"/>
      <c r="K241" s="1694">
        <f>D241</f>
        <v>43277</v>
      </c>
      <c r="L241" s="466">
        <v>34818</v>
      </c>
    </row>
    <row r="242" spans="1:12" x14ac:dyDescent="0.2">
      <c r="A242" s="1526" t="s">
        <v>870</v>
      </c>
      <c r="B242" s="615">
        <v>2230</v>
      </c>
      <c r="C242" s="617"/>
      <c r="D242" s="466">
        <v>267</v>
      </c>
      <c r="E242" s="617"/>
      <c r="F242" s="617"/>
      <c r="G242" s="617"/>
      <c r="H242" s="617"/>
      <c r="I242" s="617"/>
      <c r="J242" s="617"/>
      <c r="K242" s="1694">
        <f>D242</f>
        <v>267</v>
      </c>
      <c r="L242" s="466">
        <v>1148</v>
      </c>
    </row>
    <row r="243" spans="1:12" ht="12.75" customHeight="1" thickBot="1" x14ac:dyDescent="0.25">
      <c r="A243" s="1716" t="s">
        <v>582</v>
      </c>
      <c r="B243" s="1717">
        <v>2200</v>
      </c>
      <c r="C243" s="617"/>
      <c r="D243" s="1692">
        <f>SUM(D240:D242)</f>
        <v>105692</v>
      </c>
      <c r="E243" s="617"/>
      <c r="F243" s="617"/>
      <c r="G243" s="617"/>
      <c r="H243" s="617"/>
      <c r="I243" s="617"/>
      <c r="J243" s="617"/>
      <c r="K243" s="1692">
        <f>SUM(K240:K242)</f>
        <v>105692</v>
      </c>
      <c r="L243" s="1692">
        <f>SUM(L240:L242)</f>
        <v>99311</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10679</v>
      </c>
      <c r="E245" s="617"/>
      <c r="F245" s="617"/>
      <c r="G245" s="617"/>
      <c r="H245" s="617"/>
      <c r="I245" s="617"/>
      <c r="J245" s="617"/>
      <c r="K245" s="1694">
        <f>D245</f>
        <v>10679</v>
      </c>
      <c r="L245" s="481">
        <v>10752</v>
      </c>
    </row>
    <row r="246" spans="1:12" x14ac:dyDescent="0.2">
      <c r="A246" s="1526" t="s">
        <v>872</v>
      </c>
      <c r="B246" s="615">
        <v>2320</v>
      </c>
      <c r="C246" s="617"/>
      <c r="D246" s="466">
        <v>2794</v>
      </c>
      <c r="E246" s="617"/>
      <c r="F246" s="617"/>
      <c r="G246" s="617"/>
      <c r="H246" s="617"/>
      <c r="I246" s="617"/>
      <c r="J246" s="617"/>
      <c r="K246" s="1694">
        <f t="shared" ref="K246:K256" si="21">D246</f>
        <v>2794</v>
      </c>
      <c r="L246" s="466">
        <v>5119</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1905</v>
      </c>
      <c r="B249" s="684" t="s">
        <v>300</v>
      </c>
      <c r="C249" s="617"/>
      <c r="D249" s="474"/>
      <c r="E249" s="617"/>
      <c r="F249" s="617"/>
      <c r="G249" s="617"/>
      <c r="H249" s="617"/>
      <c r="I249" s="617"/>
      <c r="J249" s="617"/>
      <c r="K249" s="1694">
        <f t="shared" si="21"/>
        <v>0</v>
      </c>
      <c r="L249" s="466">
        <v>0</v>
      </c>
    </row>
    <row r="250" spans="1:12" x14ac:dyDescent="0.2">
      <c r="A250" s="1527" t="s">
        <v>1906</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13473</v>
      </c>
      <c r="E257" s="617"/>
      <c r="F257" s="617"/>
      <c r="G257" s="617"/>
      <c r="H257" s="617"/>
      <c r="I257" s="617"/>
      <c r="J257" s="617"/>
      <c r="K257" s="1692">
        <f>SUM(K245:K256)</f>
        <v>13473</v>
      </c>
      <c r="L257" s="1692">
        <f>SUM(L245:L256)</f>
        <v>15871</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79268</v>
      </c>
      <c r="E259" s="617"/>
      <c r="F259" s="617"/>
      <c r="G259" s="617"/>
      <c r="H259" s="617"/>
      <c r="I259" s="617"/>
      <c r="J259" s="617"/>
      <c r="K259" s="1694">
        <f>D259</f>
        <v>79268</v>
      </c>
      <c r="L259" s="481">
        <v>80919</v>
      </c>
    </row>
    <row r="260" spans="1:14" s="598" customFormat="1" x14ac:dyDescent="0.2">
      <c r="A260" s="1544" t="s">
        <v>1904</v>
      </c>
      <c r="B260" s="629">
        <v>2490</v>
      </c>
      <c r="C260" s="617"/>
      <c r="D260" s="466">
        <v>36948</v>
      </c>
      <c r="E260" s="617"/>
      <c r="F260" s="617"/>
      <c r="G260" s="617"/>
      <c r="H260" s="617"/>
      <c r="I260" s="617"/>
      <c r="J260" s="617"/>
      <c r="K260" s="1694">
        <f>D260</f>
        <v>36948</v>
      </c>
      <c r="L260" s="466">
        <v>35478</v>
      </c>
      <c r="M260" s="210"/>
      <c r="N260" s="210"/>
    </row>
    <row r="261" spans="1:14" ht="12.75" customHeight="1" thickBot="1" x14ac:dyDescent="0.25">
      <c r="A261" s="1714" t="s">
        <v>281</v>
      </c>
      <c r="B261" s="1719" t="s">
        <v>34</v>
      </c>
      <c r="C261" s="617"/>
      <c r="D261" s="1692">
        <f>SUM(D259:D260)</f>
        <v>116216</v>
      </c>
      <c r="E261" s="617"/>
      <c r="F261" s="617"/>
      <c r="G261" s="617"/>
      <c r="H261" s="617"/>
      <c r="I261" s="617"/>
      <c r="J261" s="617"/>
      <c r="K261" s="1692">
        <f>SUM(K259:K260)</f>
        <v>116216</v>
      </c>
      <c r="L261" s="1692">
        <f>SUM(L259:L260)</f>
        <v>116397</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2005</v>
      </c>
      <c r="E263" s="617"/>
      <c r="F263" s="617"/>
      <c r="G263" s="617"/>
      <c r="H263" s="617"/>
      <c r="I263" s="617"/>
      <c r="J263" s="617"/>
      <c r="K263" s="1694">
        <f>D263</f>
        <v>2005</v>
      </c>
      <c r="L263" s="481">
        <v>2094</v>
      </c>
    </row>
    <row r="264" spans="1:14" x14ac:dyDescent="0.2">
      <c r="A264" s="1526" t="s">
        <v>483</v>
      </c>
      <c r="B264" s="686">
        <v>2520</v>
      </c>
      <c r="C264" s="617"/>
      <c r="D264" s="466">
        <v>51267</v>
      </c>
      <c r="E264" s="617"/>
      <c r="F264" s="617"/>
      <c r="G264" s="617"/>
      <c r="H264" s="617"/>
      <c r="I264" s="617"/>
      <c r="J264" s="617"/>
      <c r="K264" s="1694">
        <f t="shared" ref="K264:K269" si="22">D264</f>
        <v>51267</v>
      </c>
      <c r="L264" s="466">
        <v>48101</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v>448537</v>
      </c>
      <c r="E266" s="617"/>
      <c r="F266" s="617"/>
      <c r="G266" s="617"/>
      <c r="H266" s="617"/>
      <c r="I266" s="617"/>
      <c r="J266" s="617"/>
      <c r="K266" s="1694">
        <f t="shared" si="22"/>
        <v>448537</v>
      </c>
      <c r="L266" s="466">
        <v>485214</v>
      </c>
    </row>
    <row r="267" spans="1:14" x14ac:dyDescent="0.2">
      <c r="A267" s="1526" t="s">
        <v>1010</v>
      </c>
      <c r="B267" s="615">
        <v>2550</v>
      </c>
      <c r="C267" s="617"/>
      <c r="D267" s="466"/>
      <c r="E267" s="617"/>
      <c r="F267" s="617"/>
      <c r="G267" s="617"/>
      <c r="H267" s="617"/>
      <c r="I267" s="617"/>
      <c r="J267" s="617"/>
      <c r="K267" s="1694">
        <f t="shared" si="22"/>
        <v>0</v>
      </c>
      <c r="L267" s="466">
        <v>0</v>
      </c>
    </row>
    <row r="268" spans="1:14" x14ac:dyDescent="0.2">
      <c r="A268" s="1526" t="s">
        <v>102</v>
      </c>
      <c r="B268" s="615">
        <v>2560</v>
      </c>
      <c r="C268" s="617"/>
      <c r="D268" s="466"/>
      <c r="E268" s="617"/>
      <c r="F268" s="617"/>
      <c r="G268" s="617"/>
      <c r="H268" s="617"/>
      <c r="I268" s="617"/>
      <c r="J268" s="617"/>
      <c r="K268" s="1694">
        <f t="shared" si="22"/>
        <v>0</v>
      </c>
      <c r="L268" s="466">
        <v>0</v>
      </c>
    </row>
    <row r="269" spans="1:14" x14ac:dyDescent="0.2">
      <c r="A269" s="1526" t="s">
        <v>103</v>
      </c>
      <c r="B269" s="615">
        <v>2570</v>
      </c>
      <c r="C269" s="617"/>
      <c r="D269" s="466">
        <v>6901</v>
      </c>
      <c r="E269" s="617"/>
      <c r="F269" s="617"/>
      <c r="G269" s="617"/>
      <c r="H269" s="617"/>
      <c r="I269" s="617"/>
      <c r="J269" s="617"/>
      <c r="K269" s="1694">
        <f t="shared" si="22"/>
        <v>6901</v>
      </c>
      <c r="L269" s="466">
        <v>6863</v>
      </c>
    </row>
    <row r="270" spans="1:14" ht="12.75" customHeight="1" thickBot="1" x14ac:dyDescent="0.25">
      <c r="A270" s="1690" t="s">
        <v>743</v>
      </c>
      <c r="B270" s="1697" t="s">
        <v>35</v>
      </c>
      <c r="C270" s="617"/>
      <c r="D270" s="1692">
        <f>SUM(D263:D269)</f>
        <v>508710</v>
      </c>
      <c r="E270" s="617"/>
      <c r="F270" s="617"/>
      <c r="G270" s="617"/>
      <c r="H270" s="617"/>
      <c r="I270" s="617"/>
      <c r="J270" s="617"/>
      <c r="K270" s="1692">
        <f>SUM(K263:K269)</f>
        <v>508710</v>
      </c>
      <c r="L270" s="1692">
        <f>SUM(L263:L269)</f>
        <v>542272</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v>17779</v>
      </c>
      <c r="E274" s="617"/>
      <c r="F274" s="617"/>
      <c r="G274" s="617"/>
      <c r="H274" s="617"/>
      <c r="I274" s="617"/>
      <c r="J274" s="617"/>
      <c r="K274" s="1694">
        <f>D274</f>
        <v>17779</v>
      </c>
      <c r="L274" s="466">
        <v>23517</v>
      </c>
    </row>
    <row r="275" spans="1:12" x14ac:dyDescent="0.2">
      <c r="A275" s="1526" t="s">
        <v>423</v>
      </c>
      <c r="B275" s="615">
        <v>2640</v>
      </c>
      <c r="C275" s="617"/>
      <c r="D275" s="466">
        <v>25250</v>
      </c>
      <c r="E275" s="617"/>
      <c r="F275" s="617"/>
      <c r="G275" s="617"/>
      <c r="H275" s="617"/>
      <c r="I275" s="617"/>
      <c r="J275" s="617"/>
      <c r="K275" s="1694">
        <f>D275</f>
        <v>25250</v>
      </c>
      <c r="L275" s="466">
        <v>26134</v>
      </c>
    </row>
    <row r="276" spans="1:12" x14ac:dyDescent="0.2">
      <c r="A276" s="1526" t="s">
        <v>424</v>
      </c>
      <c r="B276" s="615">
        <v>2660</v>
      </c>
      <c r="C276" s="617"/>
      <c r="D276" s="466">
        <v>167057</v>
      </c>
      <c r="E276" s="617"/>
      <c r="F276" s="617"/>
      <c r="G276" s="617"/>
      <c r="H276" s="617"/>
      <c r="I276" s="617"/>
      <c r="J276" s="617"/>
      <c r="K276" s="1694">
        <f>D276</f>
        <v>167057</v>
      </c>
      <c r="L276" s="466">
        <v>193388</v>
      </c>
    </row>
    <row r="277" spans="1:12" ht="12.75" customHeight="1" thickBot="1" x14ac:dyDescent="0.25">
      <c r="A277" s="1713" t="s">
        <v>37</v>
      </c>
      <c r="B277" s="1691" t="s">
        <v>36</v>
      </c>
      <c r="C277" s="617"/>
      <c r="D277" s="1692">
        <f>SUM(D272:D276)</f>
        <v>210086</v>
      </c>
      <c r="E277" s="617"/>
      <c r="F277" s="617"/>
      <c r="G277" s="617"/>
      <c r="H277" s="617"/>
      <c r="I277" s="617"/>
      <c r="J277" s="617"/>
      <c r="K277" s="1692">
        <f>SUM(K272:K276)</f>
        <v>210086</v>
      </c>
      <c r="L277" s="1692">
        <f>SUM(L272:L276)</f>
        <v>243039</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1141645</v>
      </c>
      <c r="E279" s="617"/>
      <c r="F279" s="617"/>
      <c r="G279" s="617"/>
      <c r="H279" s="617"/>
      <c r="I279" s="617"/>
      <c r="J279" s="617"/>
      <c r="K279" s="1699">
        <f>SUM(K238,K243,K257,K261,K270,K277,K278)</f>
        <v>1141645</v>
      </c>
      <c r="L279" s="1699">
        <f>SUM(L238,L243,L257,L261,L270,L277,L278)</f>
        <v>1196025</v>
      </c>
    </row>
    <row r="280" spans="1:12" ht="15.75" customHeight="1" thickTop="1" thickBot="1" x14ac:dyDescent="0.25">
      <c r="A280" s="1646" t="s">
        <v>930</v>
      </c>
      <c r="B280" s="1635">
        <v>3000</v>
      </c>
      <c r="C280" s="617"/>
      <c r="D280" s="576"/>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1953</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261" t="s">
        <v>526</v>
      </c>
      <c r="B295" s="2262"/>
      <c r="C295" s="617"/>
      <c r="D295" s="1692">
        <f>SUM(D229,D279,D280,D285)</f>
        <v>2249815</v>
      </c>
      <c r="E295" s="617"/>
      <c r="F295" s="617"/>
      <c r="G295" s="617"/>
      <c r="H295" s="1692">
        <f>H293</f>
        <v>0</v>
      </c>
      <c r="I295" s="617"/>
      <c r="J295" s="617"/>
      <c r="K295" s="1692">
        <f>SUM(K229,K279,K280,K285,K293,K294)</f>
        <v>2249815</v>
      </c>
      <c r="L295" s="1692">
        <f>SUM(L229,L279,L280,L285,L293,L294)</f>
        <v>2353340</v>
      </c>
    </row>
    <row r="296" spans="1:14" ht="13.5" thickTop="1" x14ac:dyDescent="0.2">
      <c r="A296" s="2243" t="s">
        <v>1053</v>
      </c>
      <c r="B296" s="2244"/>
      <c r="C296" s="617"/>
      <c r="D296" s="619"/>
      <c r="E296" s="617"/>
      <c r="F296" s="617"/>
      <c r="G296" s="617"/>
      <c r="H296" s="688"/>
      <c r="I296" s="617"/>
      <c r="J296" s="617"/>
      <c r="K296" s="1706">
        <f>'Revenues 9-14'!G275-'Expenditures 15-22'!K295</f>
        <v>151745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53" t="s">
        <v>145</v>
      </c>
      <c r="B298" s="224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778382</v>
      </c>
      <c r="F301" s="466"/>
      <c r="G301" s="466">
        <v>8565833</v>
      </c>
      <c r="H301" s="466"/>
      <c r="I301" s="467">
        <v>209602</v>
      </c>
      <c r="J301" s="467"/>
      <c r="K301" s="1693">
        <f>SUM(C301:J301)</f>
        <v>9553817</v>
      </c>
      <c r="L301" s="467">
        <v>1200000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778382</v>
      </c>
      <c r="F303" s="1699">
        <f t="shared" si="23"/>
        <v>0</v>
      </c>
      <c r="G303" s="1699">
        <f t="shared" si="23"/>
        <v>8565833</v>
      </c>
      <c r="H303" s="1699">
        <f t="shared" si="23"/>
        <v>0</v>
      </c>
      <c r="I303" s="1699">
        <f t="shared" si="23"/>
        <v>209602</v>
      </c>
      <c r="J303" s="1699">
        <f t="shared" si="23"/>
        <v>0</v>
      </c>
      <c r="K303" s="1699">
        <f t="shared" si="23"/>
        <v>9553817</v>
      </c>
      <c r="L303" s="1699">
        <f t="shared" si="23"/>
        <v>1200000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1958</v>
      </c>
      <c r="B306" s="691" t="s">
        <v>1953</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8104900</v>
      </c>
    </row>
    <row r="312" spans="1:14" s="675" customFormat="1" ht="12.75" customHeight="1" thickTop="1" thickBot="1" x14ac:dyDescent="0.25">
      <c r="A312" s="2258" t="s">
        <v>295</v>
      </c>
      <c r="B312" s="2259"/>
      <c r="C312" s="1692">
        <f>SUM(C303)</f>
        <v>0</v>
      </c>
      <c r="D312" s="1692">
        <f>SUM(D303)</f>
        <v>0</v>
      </c>
      <c r="E312" s="1692">
        <f>SUM(E303,E310)</f>
        <v>778382</v>
      </c>
      <c r="F312" s="1692">
        <f>SUM(F303)</f>
        <v>0</v>
      </c>
      <c r="G312" s="1692">
        <f>SUM(G303)</f>
        <v>8565833</v>
      </c>
      <c r="H312" s="1692">
        <f>SUM(H303,H310)</f>
        <v>0</v>
      </c>
      <c r="I312" s="1692">
        <f>SUM(I303)</f>
        <v>209602</v>
      </c>
      <c r="J312" s="1692">
        <f>SUM(J303)</f>
        <v>0</v>
      </c>
      <c r="K312" s="1692">
        <f>SUM(K303,K310,K311)</f>
        <v>9553817</v>
      </c>
      <c r="L312" s="1692">
        <f>SUM(L303,L310,L311)</f>
        <v>9304900</v>
      </c>
      <c r="M312" s="666"/>
      <c r="N312" s="666"/>
    </row>
    <row r="313" spans="1:14" ht="13.5" thickTop="1" x14ac:dyDescent="0.2">
      <c r="A313" s="2254" t="s">
        <v>1053</v>
      </c>
      <c r="B313" s="2255"/>
      <c r="C313" s="627"/>
      <c r="D313" s="627"/>
      <c r="E313" s="627"/>
      <c r="F313" s="627"/>
      <c r="G313" s="627"/>
      <c r="H313" s="627"/>
      <c r="I313" s="627"/>
      <c r="J313" s="627"/>
      <c r="K313" s="1707">
        <f>'Revenues 9-14'!H275-'Expenditures 15-22'!K312</f>
        <v>-146742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67" t="s">
        <v>151</v>
      </c>
      <c r="B315" s="226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69" t="s">
        <v>954</v>
      </c>
      <c r="B317" s="226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1959</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1953</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1955</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1960</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256" t="s">
        <v>1053</v>
      </c>
      <c r="B343" s="2257"/>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46" t="s">
        <v>1023</v>
      </c>
      <c r="B345" s="224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c r="I354" s="702"/>
      <c r="J354" s="617"/>
      <c r="K354" s="1721">
        <f>H354</f>
        <v>0</v>
      </c>
      <c r="L354" s="471"/>
    </row>
    <row r="355" spans="1:14" ht="12.75" customHeight="1" x14ac:dyDescent="0.2">
      <c r="A355" s="1535" t="s">
        <v>1962</v>
      </c>
      <c r="B355" s="691" t="s">
        <v>1955</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43" t="s">
        <v>1053</v>
      </c>
      <c r="B368" s="2244"/>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sharepoint/v3"/>
    <ds:schemaRef ds:uri="http://purl.org/dc/dcmitype/"/>
    <ds:schemaRef ds:uri="http://www.w3.org/XML/1998/namespace"/>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schemas.microsoft.com/office/2006/documentManagement/types"/>
    <ds:schemaRef ds:uri="4d435f69-8686-490b-bd6d-b153bf22ab50"/>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1A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2018-11-29T15:35:05Z</cp:lastPrinted>
  <dcterms:created xsi:type="dcterms:W3CDTF">2003-10-29T19:06:34Z</dcterms:created>
  <dcterms:modified xsi:type="dcterms:W3CDTF">2018-12-17T20:34:02Z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Plato Township</vt:lpwstr>
  </property>
  <property fmtid="{D5CDD505-2E9C-101B-9397-08002B2CF9AE}" pid="6" name="PPC_Template_Engagement_Date">
    <vt:lpwstr>3/31/2013</vt:lpwstr>
  </property>
</Properties>
</file>