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L357" i="29" l="1"/>
  <c r="K356" i="29"/>
  <c r="K357" i="29" s="1"/>
  <c r="K15" i="4" s="1"/>
  <c r="H357" i="29"/>
  <c r="H137" i="29"/>
  <c r="L285" i="29"/>
  <c r="D285" i="29"/>
  <c r="L137" i="29"/>
  <c r="E137" i="29"/>
  <c r="E139" i="29" s="1"/>
  <c r="F17" i="18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J23" i="12"/>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4" i="127"/>
  <c r="B65" i="127"/>
  <c r="D26" i="108"/>
  <c r="E27" i="108"/>
  <c r="F27" i="108"/>
  <c r="G27" i="108"/>
  <c r="G28" i="108"/>
  <c r="G30" i="108"/>
  <c r="D36" i="108"/>
  <c r="E31" i="108"/>
  <c r="G31" i="108"/>
  <c r="E33" i="108"/>
  <c r="G33"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L22" i="37"/>
  <c r="B1746" i="106"/>
  <c r="D1746" i="106" s="1"/>
  <c r="F64" i="34" l="1"/>
  <c r="B7047" i="106"/>
  <c r="D7047" i="106" s="1"/>
  <c r="B2805" i="106"/>
  <c r="D2805" i="106" s="1"/>
  <c r="B6995" i="106"/>
  <c r="D6995" i="106" s="1"/>
  <c r="G35" i="108"/>
  <c r="E30" i="108"/>
  <c r="D31" i="108"/>
  <c r="F26" i="108"/>
  <c r="G14" i="4"/>
  <c r="B2609" i="106" s="1"/>
  <c r="D2609" i="106" s="1"/>
  <c r="B2836" i="106"/>
  <c r="D2836" i="106" s="1"/>
  <c r="F72" i="34"/>
  <c r="H342" i="29"/>
  <c r="B2029" i="106"/>
  <c r="D2029" i="106" s="1"/>
  <c r="B276" i="106"/>
  <c r="D276" i="106" s="1"/>
  <c r="B2028" i="106"/>
  <c r="D2028" i="106" s="1"/>
  <c r="B275" i="106"/>
  <c r="D275" i="106" s="1"/>
  <c r="B2026" i="106"/>
  <c r="D2026" i="106" s="1"/>
  <c r="B2027" i="106"/>
  <c r="D2027" i="106" s="1"/>
  <c r="B274" i="106"/>
  <c r="D274" i="106" s="1"/>
  <c r="B3454" i="106"/>
  <c r="D3454" i="106" s="1"/>
  <c r="B2864" i="106"/>
  <c r="D2864" i="106" s="1"/>
  <c r="D5" i="4"/>
  <c r="B3406" i="106" s="1"/>
  <c r="D3406" i="106" s="1"/>
  <c r="F49" i="34"/>
  <c r="F45" i="34"/>
  <c r="F38" i="34"/>
  <c r="B7076" i="106"/>
  <c r="D7076" i="106" s="1"/>
  <c r="F41" i="34"/>
  <c r="L13" i="11"/>
  <c r="B2060" i="106" s="1"/>
  <c r="D2060" i="106" s="1"/>
  <c r="L5" i="11"/>
  <c r="B2056" i="106" s="1"/>
  <c r="D2056"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7235" i="106"/>
  <c r="D7235" i="106" s="1"/>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B1328" i="106" l="1"/>
  <c r="D1328" i="106" s="1"/>
  <c r="B1266" i="106"/>
  <c r="D1266" i="106" s="1"/>
  <c r="D41" i="108"/>
  <c r="E43" i="108" s="1"/>
  <c r="B5770" i="106"/>
  <c r="D5770" i="106" s="1"/>
  <c r="G6" i="4"/>
  <c r="B2604" i="106" s="1"/>
  <c r="D2604" i="106" s="1"/>
  <c r="H77" i="4"/>
  <c r="B3299" i="106" s="1"/>
  <c r="D3299" i="106" s="1"/>
  <c r="F41" i="108"/>
  <c r="G43" i="108" s="1"/>
  <c r="M23" i="3"/>
  <c r="B273" i="106"/>
  <c r="D273" i="106" s="1"/>
  <c r="C4" i="4"/>
  <c r="B2551" i="106" s="1"/>
  <c r="D2551" i="106" s="1"/>
  <c r="F66" i="34"/>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B7243" i="106" s="1"/>
  <c r="D7243" i="106"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279" i="106"/>
  <c r="D279" i="106" s="1"/>
  <c r="B7224" i="106"/>
  <c r="D7224" i="106" s="1"/>
  <c r="B7051" i="106"/>
  <c r="D7051" i="106" s="1"/>
  <c r="J17" i="4"/>
  <c r="B6227" i="106" s="1"/>
  <c r="D6227"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M41" i="3" l="1"/>
  <c r="B280" i="106"/>
  <c r="D280" i="106" s="1"/>
  <c r="J20" i="4"/>
  <c r="J78" i="4" s="1"/>
  <c r="F8" i="4"/>
  <c r="D8" i="146" s="1"/>
  <c r="D8" i="4"/>
  <c r="D10" i="4" s="1"/>
  <c r="B4123" i="106" s="1"/>
  <c r="D4123" i="106" s="1"/>
  <c r="B6223" i="106"/>
  <c r="D6223" i="106" s="1"/>
  <c r="K17" i="4"/>
  <c r="K20" i="4"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H13" i="118"/>
  <c r="K19" i="4"/>
  <c r="B4144" i="106" s="1"/>
  <c r="D4144" i="106" s="1"/>
  <c r="B3575" i="106"/>
  <c r="D3575" i="106" s="1"/>
  <c r="B2595" i="106"/>
  <c r="D2595" i="106" s="1"/>
  <c r="D54" i="36"/>
  <c r="B281" i="106"/>
  <c r="D281" i="106" s="1"/>
  <c r="B2568" i="106"/>
  <c r="D2568" i="106" s="1"/>
  <c r="C8" i="146"/>
  <c r="D20" i="4"/>
  <c r="D78" i="4" s="1"/>
  <c r="F10" i="4"/>
  <c r="B4125" i="106" s="1"/>
  <c r="D4125"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C10" i="146" l="1"/>
  <c r="F8" i="146"/>
  <c r="B2574" i="106"/>
  <c r="D2574" i="106" s="1"/>
  <c r="F179" i="34"/>
  <c r="F79" i="34"/>
  <c r="J41" i="3"/>
  <c r="B6215" i="106"/>
  <c r="D6215"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F181" i="34"/>
  <c r="F183" i="34" s="1"/>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<sst xmlns="http://schemas.openxmlformats.org/spreadsheetml/2006/main" count="5080" uniqueCount="2136">
  <si>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</si>
  <si>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</si>
  <si>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</si>
  <si>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</si>
  <si>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</si>
  <si>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</si>
  <si>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</si>
  <si>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</si>
  <si>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</si>
  <si>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</si>
  <si>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</si>
  <si>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</si>
  <si>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</si>
  <si>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</si>
  <si>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</si>
  <si>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</si>
  <si>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</si>
  <si>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</si>
  <si>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</si>
  <si>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</si>
  <si>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</si>
  <si>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</si>
  <si>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</si>
  <si>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</si>
  <si>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</si>
  <si>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</si>
  <si>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</si>
  <si>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</si>
  <si>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</si>
  <si>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</si>
  <si>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</si>
  <si>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</si>
  <si>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</si>
  <si>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</si>
  <si>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</si>
  <si>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</si>
  <si>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</si>
  <si>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</si>
  <si>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</si>
  <si>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</si>
  <si>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</si>
  <si>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</si>
  <si>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</si>
  <si>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</si>
  <si>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</si>
  <si>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</si>
  <si>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</si>
  <si>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</si>
  <si>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</si>
  <si>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</si>
  <si>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</si>
  <si>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</si>
  <si>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</si>
  <si>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</si>
  <si>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</si>
  <si>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</si>
  <si>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</si>
  <si>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</si>
  <si>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</si>
  <si>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</si>
  <si>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</si>
  <si>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</si>
  <si>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</si>
  <si>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</si>
  <si>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</si>
  <si>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</si>
  <si>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</si>
  <si>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</si>
  <si>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</si>
  <si>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</si>
  <si>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</si>
  <si>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</si>
  <si>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</si>
  <si>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</si>
  <si>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</si>
  <si>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</si>
  <si>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</si>
  <si>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</si>
  <si>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</si>
  <si>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</si>
  <si>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</si>
  <si>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</si>
  <si>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</si>
  <si>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</si>
  <si>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</si>
  <si>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</si>
  <si>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</si>
  <si>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</si>
  <si>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</si>
  <si>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</si>
  <si>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</si>
  <si>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</si>
  <si>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</si>
  <si>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</si>
  <si>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</si>
  <si>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</si>
  <si>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</si>
  <si>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</si>
  <si>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</si>
  <si>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</si>
  <si>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</si>
  <si>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</si>
  <si>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</si>
  <si>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</si>
  <si>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</si>
  <si>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</si>
  <si>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</si>
  <si>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</si>
  <si>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</si>
  <si>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</si>
  <si>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</si>
  <si>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</si>
  <si>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</si>
  <si>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</si>
  <si>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</si>
  <si>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</si>
  <si>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</si>
  <si>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</si>
  <si>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</si>
  <si>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</si>
  <si>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</si>
  <si>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</si>
  <si>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</si>
  <si>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</si>
  <si>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</si>
  <si>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</si>
  <si>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</si>
  <si>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</si>
  <si>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</si>
  <si>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</si>
  <si>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</si>
  <si>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</si>
  <si>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</si>
  <si>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</si>
  <si>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</si>
  <si>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</si>
  <si>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</si>
  <si>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</si>
  <si>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</si>
  <si>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</si>
  <si>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</si>
  <si>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</si>
  <si>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</si>
  <si>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</si>
  <si>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</si>
  <si>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</si>
  <si>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</si>
  <si>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</si>
  <si>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</si>
  <si>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</si>
  <si>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</si>
  <si>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</si>
  <si>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</si>
  <si>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</si>
  <si>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</si>
  <si>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</si>
  <si>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</si>
  <si>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</si>
  <si>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</si>
  <si>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</si>
  <si>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</si>
  <si>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</si>
  <si>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</si>
  <si>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</si>
  <si>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</si>
  <si>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</si>
  <si>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</si>
  <si>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</si>
  <si>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</si>
  <si>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</si>
  <si>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</si>
  <si>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</si>
  <si>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</si>
  <si>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</si>
  <si>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</si>
  <si>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</si>
  <si>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</si>
  <si>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</si>
  <si>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</si>
  <si>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</si>
  <si>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</si>
  <si>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</si>
  <si>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</si>
  <si>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</si>
  <si>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</si>
  <si>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</si>
  <si>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</si>
  <si>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</si>
  <si>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</si>
  <si>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</si>
  <si>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</si>
  <si>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</si>
  <si>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</si>
  <si>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</si>
  <si>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</si>
  <si>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</si>
  <si>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</si>
  <si>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</si>
  <si>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</si>
  <si>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</si>
  <si>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</si>
  <si>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</si>
  <si>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</si>
  <si>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</si>
  <si>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</si>
  <si>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</si>
  <si>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</si>
  <si>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</si>
  <si>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</si>
  <si>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</si>
  <si>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</si>
  <si>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</si>
  <si>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</si>
  <si>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</si>
  <si>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</si>
  <si>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</si>
  <si>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</si>
  <si>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</si>
  <si>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</si>
  <si>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</si>
  <si>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</si>
  <si>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</si>
  <si>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</si>
  <si>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</si>
  <si>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</si>
  <si>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</si>
  <si>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</si>
  <si>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</si>
  <si>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</si>
  <si>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</si>
  <si>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</si>
  <si>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</si>
  <si>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</si>
  <si>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</si>
  <si>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</si>
  <si>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</si>
  <si>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</si>
  <si>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</si>
  <si>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</si>
  <si>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</si>
  <si>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</si>
  <si>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</si>
  <si>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</si>
  <si>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</si>
  <si>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</si>
  <si>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</si>
  <si>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</si>
  <si>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</si>
  <si>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</si>
  <si>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</si>
  <si>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</si>
  <si>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</si>
  <si>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</si>
  <si>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</si>
  <si>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</si>
  <si>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</si>
  <si>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</si>
  <si>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</si>
  <si>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</si>
  <si>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</si>
  <si>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</si>
  <si>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</si>
  <si>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</si>
  <si>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</si>
  <si>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</si>
  <si>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</si>
  <si>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</si>
  <si>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</si>
  <si>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</si>
  <si>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</si>
  <si>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</si>
  <si>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</si>
  <si>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</si>
  <si>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</si>
  <si>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</si>
  <si>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</si>
  <si>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</si>
  <si>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</si>
  <si>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</si>
  <si>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</si>
  <si>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</si>
  <si>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</si>
  <si>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</si>
  <si>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</si>
  <si>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</si>
  <si>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</si>
  <si>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</si>
  <si>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</si>
  <si>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</si>
  <si>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</si>
  <si>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</si>
  <si>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</si>
  <si>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</si>
  <si>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</si>
  <si>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</si>
  <si>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</si>
  <si>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</si>
  <si>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</si>
  <si>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</si>
  <si>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</si>
  <si>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</si>
  <si>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</si>
  <si>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</si>
  <si>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</si>
  <si>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</si>
  <si>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</si>
  <si>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</si>
  <si>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</si>
  <si>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</si>
  <si>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</si>
  <si>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</si>
  <si>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</si>
  <si>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</si>
  <si>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</si>
  <si>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</si>
  <si>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</si>
  <si>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</si>
  <si>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</si>
  <si>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</si>
  <si>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</si>
  <si>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</si>
  <si>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</si>
  <si>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</si>
  <si>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</si>
  <si>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</si>
  <si>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</si>
  <si>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</si>
  <si>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</si>
  <si>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</si>
  <si>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</si>
  <si>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</si>
  <si>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</si>
  <si>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</si>
  <si>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</si>
  <si>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</si>
  <si>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</si>
  <si>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</si>
  <si>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</si>
  <si>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</si>
  <si>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</si>
  <si>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</si>
  <si>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</si>
  <si>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</si>
  <si>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</si>
  <si>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</si>
  <si>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</si>
  <si>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</si>
  <si>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</si>
  <si>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</si>
  <si>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</si>
  <si>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</si>
  <si>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</si>
  <si>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</si>
  <si>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</si>
  <si>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</si>
  <si>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</si>
  <si>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</si>
  <si>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</si>
  <si>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</si>
  <si>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</si>
  <si>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</si>
  <si>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</si>
  <si>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</si>
  <si>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</si>
  <si>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</si>
  <si>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</si>
  <si>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</si>
  <si>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</si>
  <si>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</si>
  <si>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</si>
  <si>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</si>
  <si>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</si>
  <si>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</si>
  <si>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</si>
  <si>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</si>
  <si>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</si>
  <si>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</si>
  <si>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</si>
  <si>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</si>
  <si>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</si>
  <si>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</si>
  <si>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</si>
  <si>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</si>
  <si>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</si>
  <si>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</si>
  <si>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</si>
  <si>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</si>
  <si>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</si>
  <si>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</si>
  <si>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</si>
  <si>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</si>
  <si>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</si>
  <si>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</si>
  <si>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</si>
  <si>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</si>
  <si>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</si>
  <si>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</si>
  <si>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</si>
  <si>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</si>
  <si>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</si>
  <si>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</si>
  <si>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</si>
  <si>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</si>
  <si>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</si>
  <si>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</si>
  <si>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</si>
  <si>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</si>
  <si>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</si>
  <si>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</si>
  <si>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</si>
  <si>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</si>
  <si>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</si>
  <si>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</si>
  <si>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</si>
  <si>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</si>
  <si>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</si>
  <si>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</si>
  <si>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</si>
  <si>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</si>
  <si>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</si>
  <si>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</si>
  <si>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</si>
  <si>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</si>
  <si>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</si>
  <si>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</si>
  <si>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</si>
  <si>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</si>
  <si>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</si>
  <si>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</si>
  <si>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</si>
  <si>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</si>
  <si>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</si>
  <si>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</si>
  <si>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</si>
  <si>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</si>
  <si>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</si>
  <si>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</si>
  <si>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</si>
  <si>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</si>
  <si>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</si>
  <si>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</si>
  <si>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</si>
  <si>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</si>
  <si>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</si>
  <si>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</si>
  <si>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</si>
  <si>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</si>
  <si>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</si>
  <si>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</si>
  <si>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</si>
  <si>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</si>
  <si>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</si>
  <si>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</si>
  <si>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</si>
  <si>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</si>
  <si>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</si>
  <si>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</si>
  <si>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</si>
  <si>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</si>
  <si>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</si>
  <si>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</si>
  <si>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</si>
  <si>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</si>
  <si>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</si>
  <si>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</si>
  <si>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</si>
  <si>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</si>
  <si>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</si>
  <si>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</si>
  <si>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</si>
  <si>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</si>
  <si>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</si>
  <si>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</si>
  <si>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</si>
  <si>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</si>
  <si>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</si>
  <si>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</si>
  <si>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</si>
  <si>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</si>
  <si>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</si>
  <si>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</si>
  <si>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</si>
  <si>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</si>
  <si>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</si>
  <si>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</si>
  <si>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</si>
  <si>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</si>
  <si>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</si>
  <si>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</si>
  <si>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</si>
  <si>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</si>
  <si>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</si>
  <si>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</si>
  <si>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</si>
  <si>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</si>
  <si>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</si>
  <si>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</si>
  <si>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</si>
  <si>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</si>
  <si>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</si>
  <si>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</si>
  <si>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</si>
  <si>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</si>
  <si>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</si>
  <si>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</si>
  <si>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</si>
  <si>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</si>
  <si>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</si>
  <si>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</si>
  <si>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</si>
  <si>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</si>
  <si>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</si>
  <si>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</si>
  <si>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</si>
  <si>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</si>
  <si>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</si>
  <si>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</si>
  <si>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</si>
  <si>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</si>
  <si>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</si>
  <si>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</si>
  <si>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</si>
  <si>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</si>
  <si>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</si>
  <si>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</si>
  <si>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</si>
  <si>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</si>
  <si>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</si>
  <si>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</si>
  <si>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</si>
  <si>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</si>
  <si>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</si>
  <si>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</si>
  <si>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</si>
  <si>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</si>
  <si>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</si>
  <si>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</si>
  <si>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</si>
  <si>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</si>
  <si>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</si>
  <si>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</si>
  <si>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</si>
  <si>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</si>
  <si>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</si>
  <si>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</si>
  <si>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</si>
  <si>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</si>
  <si>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</si>
  <si>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</si>
  <si>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</si>
  <si>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</si>
  <si>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</si>
  <si>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</si>
  <si>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</si>
  <si>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</si>
  <si>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</si>
  <si>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</si>
  <si>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</si>
  <si>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</si>
  <si>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</si>
  <si>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</si>
  <si>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</si>
  <si>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</si>
  <si>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</si>
  <si>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</si>
  <si>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</si>
  <si>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</si>
  <si>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</si>
  <si>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</si>
  <si>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</si>
  <si>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</si>
  <si>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</si>
  <si>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</si>
  <si>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</si>
  <si>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</si>
  <si>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</si>
  <si>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</si>
  <si>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</si>
  <si>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</si>
  <si>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</si>
  <si>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</si>
  <si>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</si>
  <si>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</si>
  <si>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</si>
  <si>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</si>
  <si>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</si>
  <si>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</si>
  <si>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</si>
  <si>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</si>
  <si>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</si>
  <si>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</si>
  <si>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</si>
  <si>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</si>
  <si>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</si>
  <si>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</si>
  <si>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</si>
  <si>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</si>
  <si>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</si>
  <si>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</si>
  <si>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</si>
  <si>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</si>
  <si>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</si>
  <si>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</si>
  <si>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</si>
  <si>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</si>
  <si>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</si>
  <si>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</si>
  <si>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</si>
  <si>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</si>
  <si>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</si>
  <si>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</si>
  <si>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</si>
  <si>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</si>
  <si>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</si>
  <si>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</si>
  <si>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</si>
  <si>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</si>
  <si>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</si>
  <si>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</si>
  <si>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</si>
  <si>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</si>
  <si>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</si>
  <si>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</si>
  <si>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</si>
  <si>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</si>
  <si>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</si>
  <si>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</si>
  <si>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</si>
  <si>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</si>
  <si>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</si>
  <si>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</si>
  <si>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</si>
  <si>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</si>
  <si>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</si>
  <si>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</si>
  <si>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</si>
  <si>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</si>
  <si>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</si>
  <si>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</si>
  <si>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</si>
  <si>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</si>
  <si>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</si>
  <si>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</si>
  <si>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</si>
  <si>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</si>
  <si>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</si>
  <si>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</si>
  <si>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</si>
  <si>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</si>
  <si>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</si>
  <si>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</si>
  <si>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</si>
  <si>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</si>
  <si>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</si>
  <si>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</si>
  <si>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</si>
  <si>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</si>
  <si>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</si>
  <si>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</si>
  <si>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</si>
  <si>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</si>
  <si>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</si>
  <si>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</si>
  <si>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</si>
  <si>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</si>
  <si>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</si>
  <si>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</si>
  <si>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</si>
  <si>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</si>
  <si>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</si>
  <si>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</si>
  <si>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</si>
  <si>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</si>
  <si>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</si>
  <si>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</si>
  <si>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</si>
  <si>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</si>
  <si>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</si>
  <si>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</si>
  <si>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</si>
  <si>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</si>
  <si>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</si>
  <si>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</si>
  <si>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</si>
  <si>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</si>
  <si>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</si>
  <si>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</si>
  <si>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</si>
  <si>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</si>
  <si>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</si>
  <si>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</si>
  <si>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</si>
  <si>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</si>
  <si>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</si>
  <si>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</si>
  <si>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</si>
  <si>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</si>
  <si>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</si>
  <si>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</si>
  <si>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</si>
  <si>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</si>
  <si>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</si>
  <si>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</si>
  <si>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</si>
  <si>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</si>
  <si>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</si>
  <si>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</si>
  <si>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</si>
  <si>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</si>
  <si>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</si>
  <si>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</si>
  <si>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</si>
  <si>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</si>
  <si>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</si>
  <si>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</si>
  <si>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</si>
  <si>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</si>
  <si>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</si>
  <si>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</si>
  <si>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</si>
  <si>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</si>
  <si>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</si>
  <si>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</si>
  <si>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</si>
  <si>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</si>
  <si>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</si>
  <si>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</si>
  <si>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</si>
  <si>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</si>
  <si>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</si>
  <si>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</si>
  <si>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</si>
  <si>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</si>
  <si>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</si>
  <si>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</si>
  <si>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</si>
  <si>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</si>
  <si>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</si>
  <si>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</si>
  <si>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</si>
  <si>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</si>
  <si>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</si>
  <si>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</si>
  <si>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</si>
  <si>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</si>
  <si>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</si>
  <si>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</si>
  <si>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</si>
  <si>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</si>
  <si>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</si>
  <si>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</si>
  <si>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</si>
  <si>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</si>
  <si>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</si>
  <si>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</si>
  <si>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</si>
  <si>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</si>
  <si>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</si>
  <si>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</si>
  <si>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</si>
  <si>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</si>
  <si>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</si>
  <si>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</si>
  <si>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</si>
  <si>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</si>
  <si>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</si>
  <si>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</si>
  <si>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</si>
  <si>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</si>
  <si>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</si>
  <si>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</si>
  <si>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</si>
  <si>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</si>
  <si>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</si>
  <si>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</si>
  <si>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</si>
  <si>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</si>
  <si>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</si>
  <si>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</si>
  <si>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</si>
  <si>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</si>
  <si>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</si>
  <si>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</si>
  <si>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</si>
  <si>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</si>
  <si>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</si>
  <si>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</si>
  <si>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</si>
  <si>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</si>
  <si>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</si>
  <si>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</si>
  <si>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</si>
  <si>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</si>
  <si>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</si>
  <si>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</si>
  <si>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</si>
  <si>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</si>
  <si>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</si>
  <si>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</si>
  <si>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</si>
  <si>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</si>
  <si>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</si>
  <si>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</si>
  <si>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</si>
  <si>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</si>
  <si>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</si>
  <si>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</si>
  <si>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</si>
  <si>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</si>
  <si>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</si>
  <si>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</si>
  <si>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</si>
  <si>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</si>
  <si>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</si>
  <si>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</si>
  <si>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</si>
  <si>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</si>
  <si>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</si>
  <si>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</si>
  <si>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</si>
  <si>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</si>
  <si>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</si>
  <si>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</si>
  <si>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</si>
  <si>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</si>
  <si>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</si>
  <si>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</si>
  <si>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</si>
  <si>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</si>
  <si>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</si>
  <si>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</si>
  <si>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</si>
  <si>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</si>
  <si>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</si>
  <si>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</si>
  <si>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</si>
  <si>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</si>
  <si>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</si>
  <si>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</si>
  <si>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</si>
  <si>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</si>
  <si>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</si>
  <si>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</si>
  <si>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</si>
  <si>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</si>
  <si>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</si>
  <si>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</si>
  <si>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</si>
  <si>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</si>
  <si>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</si>
  <si>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</si>
  <si>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</si>
  <si>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</si>
  <si>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</si>
  <si>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</si>
  <si>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</si>
  <si>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</si>
  <si>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</si>
  <si>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</si>
  <si>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</si>
  <si>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</si>
  <si>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</si>
  <si>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</si>
  <si>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</si>
  <si>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</si>
  <si>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</si>
  <si>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</si>
  <si>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</si>
  <si>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</si>
  <si>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</si>
  <si>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</si>
  <si>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</si>
  <si>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</si>
  <si>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</si>
  <si>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</si>
  <si>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</si>
  <si>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</si>
  <si>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</si>
  <si>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</si>
  <si>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</si>
  <si>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</si>
  <si>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</si>
  <si>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</si>
  <si>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</si>
  <si>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</si>
  <si>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</si>
  <si>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</si>
  <si>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</si>
  <si>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</si>
  <si>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</si>
  <si>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</si>
  <si>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</si>
  <si>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</si>
  <si>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</si>
  <si>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</si>
  <si>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</si>
  <si>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</si>
  <si>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</si>
  <si>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</si>
  <si>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</si>
  <si>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</si>
  <si>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</si>
  <si>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</si>
  <si>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</si>
  <si>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</si>
  <si>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</si>
  <si>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</si>
  <si>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</si>
  <si>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</si>
  <si>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</si>
  <si>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</si>
  <si>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</si>
  <si>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</si>
  <si>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</si>
  <si>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</si>
  <si>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</si>
  <si>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</si>
  <si>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</si>
  <si>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</si>
  <si>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</si>
  <si>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</si>
  <si>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</si>
  <si>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</si>
  <si>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</si>
  <si>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</si>
  <si>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</si>
  <si>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</si>
  <si>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</si>
  <si>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</si>
  <si>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</si>
  <si>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</si>
  <si>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</si>
  <si>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</si>
  <si>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</si>
  <si>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</si>
  <si>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</si>
  <si>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</si>
  <si>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</si>
  <si>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</si>
  <si>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</si>
  <si>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</si>
  <si>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</si>
  <si>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</si>
  <si>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</si>
  <si>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</si>
  <si>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</si>
  <si>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</si>
  <si>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</si>
  <si>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</si>
  <si>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</si>
  <si>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</si>
  <si>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</si>
  <si>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</si>
  <si>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</si>
  <si>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</si>
  <si>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</si>
  <si>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</si>
  <si>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</si>
  <si>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</si>
  <si>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</si>
  <si>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</si>
  <si>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</si>
  <si>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</si>
  <si>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</si>
  <si>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</si>
  <si>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</si>
  <si>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</si>
  <si>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</si>
  <si>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</si>
  <si>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</si>
  <si>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</si>
  <si>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</si>
  <si>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</si>
  <si>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</si>
  <si>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</si>
  <si>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</si>
  <si>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</si>
  <si>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</si>
  <si>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</si>
  <si>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</si>
  <si>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</si>
  <si>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</si>
  <si>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</si>
  <si>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</si>
  <si>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</si>
  <si>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</si>
  <si>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</si>
  <si>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</si>
  <si>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</si>
  <si>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</si>
  <si>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</si>
  <si>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</si>
  <si>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</si>
  <si>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</si>
  <si>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</si>
  <si>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</si>
  <si>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</si>
  <si>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</si>
  <si>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</si>
  <si>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</si>
  <si>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</si>
  <si>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</si>
  <si>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</si>
  <si>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</si>
  <si>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</si>
  <si>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</si>
  <si>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</si>
  <si>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</si>
  <si>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</si>
  <si>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</si>
  <si>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</si>
  <si>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</si>
  <si>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</si>
  <si>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</si>
  <si>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</si>
  <si>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</si>
  <si>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</si>
  <si>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</si>
  <si>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</si>
  <si>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</si>
  <si>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</si>
  <si>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</si>
  <si>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</si>
  <si>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</si>
  <si>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</si>
  <si>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</si>
  <si>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</si>
  <si>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</si>
  <si>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</si>
  <si>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</si>
  <si>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</si>
  <si>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</si>
  <si>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</si>
  <si>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</si>
  <si>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</si>
  <si>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</si>
  <si>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</si>
  <si>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</si>
  <si>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</si>
  <si>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</si>
  <si>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</si>
  <si>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</si>
  <si>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</si>
  <si>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</si>
  <si>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</si>
  <si>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</si>
  <si>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</si>
  <si>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</si>
  <si>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</si>
  <si>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</si>
  <si>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</si>
  <si>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</si>
  <si>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</si>
  <si>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</si>
  <si>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</si>
  <si>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</si>
  <si>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</si>
  <si>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</si>
  <si>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</si>
  <si>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</si>
  <si>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</si>
  <si>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</si>
  <si>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</si>
  <si>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</si>
  <si>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</si>
  <si>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</si>
  <si>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</si>
  <si>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</si>
  <si>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</si>
  <si>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</si>
  <si>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</si>
  <si>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</si>
  <si>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</si>
  <si>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</si>
  <si>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</si>
  <si>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</si>
  <si>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</si>
  <si>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</si>
  <si>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</si>
  <si>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</si>
  <si>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</si>
  <si>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</si>
  <si>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</si>
  <si>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</si>
  <si>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</si>
  <si>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</si>
  <si>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</si>
  <si>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</si>
  <si>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</si>
  <si>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</si>
  <si>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</si>
  <si>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</si>
  <si>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</si>
  <si>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</si>
  <si>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</si>
  <si>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</si>
  <si>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</si>
  <si>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</si>
  <si>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</si>
  <si>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</si>
  <si>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</si>
  <si>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</si>
  <si>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</si>
  <si>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</si>
  <si>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</si>
  <si>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</si>
  <si>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</si>
  <si>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</si>
  <si>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</si>
  <si>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</si>
  <si>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</si>
  <si>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</si>
  <si>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</si>
  <si>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</si>
  <si>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</si>
  <si>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</si>
  <si>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</si>
  <si>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</si>
  <si>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</si>
  <si>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</si>
  <si>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</si>
  <si>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</si>
  <si>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</si>
  <si>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</si>
  <si>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</si>
  <si>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</si>
  <si>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</si>
  <si>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</si>
  <si>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</si>
  <si>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</si>
  <si>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</si>
  <si>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</si>
  <si>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</si>
  <si>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</si>
  <si>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</si>
  <si>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</si>
  <si>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</si>
  <si>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</si>
  <si>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</si>
  <si>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</si>
  <si>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</si>
  <si>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</si>
  <si>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</si>
  <si>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</si>
  <si>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</si>
  <si>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</si>
  <si>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</si>
  <si>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</si>
  <si>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</si>
  <si>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</si>
  <si>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</si>
  <si>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</si>
  <si>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</si>
  <si>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</si>
  <si>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</si>
  <si>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</si>
  <si>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</si>
  <si>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</si>
  <si>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</si>
  <si>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</si>
  <si>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</si>
  <si>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</si>
  <si>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</si>
  <si>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</si>
  <si>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</si>
  <si>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</si>
  <si>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</si>
  <si>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</si>
  <si>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</si>
  <si>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</si>
  <si>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</si>
  <si>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</si>
  <si>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</si>
  <si>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</si>
  <si>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</si>
  <si>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</si>
  <si>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</si>
  <si>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</si>
  <si>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</si>
  <si>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</si>
  <si>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</si>
  <si>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</si>
  <si>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</si>
  <si>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</si>
  <si>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</si>
  <si>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</si>
  <si>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</si>
  <si>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</si>
  <si>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</si>
  <si>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</si>
  <si>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</si>
  <si>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</si>
  <si>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</si>
  <si>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</si>
  <si>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</si>
  <si>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</si>
  <si>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</si>
  <si>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</si>
  <si>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</si>
  <si>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</si>
  <si>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</si>
  <si>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</si>
  <si>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</si>
  <si>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</si>
  <si>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</si>
  <si>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</si>
  <si>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</si>
  <si>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</si>
  <si>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</si>
  <si>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</si>
  <si>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</si>
  <si>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</si>
  <si>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</si>
  <si>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</si>
  <si>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</si>
  <si>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</si>
  <si>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</si>
  <si>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</si>
  <si>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</si>
  <si>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</si>
  <si>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</si>
  <si>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</si>
  <si>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</si>
  <si>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</si>
  <si>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</si>
  <si>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</si>
  <si>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</si>
  <si>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</si>
  <si>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</si>
  <si>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</si>
  <si>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</si>
  <si>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</si>
  <si>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</si>
  <si>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</si>
  <si>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</si>
  <si>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</si>
  <si>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</si>
  <si>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</si>
  <si>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</si>
  <si>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</si>
  <si>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</si>
  <si>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</si>
  <si>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</si>
  <si>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</si>
  <si>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</si>
  <si>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</si>
  <si>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</si>
  <si>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</si>
  <si>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</si>
  <si>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</si>
  <si>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</si>
  <si>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</si>
  <si>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</si>
  <si>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</si>
  <si>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</si>
  <si>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</si>
  <si>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</si>
  <si>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</si>
  <si>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</si>
  <si>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</si>
  <si>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</si>
  <si>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</si>
  <si>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</si>
  <si>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</si>
  <si>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</si>
  <si>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</si>
  <si>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</si>
  <si>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</si>
  <si>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</si>
  <si>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</si>
  <si>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</si>
  <si>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</si>
  <si>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</si>
  <si>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</si>
  <si>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</si>
  <si>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</si>
  <si>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</si>
  <si>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</si>
  <si>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</si>
  <si>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</si>
  <si>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</si>
  <si>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</si>
  <si>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</si>
  <si>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</si>
  <si>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</si>
  <si>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</si>
  <si>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</si>
  <si>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</si>
  <si>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</si>
  <si>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</si>
  <si>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</si>
  <si>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</si>
  <si>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</si>
  <si>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</si>
  <si>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</si>
  <si>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</si>
  <si>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</si>
  <si>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</si>
  <si>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</si>
  <si>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</si>
  <si>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</si>
  <si>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</si>
  <si>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</si>
  <si>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</si>
  <si>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</si>
  <si>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</si>
  <si>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</si>
  <si>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</si>
  <si>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</si>
  <si>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</si>
  <si>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</si>
  <si>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</si>
  <si>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</si>
  <si>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</si>
  <si>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</si>
  <si>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</si>
  <si>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</si>
  <si>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</si>
  <si>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</si>
  <si>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</si>
  <si>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</si>
  <si>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</si>
  <si>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</si>
  <si>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</si>
  <si>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</si>
  <si>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</si>
  <si>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</si>
  <si>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</si>
  <si>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</si>
  <si>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</si>
  <si>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</si>
  <si>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</si>
  <si>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</si>
  <si>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</si>
  <si>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</si>
  <si>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</si>
  <si>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</si>
  <si>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</si>
  <si>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</si>
  <si>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</si>
  <si>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</si>
  <si>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</si>
  <si>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</si>
  <si>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</si>
  <si>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</si>
  <si>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</si>
  <si>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</si>
  <si>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</si>
  <si>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</si>
  <si>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</si>
  <si>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</si>
  <si>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</si>
  <si>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</si>
  <si>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</si>
  <si>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</si>
  <si>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</si>
  <si>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</si>
  <si>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</si>
  <si>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</si>
  <si>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</si>
  <si>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</si>
  <si>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</si>
  <si>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</si>
  <si>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</si>
  <si>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</si>
  <si>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</si>
  <si>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</si>
  <si>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</si>
  <si>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</si>
  <si>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</si>
  <si>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</si>
  <si>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</si>
  <si>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</si>
  <si>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</si>
  <si>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</si>
  <si>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</si>
  <si>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</si>
  <si>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</si>
  <si>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</si>
  <si>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</si>
  <si>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</si>
  <si>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</si>
  <si>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</si>
  <si>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</si>
  <si>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</si>
  <si>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</si>
  <si>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</si>
  <si>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</si>
  <si>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</si>
  <si>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</si>
  <si>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</si>
  <si>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</si>
  <si>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</si>
  <si>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</si>
  <si>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</si>
  <si>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</si>
  <si>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</si>
  <si>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</si>
  <si>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</si>
  <si>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</si>
  <si>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</si>
  <si>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</si>
  <si>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</si>
  <si>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</si>
  <si>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</si>
  <si>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</si>
  <si>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</si>
  <si>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</si>
  <si>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</si>
  <si>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</si>
  <si>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</si>
  <si>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</si>
  <si>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</si>
  <si>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</si>
  <si>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</si>
  <si>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</si>
  <si>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</si>
  <si>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</si>
  <si>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</si>
  <si>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</si>
  <si>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</si>
  <si>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</si>
  <si>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</si>
  <si>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</si>
  <si>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</si>
  <si>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</si>
  <si>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</si>
  <si>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</si>
  <si>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</si>
  <si>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</si>
  <si>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</si>
  <si>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</si>
  <si>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</si>
  <si>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</si>
  <si>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</si>
  <si>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</si>
  <si>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</si>
  <si>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</si>
  <si>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</si>
  <si>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</si>
  <si>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</si>
  <si>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</si>
  <si>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</si>
  <si>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</si>
  <si>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</si>
  <si>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</si>
  <si>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</si>
  <si>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</si>
  <si>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</si>
  <si>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</si>
  <si>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</si>
  <si>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</si>
  <si>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</si>
  <si>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</si>
  <si>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</si>
  <si>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</si>
  <si>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</si>
  <si>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</si>
  <si>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</si>
  <si>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</si>
  <si>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</si>
  <si>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</si>
  <si>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</si>
  <si>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</si>
  <si>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</si>
  <si>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</si>
  <si>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</si>
  <si>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</si>
  <si>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</si>
  <si>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</si>
  <si>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</si>
  <si>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</si>
  <si>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</si>
  <si>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</si>
  <si>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</si>
  <si>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</si>
  <si>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</si>
  <si>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</si>
  <si>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</si>
  <si>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</si>
  <si>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</si>
  <si>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</si>
  <si>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</si>
  <si>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</si>
  <si>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</si>
  <si>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</si>
  <si>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</si>
  <si>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</si>
  <si>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</si>
  <si>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</si>
  <si>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</si>
  <si>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</si>
  <si>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</si>
  <si>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</si>
  <si>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</si>
  <si>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</si>
  <si>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</si>
  <si>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</si>
  <si>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</si>
  <si>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</si>
  <si>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</si>
  <si>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</si>
  <si>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</si>
  <si>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</si>
  <si>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</si>
  <si>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</si>
  <si>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</si>
  <si>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</si>
  <si>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</si>
  <si>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</si>
  <si>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</si>
  <si>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</si>
  <si>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</si>
  <si>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</si>
  <si>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</si>
  <si>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</si>
  <si>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</si>
  <si>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</si>
  <si>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</si>
  <si>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</si>
  <si>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</si>
  <si>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</si>
  <si>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</si>
  <si>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</si>
  <si>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</si>
  <si>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</si>
  <si>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</si>
  <si>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</si>
  <si>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</si>
  <si>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</si>
  <si>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</si>
  <si>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</si>
  <si>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</si>
  <si>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</si>
  <si>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</si>
  <si>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</si>
  <si>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</si>
  <si>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</si>
  <si>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</si>
  <si>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</si>
  <si>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</si>
  <si>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</si>
  <si>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</si>
  <si>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</si>
  <si>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</si>
  <si>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</si>
  <si>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</si>
  <si>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</si>
  <si>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</si>
  <si>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</si>
  <si>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</si>
  <si>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</si>
  <si>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</si>
  <si>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</si>
  <si>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</si>
  <si>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</si>
  <si>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</si>
  <si>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</si>
  <si>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</si>
  <si>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</si>
  <si>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</si>
  <si>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</si>
  <si>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</si>
  <si>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</si>
  <si>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</si>
  <si>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</si>
  <si>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</si>
  <si>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</si>
  <si>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</si>
  <si>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</si>
  <si>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</si>
  <si>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</si>
  <si>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</si>
  <si>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</si>
  <si>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</si>
  <si>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</si>
  <si>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</si>
  <si>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</si>
  <si>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</si>
  <si>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</si>
  <si>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</si>
  <si>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</si>
  <si>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</si>
  <si>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</si>
  <si>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</si>
  <si>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</si>
  <si>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</si>
  <si>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</si>
  <si>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</si>
  <si>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</si>
  <si>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</si>
  <si>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</si>
  <si>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</si>
  <si>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</si>
  <si>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</si>
  <si>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</si>
  <si>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</si>
  <si>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</si>
  <si>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</si>
  <si>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</si>
  <si>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</si>
  <si>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</si>
  <si>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</si>
  <si>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</si>
  <si>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</si>
  <si>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</si>
  <si>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</si>
  <si>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</si>
  <si>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</si>
  <si>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</si>
  <si>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</si>
  <si>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</si>
  <si>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</si>
  <si>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</si>
  <si>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</si>
  <si>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</si>
  <si>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</si>
  <si>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</si>
  <si>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</si>
  <si>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</si>
  <si>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</si>
  <si>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</si>
  <si>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</si>
  <si>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</si>
  <si>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</si>
  <si>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</si>
  <si>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</si>
  <si>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</si>
  <si>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</si>
  <si>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</si>
  <si>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</si>
  <si>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</si>
  <si>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</si>
  <si>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</si>
  <si>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</si>
  <si>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</si>
  <si>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</si>
  <si>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</si>
  <si>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</si>
  <si>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</si>
  <si>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</si>
  <si>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</si>
  <si>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</si>
  <si>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</si>
  <si>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</si>
  <si>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</si>
  <si>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</si>
  <si>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</si>
  <si>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</si>
  <si>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</si>
  <si>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</si>
  <si>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</si>
  <si>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</si>
  <si>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</si>
  <si>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</si>
  <si>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</si>
  <si>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</si>
  <si>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</si>
  <si>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</si>
  <si>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</si>
  <si>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</si>
  <si>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</si>
  <si>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</si>
  <si>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</si>
  <si>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</si>
  <si>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</si>
  <si>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</si>
  <si>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</si>
  <si>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</si>
  <si>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</si>
  <si>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</si>
  <si>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</si>
  <si>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</si>
  <si>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</si>
  <si>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</si>
  <si>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</si>
  <si>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</si>
  <si>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</si>
  <si>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</si>
  <si>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</si>
  <si>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</si>
  <si>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</si>
  <si>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</si>
  <si>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</si>
  <si>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</si>
  <si>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</si>
  <si>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</si>
  <si>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</si>
  <si>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</si>
  <si>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</si>
  <si>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</si>
  <si>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</si>
  <si>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</si>
  <si>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</si>
  <si>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</si>
  <si>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</si>
  <si>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</si>
  <si>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</si>
  <si>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</si>
  <si>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</si>
  <si>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</si>
  <si>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</si>
  <si>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</si>
  <si>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</si>
  <si>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</si>
  <si>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</si>
  <si>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</si>
  <si>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</si>
  <si>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</si>
  <si>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</si>
  <si>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</si>
  <si>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</si>
  <si>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</si>
  <si>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</si>
  <si>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</si>
  <si>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</si>
  <si>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</si>
  <si>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</si>
  <si>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</si>
  <si>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</si>
  <si>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</si>
  <si>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</si>
  <si>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</si>
  <si>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</si>
  <si>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</si>
  <si>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</si>
  <si>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</si>
  <si>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</si>
  <si>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</si>
  <si>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</si>
  <si>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</si>
  <si>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</si>
  <si>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</si>
  <si>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</si>
  <si>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</si>
  <si>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</si>
  <si>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</si>
  <si>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</si>
  <si>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</si>
  <si>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</si>
  <si>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</si>
  <si>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</si>
  <si>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</si>
  <si>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</si>
  <si>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</si>
  <si>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</si>
  <si>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</si>
  <si>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</si>
  <si>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</si>
  <si>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</si>
  <si>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</si>
  <si>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</si>
  <si>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</si>
  <si>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</si>
  <si>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</si>
  <si>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</si>
  <si>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</si>
  <si>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</si>
  <si>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</si>
  <si>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</si>
  <si>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</si>
  <si>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</si>
  <si>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</si>
  <si>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</si>
  <si>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</si>
  <si>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</si>
  <si>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</si>
  <si>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</si>
  <si>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</si>
  <si>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</si>
  <si>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</si>
  <si>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</si>
  <si>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</si>
  <si>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</si>
  <si>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</si>
  <si>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</si>
  <si>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</si>
  <si>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</si>
  <si>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</si>
  <si>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</si>
  <si>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</si>
  <si>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</si>
  <si>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</si>
  <si>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</si>
  <si>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</si>
  <si>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</si>
  <si>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</si>
  <si>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</si>
  <si>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</si>
  <si>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</si>
  <si>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</si>
  <si>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</si>
  <si>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</si>
  <si>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</si>
  <si>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</si>
  <si>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</si>
  <si>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</si>
  <si>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</si>
  <si>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</si>
  <si>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</si>
  <si>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</si>
  <si>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</si>
  <si>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</si>
  <si>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</si>
  <si>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</si>
  <si>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</si>
  <si>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</si>
  <si>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</si>
  <si>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</si>
  <si>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</si>
  <si>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</si>
  <si>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</si>
  <si>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</si>
  <si>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</si>
  <si>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</si>
  <si>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</si>
  <si>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</si>
  <si>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</si>
  <si>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</si>
  <si>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</si>
  <si>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</si>
  <si>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</si>
  <si>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</si>
  <si>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</si>
  <si>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</si>
  <si>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</si>
  <si>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</si>
  <si>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</si>
  <si>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</si>
  <si>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</si>
  <si>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</si>
  <si>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</si>
  <si>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</si>
  <si>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</si>
  <si>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</si>
  <si>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</si>
  <si>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</si>
  <si>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</si>
  <si>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</si>
  <si>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</si>
  <si>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</si>
  <si>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</si>
  <si>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</si>
  <si>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</si>
  <si>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</si>
  <si>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</si>
  <si>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</si>
  <si>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</si>
  <si>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</si>
  <si>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</si>
  <si>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</si>
  <si>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</si>
  <si>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</si>
  <si>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</si>
  <si>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</si>
  <si>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</si>
  <si>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</si>
  <si>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</si>
  <si>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</si>
  <si>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</si>
  <si>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</si>
  <si>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</si>
  <si>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</si>
  <si>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</si>
  <si>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</si>
  <si>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</si>
  <si>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</si>
  <si>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</si>
  <si>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</si>
  <si>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</si>
  <si>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</si>
  <si>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</si>
  <si>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</si>
  <si>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</si>
  <si>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</si>
  <si>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</si>
  <si>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</si>
  <si>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</si>
  <si>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</si>
  <si>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</si>
  <si>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</si>
  <si>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</si>
  <si>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</si>
  <si>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</si>
  <si>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</si>
  <si>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</si>
  <si>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</si>
  <si>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</si>
  <si>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</si>
  <si>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</si>
  <si>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</si>
  <si>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</si>
  <si>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</si>
  <si>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</si>
  <si>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</si>
  <si>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</si>
  <si>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</si>
  <si>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</si>
  <si>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</si>
  <si>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</si>
  <si>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</si>
  <si>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</si>
  <si>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</si>
  <si>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</si>
  <si>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</si>
  <si>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</si>
  <si>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</si>
  <si>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</si>
  <si>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</si>
  <si>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</si>
  <si>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</si>
  <si>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</si>
  <si>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</si>
  <si>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</si>
  <si>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</si>
  <si>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</si>
  <si>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</si>
  <si>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</si>
  <si>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</si>
  <si>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</si>
  <si>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</si>
  <si>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</si>
  <si>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</si>
  <si>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</si>
  <si>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</si>
  <si>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</si>
  <si>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</si>
  <si>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</si>
  <si>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</si>
  <si>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</si>
  <si>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</si>
  <si>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</si>
  <si>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</si>
  <si>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</si>
  <si>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</si>
  <si>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</si>
  <si>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</si>
  <si>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</si>
  <si>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</si>
  <si>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</si>
  <si>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</si>
  <si>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</si>
  <si>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</si>
  <si>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</si>
  <si>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</si>
  <si>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</si>
  <si>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</si>
  <si>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</si>
  <si>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</si>
  <si>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</si>
  <si>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</si>
  <si>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</si>
  <si>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</si>
  <si>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</si>
  <si>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</si>
  <si>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</si>
  <si>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</si>
  <si>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</si>
  <si>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</si>
  <si>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</si>
  <si>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</si>
  <si>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</si>
  <si>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</si>
  <si>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</si>
  <si>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</si>
  <si>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</si>
  <si>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</si>
  <si>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</si>
  <si>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</si>
  <si>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</si>
  <si>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</si>
  <si>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</si>
  <si>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</si>
  <si>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</si>
  <si>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</si>
  <si>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</si>
  <si>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</si>
  <si>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</si>
  <si>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</si>
  <si>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</si>
  <si>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</si>
  <si>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</si>
  <si>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</si>
  <si>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</si>
  <si>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</si>
  <si>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</si>
  <si>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</si>
  <si>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</si>
  <si>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</si>
  <si>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</si>
  <si>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</si>
  <si>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</si>
  <si>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</si>
  <si>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</si>
  <si>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</si>
  <si>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</si>
  <si>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</si>
  <si>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</si>
  <si>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</si>
  <si>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</si>
  <si>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</si>
  <si>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</si>
  <si>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</si>
  <si>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</si>
  <si>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</si>
  <si>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</si>
  <si>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</si>
  <si>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</si>
  <si>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</si>
  <si>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</si>
  <si>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</si>
  <si>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</si>
  <si>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</si>
  <si>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</si>
  <si>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</si>
  <si>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</si>
  <si>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</si>
  <si>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</si>
  <si>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</si>
  <si>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</si>
  <si>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</si>
  <si>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</si>
  <si>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</si>
  <si>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</si>
  <si>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</si>
  <si>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</si>
  <si>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</si>
  <si>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</si>
  <si>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</si>
  <si>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</si>
  <si>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</si>
  <si>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</si>
  <si>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</si>
  <si>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</si>
  <si>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</si>
  <si>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</si>
  <si>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</si>
  <si>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</si>
  <si>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</si>
  <si>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</si>
  <si>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</si>
  <si>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</si>
  <si>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</si>
  <si>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</si>
  <si>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</si>
  <si>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</si>
  <si>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</si>
  <si>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</si>
  <si>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</si>
  <si>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</si>
  <si>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</si>
  <si>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</si>
  <si>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</si>
  <si>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</si>
  <si>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</si>
  <si>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</si>
  <si>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</si>
  <si>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</si>
  <si>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</si>
  <si>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</si>
  <si>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</si>
  <si>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</si>
  <si>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</si>
  <si>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</si>
  <si>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</si>
  <si>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</si>
  <si>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</si>
  <si>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</si>
  <si>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</si>
  <si>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</si>
  <si>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</si>
  <si>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</si>
  <si>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</si>
  <si>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</si>
  <si>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</si>
  <si>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</si>
  <si>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</si>
  <si>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MCHENRY</t>
  </si>
  <si>
    <t>110 FRANKS ROAD</t>
  </si>
  <si>
    <t>MARENGO</t>
  </si>
  <si>
    <t>ENGELBRECHTD@MCHS154.ORG</t>
  </si>
  <si>
    <t>60152-3598</t>
  </si>
  <si>
    <t>X</t>
  </si>
  <si>
    <t>EDER, CASELLA &amp; CO</t>
  </si>
  <si>
    <t>CHERYDEN JUERGENSEN</t>
  </si>
  <si>
    <t>5400 WEST ELM STREET, SUITE 203</t>
  </si>
  <si>
    <t>IL</t>
  </si>
  <si>
    <t>815-344-1300</t>
  </si>
  <si>
    <t>815-344-1320</t>
  </si>
  <si>
    <t>066-005142</t>
  </si>
  <si>
    <t>CPAS@EDERCASELLA.COM</t>
  </si>
  <si>
    <t>CAPITAL APPRECIATION SCHOOL BONDS, SERIES 2001</t>
  </si>
  <si>
    <t>(1)</t>
  </si>
  <si>
    <t>NORTHERN IL FOOD COOP</t>
  </si>
  <si>
    <t>CLIC</t>
  </si>
  <si>
    <t>SEDOM</t>
  </si>
  <si>
    <t>MCHENRY COUNTY COOPERATIVE FOR EMPLOYMENT EDUCATION</t>
  </si>
  <si>
    <t>CITY OF MARENGO, MARENGO POLICE DEPARTMENT</t>
  </si>
  <si>
    <t>(1) RILEY COMMUNITY CONSOLOIDATED SCHOOL DISTRICT NO. 18, MARENGO-UNION ELEMENTARY CONSOLIDATED SCHOOL DISTRICT NO. 165</t>
  </si>
  <si>
    <t>(2)</t>
  </si>
  <si>
    <t>(2) RILEY COMMUNITY CONSOLOIDATED SCHOOL DISTRICT NO. 18, MARENGO-UNION ELEMENTARY CONSOLIDATED SCHOOL DISTRICT NO. 165, SEDOM</t>
  </si>
  <si>
    <t>PAGE 10, LINE 74 - OTHER FOOD SERVICE : FOOD PURCHASES</t>
  </si>
  <si>
    <t>PAGE 10, LINE 81 - OTHER DISTRICT/SCHOOL ACTIVITY REVENUE : TRANSFER FROM REGISTRATION TO AWARDS/STUDENT PROGRAM</t>
  </si>
  <si>
    <t>PAGE 11, LINE 107 - OTHER LOCAL REVENUES : GRANTS MONEY RECLASSED TO REVENUE</t>
  </si>
  <si>
    <t>PAGE 12, LINE 171 - OTHER RESTRICTED REVENUE FROM STATE SOURCES : STATE LIBRARY GRANT AND EQUIPMENT PAYMENTS</t>
  </si>
  <si>
    <t>PAGE 13, LINE 227 - CTE - OTHER : PERKINS GRANT</t>
  </si>
  <si>
    <t>PAGE 14, LINE 272 - OTHER RESTRICTED REVENUE FROM FEDERAL SOURCES : STEP GRANT</t>
  </si>
  <si>
    <t>PAGE 15, LINE 41 - OTHER SUPPORT SERVICES - PUPILS : PAYROLL &amp; PARKING STICKERS</t>
  </si>
  <si>
    <t>PAGE 16, LINE 56 - OTHER SUPPORT SERVICES - SCHOOL ADMIN : PAYROLL &amp; BENEFITS</t>
  </si>
  <si>
    <t>PAGE 16, LINE 73 - OTHER SUPPORT SERVICES : DRAWSTRING BAGS/ TRAPPER KEEPERS</t>
  </si>
  <si>
    <t>PAGE 16, LINE 83 - OTHER PAYMENTS TO IN-STATE GOVT. UNITS : SRO SERVICES &amp; REFUND TO ISBE</t>
  </si>
  <si>
    <t>ED - Instructional Improvement - Professional Services</t>
  </si>
  <si>
    <t>Cecilia Frank</t>
  </si>
  <si>
    <t>BLDG - Operation &amp; Maintenance - Gas Utility</t>
  </si>
  <si>
    <t>20-2540-400</t>
  </si>
  <si>
    <t>Constellation New Energy</t>
  </si>
  <si>
    <t>BLDG - Operation &amp; Maintenance - Electric Utility</t>
  </si>
  <si>
    <t>ED - Special Education - Prof Employee Training &amp; Devlpmt</t>
  </si>
  <si>
    <t>Amber Mueller</t>
  </si>
  <si>
    <t>ED - Special Education - Instructional Prof Services</t>
  </si>
  <si>
    <t>Oconomowoc Development</t>
  </si>
  <si>
    <t>ED - Food Services - General Supplies</t>
  </si>
  <si>
    <t>10-2560-400</t>
  </si>
  <si>
    <t>Pepsi</t>
  </si>
  <si>
    <t>ED - Remedial Programs - General Supplies</t>
  </si>
  <si>
    <t>10-1250-400</t>
  </si>
  <si>
    <t>TRSPT - Pupil Transportation Services - Pupil Transportation</t>
  </si>
  <si>
    <t>40-2550-300</t>
  </si>
  <si>
    <t>Sunrise Southwest LLC</t>
  </si>
  <si>
    <t>PAGE 19, LINE 237 - OTHER SUPPORT SERVICES - PUPILS : EMPLOYER PAID BENEFITS</t>
  </si>
  <si>
    <t>PAGE 20, LINE 260 - OTHER SUPPORT SERVICES - SCHOOL ADMINISTRATION : EMPLOYER PAID BENEFITS</t>
  </si>
  <si>
    <t>x</t>
  </si>
  <si>
    <t>Eder, Casella &amp; Co.</t>
  </si>
  <si>
    <t>Marengo CHSD 154</t>
  </si>
  <si>
    <t>10-2200-300</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</si>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</sst>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Alignment="0"/>
    <xf numFmtId="181" fontId="161" fillId="0" borderId="0" applyFont="0" applyFill="0" applyBorder="0" applyAlignment="0" applyProtection="0"/>
    <xf numFmtId="182" fontId="161" fillId="0" borderId="0" applyFont="0" applyFill="0" applyBorder="0" applyAlignment="0" applyProtection="0"/>
    <xf numFmtId="43" fontId="10" fillId="0" borderId="0" applyAlignment="0"/>
    <xf numFmtId="0" fontId="3" fillId="0" borderId="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183" fontId="161" fillId="0" borderId="0" applyFont="0" applyFill="0" applyBorder="0" applyAlignment="0" applyProtection="0"/>
    <xf numFmtId="184" fontId="161" fillId="0" borderId="0" applyFont="0" applyFill="0" applyBorder="0" applyAlignment="0" applyProtection="0"/>
    <xf numFmtId="43" fontId="138"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1" borderId="0" applyNumberFormat="0" applyBorder="0" applyAlignment="0" applyProtection="0"/>
    <xf numFmtId="0" fontId="142" fillId="32" borderId="0" applyNumberFormat="0" applyBorder="0" applyAlignment="0" applyProtection="0"/>
    <xf numFmtId="0" fontId="154" fillId="33"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42" fillId="31" borderId="0" applyNumberFormat="0" applyBorder="0" applyAlignment="0" applyProtection="0"/>
    <xf numFmtId="0" fontId="142" fillId="35" borderId="0" applyNumberFormat="0" applyBorder="0" applyAlignment="0" applyProtection="0"/>
    <xf numFmtId="0" fontId="154" fillId="3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2" fillId="28" borderId="0" applyNumberFormat="0" applyBorder="0" applyAlignment="0" applyProtection="0"/>
    <xf numFmtId="0" fontId="142" fillId="32" borderId="0" applyNumberFormat="0" applyBorder="0" applyAlignment="0" applyProtection="0"/>
    <xf numFmtId="0" fontId="154" fillId="32"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6"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42" fillId="31" borderId="0" applyNumberFormat="0" applyBorder="0" applyAlignment="0" applyProtection="0"/>
    <xf numFmtId="0" fontId="142" fillId="38" borderId="0" applyNumberFormat="0" applyBorder="0" applyAlignment="0" applyProtection="0"/>
    <xf numFmtId="0" fontId="154" fillId="38"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61" fillId="0" borderId="166" applyNumberFormat="0" applyFill="0" applyAlignment="0" applyProtection="0"/>
    <xf numFmtId="191" fontId="162" fillId="0" borderId="166" applyNumberFormat="0" applyFill="0" applyAlignment="0" applyProtection="0">
      <alignment horizontal="center"/>
    </xf>
    <xf numFmtId="191" fontId="162" fillId="0" borderId="78" applyFill="0" applyAlignment="0" applyProtection="0">
      <alignment horizontal="center"/>
    </xf>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63" fillId="0" borderId="0" applyProtection="0"/>
    <xf numFmtId="191" fontId="162" fillId="0" borderId="0" applyFill="0" applyBorder="0" applyProtection="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3"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5" fontId="138" fillId="0" borderId="0" applyFont="0" applyFill="0" applyBorder="0" applyAlignment="0" applyProtection="0"/>
    <xf numFmtId="0" fontId="140" fillId="0" borderId="0" applyProtection="0"/>
    <xf numFmtId="192" fontId="161" fillId="0" borderId="0" applyFont="0" applyFill="0" applyBorder="0" applyAlignment="0" applyProtection="0"/>
    <xf numFmtId="191" fontId="162" fillId="0" borderId="168" applyNumberFormat="0" applyFill="0" applyAlignment="0" applyProtection="0"/>
    <xf numFmtId="0" fontId="161" fillId="0" borderId="168" applyNumberFormat="0" applyFill="0" applyAlignment="0" applyProtection="0"/>
    <xf numFmtId="0" fontId="153" fillId="42" borderId="0" applyNumberFormat="0" applyBorder="0" applyAlignment="0" applyProtection="0"/>
    <xf numFmtId="0" fontId="153" fillId="43" borderId="0" applyNumberFormat="0" applyBorder="0" applyAlignment="0" applyProtection="0"/>
    <xf numFmtId="0" fontId="153" fillId="44" borderId="0" applyNumberFormat="0" applyBorder="0" applyAlignment="0" applyProtection="0"/>
    <xf numFmtId="0" fontId="164" fillId="0" borderId="0" applyProtection="0"/>
    <xf numFmtId="0" fontId="11"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0" fillId="0" borderId="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70" fillId="0" borderId="0" applyProtection="0"/>
    <xf numFmtId="0" fontId="141" fillId="0" borderId="0" applyProtection="0"/>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93" fontId="161" fillId="0" borderId="0" applyFont="0" applyFill="0" applyBorder="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62" fillId="0" borderId="0" applyNumberFormat="0" applyFill="0" applyAlignment="0" applyProtection="0"/>
    <xf numFmtId="0" fontId="138" fillId="0" borderId="0"/>
    <xf numFmtId="0" fontId="10" fillId="0" borderId="0"/>
    <xf numFmtId="0" fontId="10" fillId="0" borderId="0"/>
    <xf numFmtId="0" fontId="138" fillId="0" borderId="0"/>
    <xf numFmtId="0" fontId="3" fillId="0" borderId="0"/>
    <xf numFmtId="0" fontId="139" fillId="0" borderId="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194" fontId="162" fillId="0" borderId="0" applyFill="0" applyBorder="0" applyProtection="0">
      <alignment horizontal="right"/>
    </xf>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195" fontId="162" fillId="0" borderId="0" applyProtection="0"/>
    <xf numFmtId="0" fontId="143"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4" applyNumberFormat="0" applyFont="0" applyFill="0" applyAlignment="0" applyProtection="0"/>
    <xf numFmtId="0" fontId="161" fillId="0" borderId="175" applyNumberFormat="0" applyFont="0" applyFill="0" applyAlignment="0" applyProtection="0"/>
    <xf numFmtId="0" fontId="161" fillId="0" borderId="142" applyNumberFormat="0" applyFon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38" fillId="0" borderId="0" applyAlignment="0"/>
    <xf numFmtId="43" fontId="10" fillId="0" borderId="0" applyAlignment="0"/>
    <xf numFmtId="43" fontId="138" fillId="0" borderId="0" applyAlignment="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0" fillId="0" borderId="0"/>
    <xf numFmtId="0" fontId="10" fillId="0" borderId="0"/>
    <xf numFmtId="0" fontId="10" fillId="0" borderId="0"/>
    <xf numFmtId="0" fontId="138"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39" fillId="0" borderId="0"/>
    <xf numFmtId="0" fontId="10" fillId="0" borderId="0"/>
    <xf numFmtId="0" fontId="10" fillId="0" borderId="0"/>
    <xf numFmtId="0" fontId="10" fillId="0" borderId="0"/>
    <xf numFmtId="0" fontId="10" fillId="0" borderId="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 fillId="0" borderId="0"/>
    <xf numFmtId="0" fontId="10" fillId="0" borderId="0"/>
    <xf numFmtId="43" fontId="3" fillId="0" borderId="0" applyFont="0" applyFill="0" applyBorder="0" applyAlignment="0" applyProtection="0"/>
    <xf numFmtId="5" fontId="10" fillId="0" borderId="0" applyFont="0" applyFill="0" applyBorder="0" applyAlignment="0" applyProtection="0"/>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0" fontId="3" fillId="0" borderId="0"/>
    <xf numFmtId="0" fontId="51" fillId="0" borderId="0"/>
    <xf numFmtId="0" fontId="3" fillId="0" borderId="0"/>
    <xf numFmtId="43" fontId="3" fillId="0" borderId="0" applyFont="0" applyFill="0" applyBorder="0" applyAlignment="0" applyProtection="0"/>
    <xf numFmtId="0" fontId="3" fillId="0" borderId="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61" fillId="0" borderId="142" applyNumberFormat="0" applyFont="0" applyFill="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5" fillId="0" borderId="0" applyNumberFormat="0" applyFill="0" applyBorder="0" applyAlignment="0" applyProtection="0">
      <alignment vertical="top"/>
      <protection locked="0"/>
    </xf>
    <xf numFmtId="0" fontId="3" fillId="0" borderId="0"/>
    <xf numFmtId="0" fontId="10" fillId="0" borderId="0"/>
  </cellStyleXfs>
  <cellXfs count="250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49" fontId="100" fillId="0" borderId="105" xfId="18" applyNumberFormat="1" applyFont="1" applyBorder="1" applyProtection="1">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C3458043-A4CB-4147-910B-C4EC3A8FCA1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2131</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2082</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44063154016</v>
      </c>
      <c r="B13" s="2037"/>
      <c r="C13" s="2037"/>
      <c r="D13" s="2037"/>
      <c r="E13" s="2037"/>
      <c r="F13" s="2037"/>
      <c r="G13" s="2037"/>
      <c r="H13" s="2038"/>
      <c r="I13" s="31"/>
      <c r="J13" s="30"/>
      <c r="K13" s="28"/>
      <c r="L13" s="30"/>
      <c r="M13" s="30"/>
      <c r="N13" s="30"/>
      <c r="O13" s="30"/>
      <c r="P13" s="30"/>
      <c r="Q13" s="30"/>
      <c r="R13" s="30"/>
      <c r="S13" s="30"/>
      <c r="T13" s="2041" t="s">
        <v>2083</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2077</v>
      </c>
      <c r="B15" s="2039"/>
      <c r="C15" s="2039"/>
      <c r="D15" s="2039"/>
      <c r="E15" s="2039"/>
      <c r="F15" s="2039"/>
      <c r="G15" s="2039"/>
      <c r="H15" s="2040"/>
      <c r="T15" s="2045" t="s">
        <v>2084</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2133</v>
      </c>
      <c r="B17" s="1996"/>
      <c r="C17" s="1996"/>
      <c r="D17" s="1996"/>
      <c r="E17" s="1996"/>
      <c r="F17" s="1996"/>
      <c r="G17" s="1996"/>
      <c r="H17" s="2021"/>
      <c r="T17" s="2052" t="s">
        <v>2085</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2078</v>
      </c>
      <c r="B19" s="1981"/>
      <c r="C19" s="1981"/>
      <c r="D19" s="1981"/>
      <c r="E19" s="1981"/>
      <c r="F19" s="1981"/>
      <c r="G19" s="1981"/>
      <c r="H19" s="1961"/>
      <c r="I19" s="30"/>
      <c r="J19" s="99"/>
      <c r="K19" s="40"/>
      <c r="L19" s="38"/>
      <c r="M19" s="112" t="s">
        <v>333</v>
      </c>
      <c r="P19" s="27"/>
      <c r="Q19" s="27"/>
      <c r="R19" s="27"/>
      <c r="S19" s="31"/>
      <c r="T19" s="2035" t="s">
        <v>2077</v>
      </c>
      <c r="U19" s="1960"/>
      <c r="V19" s="1960"/>
      <c r="W19" s="1961"/>
      <c r="X19" s="2050" t="s">
        <v>2086</v>
      </c>
      <c r="Y19" s="2051"/>
      <c r="Z19" s="2048">
        <v>60050</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2079</v>
      </c>
      <c r="B21" s="1960"/>
      <c r="C21" s="1960"/>
      <c r="D21" s="1960"/>
      <c r="E21" s="1960"/>
      <c r="F21" s="1960"/>
      <c r="G21" s="1960"/>
      <c r="H21" s="1961"/>
      <c r="I21" s="2015" t="s">
        <v>699</v>
      </c>
      <c r="J21" s="2010"/>
      <c r="K21" s="2010"/>
      <c r="L21" s="2010"/>
      <c r="M21" s="2010"/>
      <c r="N21" s="2010"/>
      <c r="O21" s="2010"/>
      <c r="P21" s="2010"/>
      <c r="Q21" s="2010"/>
      <c r="R21" s="2010"/>
      <c r="S21" s="2016"/>
      <c r="T21" s="2059" t="s">
        <v>2087</v>
      </c>
      <c r="U21" s="2060"/>
      <c r="V21" s="2060"/>
      <c r="W21" s="2060"/>
      <c r="X21" s="2065" t="s">
        <v>2088</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t="s">
        <v>2080</v>
      </c>
      <c r="B23" s="2013"/>
      <c r="C23" s="2013"/>
      <c r="D23" s="2013"/>
      <c r="E23" s="2013"/>
      <c r="F23" s="2013"/>
      <c r="G23" s="2013"/>
      <c r="H23" s="2014"/>
      <c r="T23" s="1995" t="s">
        <v>2089</v>
      </c>
      <c r="U23" s="2058"/>
      <c r="V23" s="2058"/>
      <c r="W23" s="2058"/>
      <c r="X23" s="2062">
        <v>43434</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t="s">
        <v>2081</v>
      </c>
      <c r="B25" s="1960"/>
      <c r="C25" s="1960"/>
      <c r="D25" s="1960"/>
      <c r="E25" s="1960"/>
      <c r="F25" s="1960"/>
      <c r="G25" s="1960"/>
      <c r="H25" s="1961"/>
      <c r="I25" s="113"/>
      <c r="J25" s="1984"/>
      <c r="K25" s="1984"/>
      <c r="L25" s="1984"/>
      <c r="M25" s="1984"/>
      <c r="N25" s="1984"/>
      <c r="O25" s="1984"/>
      <c r="P25" s="1984"/>
      <c r="Q25" s="1984"/>
      <c r="R25" s="1984"/>
      <c r="S25" s="1985"/>
      <c r="T25" s="2055" t="s">
        <v>2090</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2082</v>
      </c>
      <c r="M29" s="40" t="s">
        <v>101</v>
      </c>
      <c r="N29" s="32" t="s">
        <v>1604</v>
      </c>
      <c r="O29" s="32"/>
      <c r="P29" s="32"/>
      <c r="Q29" s="32"/>
      <c r="R29" s="32"/>
      <c r="S29" s="123"/>
      <c r="T29" s="6"/>
      <c r="U29" s="6"/>
      <c r="V29" s="6"/>
      <c r="W29" s="6"/>
      <c r="X29" s="6"/>
      <c r="Y29" s="6"/>
      <c r="Z29" s="6"/>
      <c r="AA29" s="132"/>
    </row>
    <row r="30" spans="1:27" ht="13.5" customHeight="1" x14ac:dyDescent="0.2">
      <c r="A30" s="153"/>
      <c r="B30" s="136" t="s">
        <v>2082</v>
      </c>
      <c r="C30" s="124" t="s">
        <v>1226</v>
      </c>
      <c r="D30" s="28"/>
      <c r="E30" s="28"/>
      <c r="F30" s="140"/>
      <c r="G30" s="114"/>
      <c r="H30" s="114"/>
      <c r="I30" s="54"/>
      <c r="J30" s="102"/>
      <c r="K30" s="28" t="s">
        <v>597</v>
      </c>
      <c r="L30" s="148" t="s">
        <v>2082</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84"/>
  <sheetViews>
    <sheetView showGridLines="0" topLeftCell="A124" zoomScale="110" zoomScaleNormal="110" workbookViewId="0">
      <selection activeCell="B6" sqref="B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K143"/>
  <sheetViews>
    <sheetView showGridLines="0" defaultGridColor="0" topLeftCell="A83" colorId="8" zoomScale="110" zoomScaleNormal="110" workbookViewId="0">
      <selection activeCell="B6" sqref="B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2082</v>
      </c>
      <c r="C53" s="179">
        <v>22</v>
      </c>
      <c r="D53" s="247" t="s">
        <v>1537</v>
      </c>
      <c r="E53" s="248"/>
      <c r="F53" s="249"/>
      <c r="G53" s="249" t="s">
        <v>1536</v>
      </c>
      <c r="H53" s="250">
        <v>33512</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2132</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90" zoomScaleNormal="90" workbookViewId="0">
      <selection activeCell="B6" sqref="B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330708908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1.9497E-2</v>
      </c>
      <c r="E10" s="356" t="s">
        <v>1062</v>
      </c>
      <c r="F10" s="355">
        <v>2.8019999999999998E-3</v>
      </c>
      <c r="G10" s="356" t="s">
        <v>1062</v>
      </c>
      <c r="H10" s="355">
        <v>3.1199999999999999E-4</v>
      </c>
      <c r="I10" s="356" t="s">
        <v>1063</v>
      </c>
      <c r="J10" s="1753">
        <f>ROUND(D10+F10+H10,5)</f>
        <v>2.2610000000000002E-2</v>
      </c>
      <c r="K10" s="222"/>
      <c r="L10" s="355">
        <v>0</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11083940</v>
      </c>
      <c r="E16" s="356"/>
      <c r="F16" s="1754">
        <f>SUM('Acct Summary 7-8'!C17,'Acct Summary 7-8'!D17,'Acct Summary 7-8'!F17)</f>
        <v>10751588</v>
      </c>
      <c r="G16" s="356"/>
      <c r="H16" s="1754">
        <f>SUM(D16-F16)</f>
        <v>332352</v>
      </c>
      <c r="I16" s="222"/>
      <c r="J16" s="1754">
        <f>SUM('Acct Summary 7-8'!C81,'Acct Summary 7-8'!D81,'Acct Summary 7-8'!F81,'Acct Summary 7-8'!I81)</f>
        <v>13670224</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2082</v>
      </c>
      <c r="C31" s="367" t="s">
        <v>607</v>
      </c>
      <c r="D31" s="237" t="s">
        <v>1132</v>
      </c>
      <c r="E31" s="222"/>
      <c r="F31" s="222"/>
      <c r="G31" s="363"/>
      <c r="H31" s="1756">
        <f>IF(B31="X",(J7*0.069),IF(B32="X",(J7*0.138),"Enter x in a.or b."))</f>
        <v>22818914.652000003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1668335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B6" sqref="B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Marengo CHSD 154</v>
      </c>
      <c r="E7" s="391"/>
      <c r="G7" s="252"/>
      <c r="H7" s="387"/>
      <c r="I7" s="387"/>
      <c r="J7" s="387"/>
      <c r="K7" s="387"/>
      <c r="L7" s="329"/>
      <c r="M7" s="329"/>
      <c r="N7" s="329"/>
      <c r="O7" s="329"/>
      <c r="P7" s="329"/>
    </row>
    <row r="8" spans="1:18" ht="12.75" x14ac:dyDescent="0.2">
      <c r="A8" s="329"/>
      <c r="B8" s="329"/>
      <c r="C8" s="389" t="s">
        <v>1187</v>
      </c>
      <c r="D8" s="392">
        <f>COVER!A13</f>
        <v>44063154016</v>
      </c>
      <c r="E8" s="393"/>
      <c r="G8" s="329"/>
      <c r="H8" s="329"/>
      <c r="I8" s="329"/>
      <c r="J8" s="329"/>
      <c r="K8" s="329"/>
      <c r="L8" s="329"/>
      <c r="M8" s="329"/>
      <c r="N8" s="329"/>
      <c r="O8" s="329"/>
      <c r="P8" s="329"/>
    </row>
    <row r="9" spans="1:18" ht="12.75" x14ac:dyDescent="0.2">
      <c r="A9" s="329"/>
      <c r="B9" s="329"/>
      <c r="C9" s="389" t="s">
        <v>737</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13670224</v>
      </c>
      <c r="I12" s="404"/>
      <c r="J12" s="404"/>
      <c r="K12" s="405">
        <f>TRUNC((H12/H13*100000),5)/100000</f>
        <v>1.2445647008</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10983940</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-100000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10751588</v>
      </c>
      <c r="I17" s="404"/>
      <c r="J17" s="416"/>
      <c r="K17" s="405">
        <f>TRUNC((H17/H18*100000),5)/100000</f>
        <v>0.97884620630000008</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10983940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-100000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13668970</v>
      </c>
      <c r="I24" s="422"/>
      <c r="J24" s="422"/>
      <c r="K24" s="423">
        <f>TRUNC(((H24/H25*100000)/100000),2)</f>
        <v>457.68</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29865.522219999999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6355729.1484000003</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1668335</v>
      </c>
      <c r="I32" s="420"/>
      <c r="J32" s="420"/>
      <c r="K32" s="423">
        <f>TRUNC(100-((((H32/H33*100))*100)/100),2)</f>
        <v>92.68</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22818914.652000003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110" zoomScaleNormal="110" workbookViewId="0">
      <pane ySplit="2" topLeftCell="A12" activePane="bottomLeft" state="frozen"/>
      <selection activeCell="B6" sqref="B6"/>
      <selection pane="bottomLeft" activeCell="B6" sqref="B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0"/>
      <c r="D3" s="1581"/>
      <c r="E3" s="1581"/>
      <c r="F3" s="1581"/>
      <c r="G3" s="1581"/>
      <c r="H3" s="1581"/>
      <c r="I3" s="1581"/>
      <c r="J3" s="1581"/>
      <c r="K3" s="1581"/>
      <c r="L3" s="1581"/>
      <c r="M3" s="1582"/>
      <c r="N3" s="1583"/>
    </row>
    <row r="4" spans="1:14" ht="13.5" customHeight="1" x14ac:dyDescent="0.2">
      <c r="A4" s="463" t="s">
        <v>1750</v>
      </c>
      <c r="B4" s="464"/>
      <c r="C4" s="465">
        <v>5829364</v>
      </c>
      <c r="D4" s="466">
        <v>927289</v>
      </c>
      <c r="E4" s="466">
        <v>1468316</v>
      </c>
      <c r="F4" s="466">
        <v>1007717</v>
      </c>
      <c r="G4" s="466">
        <v>113135</v>
      </c>
      <c r="H4" s="466">
        <v>8675</v>
      </c>
      <c r="I4" s="466">
        <v>0</v>
      </c>
      <c r="J4" s="467">
        <v>120600</v>
      </c>
      <c r="K4" s="466">
        <v>0</v>
      </c>
      <c r="L4" s="466">
        <v>125407</v>
      </c>
      <c r="M4" s="468"/>
      <c r="N4" s="469"/>
    </row>
    <row r="5" spans="1:14" x14ac:dyDescent="0.2">
      <c r="A5" s="463" t="s">
        <v>1049</v>
      </c>
      <c r="B5" s="470">
        <v>120</v>
      </c>
      <c r="C5" s="465">
        <v>5408077</v>
      </c>
      <c r="D5" s="466">
        <v>0</v>
      </c>
      <c r="E5" s="466">
        <v>0</v>
      </c>
      <c r="F5" s="466">
        <v>496523</v>
      </c>
      <c r="G5" s="466">
        <v>0</v>
      </c>
      <c r="H5" s="466">
        <v>0</v>
      </c>
      <c r="I5" s="466">
        <v>0</v>
      </c>
      <c r="J5" s="467">
        <v>0</v>
      </c>
      <c r="K5" s="471">
        <v>0</v>
      </c>
      <c r="L5" s="472">
        <v>881746</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7" t="s">
        <v>665</v>
      </c>
      <c r="B13" s="1730"/>
      <c r="C13" s="1758">
        <f>SUM(C4:C12)</f>
        <v>11237441</v>
      </c>
      <c r="D13" s="1758">
        <f t="shared" ref="D13:L13" si="0">SUM(D4:D12)</f>
        <v>927289</v>
      </c>
      <c r="E13" s="1758">
        <f t="shared" si="0"/>
        <v>1468316</v>
      </c>
      <c r="F13" s="1758">
        <f t="shared" si="0"/>
        <v>1504240</v>
      </c>
      <c r="G13" s="1758">
        <f t="shared" si="0"/>
        <v>113135</v>
      </c>
      <c r="H13" s="1758">
        <f t="shared" si="0"/>
        <v>8675</v>
      </c>
      <c r="I13" s="1758">
        <f t="shared" si="0"/>
        <v>0</v>
      </c>
      <c r="J13" s="1758">
        <f t="shared" si="0"/>
        <v>120600</v>
      </c>
      <c r="K13" s="1758">
        <f t="shared" si="0"/>
        <v>0</v>
      </c>
      <c r="L13" s="1758">
        <f t="shared" si="0"/>
        <v>1007153</v>
      </c>
      <c r="M13" s="468"/>
      <c r="N13" s="469"/>
    </row>
    <row r="14" spans="1:14" ht="18" customHeight="1" thickTop="1" x14ac:dyDescent="0.2">
      <c r="A14" s="2128" t="s">
        <v>149</v>
      </c>
      <c r="B14" s="2129"/>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1174836</v>
      </c>
      <c r="N16" s="484"/>
    </row>
    <row r="17" spans="1:14" s="485" customFormat="1" ht="12.75" customHeight="1" x14ac:dyDescent="0.2">
      <c r="A17" s="482" t="s">
        <v>1470</v>
      </c>
      <c r="B17" s="483">
        <v>230</v>
      </c>
      <c r="C17" s="477"/>
      <c r="D17" s="477"/>
      <c r="E17" s="477"/>
      <c r="F17" s="477"/>
      <c r="G17" s="477"/>
      <c r="H17" s="477"/>
      <c r="I17" s="477"/>
      <c r="J17" s="477"/>
      <c r="K17" s="477"/>
      <c r="L17" s="477"/>
      <c r="M17" s="467">
        <v>31122012</v>
      </c>
      <c r="N17" s="484"/>
    </row>
    <row r="18" spans="1:14" s="485" customFormat="1" ht="12.75" customHeight="1" x14ac:dyDescent="0.2">
      <c r="A18" s="482" t="s">
        <v>1471</v>
      </c>
      <c r="B18" s="483">
        <v>240</v>
      </c>
      <c r="C18" s="477"/>
      <c r="D18" s="477"/>
      <c r="E18" s="477"/>
      <c r="F18" s="477"/>
      <c r="G18" s="477"/>
      <c r="H18" s="477"/>
      <c r="I18" s="477"/>
      <c r="J18" s="477"/>
      <c r="K18" s="477"/>
      <c r="L18" s="477"/>
      <c r="M18" s="467">
        <v>2918346</v>
      </c>
      <c r="N18" s="484"/>
    </row>
    <row r="19" spans="1:14" s="485" customFormat="1" ht="12.75" customHeight="1" x14ac:dyDescent="0.2">
      <c r="A19" s="482" t="s">
        <v>1472</v>
      </c>
      <c r="B19" s="483">
        <v>250</v>
      </c>
      <c r="C19" s="477"/>
      <c r="D19" s="477"/>
      <c r="E19" s="477"/>
      <c r="F19" s="477"/>
      <c r="G19" s="477"/>
      <c r="H19" s="477"/>
      <c r="I19" s="477"/>
      <c r="J19" s="477"/>
      <c r="K19" s="477"/>
      <c r="L19" s="477"/>
      <c r="M19" s="467">
        <v>3229613</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1468316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200019</v>
      </c>
    </row>
    <row r="23" spans="1:14" ht="13.5" customHeight="1" thickBot="1" x14ac:dyDescent="0.25">
      <c r="A23" s="1757" t="s">
        <v>664</v>
      </c>
      <c r="B23" s="1762"/>
      <c r="C23" s="468"/>
      <c r="D23" s="468"/>
      <c r="E23" s="468"/>
      <c r="F23" s="468"/>
      <c r="G23" s="468"/>
      <c r="H23" s="468"/>
      <c r="I23" s="468"/>
      <c r="J23" s="468"/>
      <c r="K23" s="468"/>
      <c r="L23" s="468"/>
      <c r="M23" s="1709">
        <f>SUM(M15:M22)</f>
        <v>38444807</v>
      </c>
      <c r="N23" s="1709">
        <f>SUM(N21:N22)</f>
        <v>1668335</v>
      </c>
    </row>
    <row r="24" spans="1:14" ht="18" customHeight="1" thickTop="1" x14ac:dyDescent="0.2">
      <c r="A24" s="2130" t="s">
        <v>619</v>
      </c>
      <c r="B24" s="2131"/>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-1248</v>
      </c>
      <c r="D31" s="467">
        <v>0</v>
      </c>
      <c r="E31" s="467">
        <v>0</v>
      </c>
      <c r="F31" s="466">
        <v>-6</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1007153</v>
      </c>
      <c r="M33" s="468"/>
      <c r="N33" s="469"/>
    </row>
    <row r="34" spans="1:14" ht="13.5" customHeight="1" thickBot="1" x14ac:dyDescent="0.25">
      <c r="A34" s="1759" t="s">
        <v>675</v>
      </c>
      <c r="B34" s="1760"/>
      <c r="C34" s="1761">
        <f>SUM(C25:C33)</f>
        <v>-1248</v>
      </c>
      <c r="D34" s="1761">
        <f t="shared" ref="D34:K34" si="1">SUM(D25:D33)</f>
        <v>0</v>
      </c>
      <c r="E34" s="1761">
        <f t="shared" si="1"/>
        <v>0</v>
      </c>
      <c r="F34" s="1761">
        <f t="shared" si="1"/>
        <v>-6</v>
      </c>
      <c r="G34" s="1761">
        <f t="shared" si="1"/>
        <v>0</v>
      </c>
      <c r="H34" s="1761">
        <f t="shared" si="1"/>
        <v>0</v>
      </c>
      <c r="I34" s="1761">
        <f t="shared" si="1"/>
        <v>0</v>
      </c>
      <c r="J34" s="1761">
        <f t="shared" si="1"/>
        <v>0</v>
      </c>
      <c r="K34" s="1761">
        <f t="shared" si="1"/>
        <v>0</v>
      </c>
      <c r="L34" s="1742">
        <f>SUM(L33)</f>
        <v>1007153</v>
      </c>
      <c r="M34" s="468"/>
      <c r="N34" s="480"/>
    </row>
    <row r="35" spans="1:14" ht="18" customHeight="1" thickTop="1" x14ac:dyDescent="0.2">
      <c r="A35" s="2132" t="s">
        <v>550</v>
      </c>
      <c r="B35" s="2133"/>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1668335</v>
      </c>
    </row>
    <row r="37" spans="1:14" ht="13.5" thickBot="1" x14ac:dyDescent="0.25">
      <c r="A37" s="1757" t="s">
        <v>674</v>
      </c>
      <c r="B37" s="1762"/>
      <c r="C37" s="477"/>
      <c r="D37" s="477"/>
      <c r="E37" s="477"/>
      <c r="F37" s="477"/>
      <c r="G37" s="477"/>
      <c r="H37" s="477"/>
      <c r="I37" s="477"/>
      <c r="J37" s="477"/>
      <c r="K37" s="477"/>
      <c r="L37" s="480"/>
      <c r="M37" s="468"/>
      <c r="N37" s="1709">
        <f>SUM(N36:N36)</f>
        <v>1668335</v>
      </c>
    </row>
    <row r="38" spans="1:14" s="329" customFormat="1" ht="13.5" customHeight="1" thickTop="1" x14ac:dyDescent="0.2">
      <c r="A38" s="496" t="s">
        <v>440</v>
      </c>
      <c r="B38" s="483">
        <v>714</v>
      </c>
      <c r="C38" s="466"/>
      <c r="D38" s="466"/>
      <c r="E38" s="466"/>
      <c r="F38" s="466"/>
      <c r="G38" s="466">
        <v>71839</v>
      </c>
      <c r="H38" s="466"/>
      <c r="I38" s="466"/>
      <c r="J38" s="467"/>
      <c r="K38" s="466"/>
      <c r="L38" s="481"/>
      <c r="M38" s="497"/>
      <c r="N38" s="497"/>
    </row>
    <row r="39" spans="1:14" s="329" customFormat="1" ht="13.5" customHeight="1" x14ac:dyDescent="0.2">
      <c r="A39" s="496" t="s">
        <v>360</v>
      </c>
      <c r="B39" s="483">
        <v>730</v>
      </c>
      <c r="C39" s="466">
        <v>11238689</v>
      </c>
      <c r="D39" s="466">
        <v>927289</v>
      </c>
      <c r="E39" s="466">
        <v>1468316</v>
      </c>
      <c r="F39" s="466">
        <v>1504246</v>
      </c>
      <c r="G39" s="466">
        <v>41296</v>
      </c>
      <c r="H39" s="466">
        <v>8675</v>
      </c>
      <c r="I39" s="466">
        <v>0</v>
      </c>
      <c r="J39" s="467">
        <v>120600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38444807</v>
      </c>
      <c r="N40" s="497"/>
    </row>
    <row r="41" spans="1:14" ht="13.5" customHeight="1" thickBot="1" x14ac:dyDescent="0.25">
      <c r="A41" s="1757" t="s">
        <v>676</v>
      </c>
      <c r="B41" s="1727"/>
      <c r="C41" s="1709">
        <f>(SUM(C34,C37,C38,C39))</f>
        <v>11237441</v>
      </c>
      <c r="D41" s="1709">
        <f t="shared" ref="D41:L41" si="2">SUM(D34,D37,D38:D39)</f>
        <v>927289</v>
      </c>
      <c r="E41" s="1709">
        <f t="shared" si="2"/>
        <v>1468316</v>
      </c>
      <c r="F41" s="1709">
        <f t="shared" si="2"/>
        <v>1504240</v>
      </c>
      <c r="G41" s="1709">
        <f t="shared" si="2"/>
        <v>113135</v>
      </c>
      <c r="H41" s="1709">
        <f t="shared" si="2"/>
        <v>8675</v>
      </c>
      <c r="I41" s="1709">
        <f t="shared" si="2"/>
        <v>0</v>
      </c>
      <c r="J41" s="1709">
        <f t="shared" si="2"/>
        <v>120600</v>
      </c>
      <c r="K41" s="1709">
        <f t="shared" si="2"/>
        <v>0</v>
      </c>
      <c r="L41" s="1709">
        <f t="shared" si="2"/>
        <v>1007153</v>
      </c>
      <c r="M41" s="1709">
        <f>SUM(M40)</f>
        <v>38444807</v>
      </c>
      <c r="N41" s="1709">
        <f>SUM(N37)</f>
        <v>1668335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110" zoomScaleNormal="110" zoomScaleSheetLayoutView="100" workbookViewId="0">
      <pane ySplit="2" topLeftCell="A54" activePane="bottomLeft" state="frozenSplit"/>
      <selection activeCell="B6" sqref="B6"/>
      <selection pane="bottomLeft" activeCell="A3" sqref="A3:B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4"/>
      <c r="D3" s="1595"/>
      <c r="E3" s="1595"/>
      <c r="F3" s="1595"/>
      <c r="G3" s="1595"/>
      <c r="H3" s="1595"/>
      <c r="I3" s="1595"/>
      <c r="J3" s="1595"/>
      <c r="K3" s="1596"/>
      <c r="L3" s="506"/>
    </row>
    <row r="4" spans="1:13" ht="15.75" customHeight="1" x14ac:dyDescent="0.2">
      <c r="A4" s="1953" t="s">
        <v>1579</v>
      </c>
      <c r="B4" s="1954">
        <v>1000</v>
      </c>
      <c r="C4" s="1763">
        <f>'Revenues 9-14'!C109</f>
        <v>7471448</v>
      </c>
      <c r="D4" s="1763">
        <f>'Revenues 9-14'!D109</f>
        <v>957182</v>
      </c>
      <c r="E4" s="1763">
        <f>'Revenues 9-14'!E109</f>
        <v>2537633</v>
      </c>
      <c r="F4" s="1763">
        <f>'Revenues 9-14'!F109</f>
        <v>200572</v>
      </c>
      <c r="G4" s="1763">
        <f>'Revenues 9-14'!G109</f>
        <v>313633</v>
      </c>
      <c r="H4" s="1763">
        <f>'Revenues 9-14'!H109</f>
        <v>7828</v>
      </c>
      <c r="I4" s="1763">
        <f>'Revenues 9-14'!I109</f>
        <v>0</v>
      </c>
      <c r="J4" s="1763">
        <f>'Revenues 9-14'!J109</f>
        <v>120775</v>
      </c>
      <c r="K4" s="1763">
        <f>'Revenues 9-14'!K109</f>
        <v>0</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1471068</v>
      </c>
      <c r="D6" s="1764">
        <f>'Revenues 9-14'!D173</f>
        <v>0</v>
      </c>
      <c r="E6" s="1764">
        <f>'Revenues 9-14'!E173</f>
        <v>0</v>
      </c>
      <c r="F6" s="1764">
        <f>'Revenues 9-14'!F173</f>
        <v>450116</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533554</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9476070</v>
      </c>
      <c r="D8" s="1709">
        <f t="shared" ref="D8:K8" si="0">SUM(D4:D7)</f>
        <v>957182</v>
      </c>
      <c r="E8" s="1709">
        <f t="shared" si="0"/>
        <v>2537633</v>
      </c>
      <c r="F8" s="1709">
        <f t="shared" si="0"/>
        <v>650688</v>
      </c>
      <c r="G8" s="1709">
        <f t="shared" si="0"/>
        <v>313633</v>
      </c>
      <c r="H8" s="1709">
        <f t="shared" si="0"/>
        <v>7828</v>
      </c>
      <c r="I8" s="1709">
        <f t="shared" si="0"/>
        <v>0</v>
      </c>
      <c r="J8" s="1709">
        <f t="shared" si="0"/>
        <v>120775</v>
      </c>
      <c r="K8" s="1709">
        <f t="shared" si="0"/>
        <v>0</v>
      </c>
      <c r="L8" s="347"/>
    </row>
    <row r="9" spans="1:13" ht="15.75" thickTop="1" x14ac:dyDescent="0.2">
      <c r="A9" s="514" t="s">
        <v>1752</v>
      </c>
      <c r="B9" s="515">
        <v>3998</v>
      </c>
      <c r="C9" s="481">
        <v>3602774</v>
      </c>
      <c r="D9" s="516">
        <v>0</v>
      </c>
      <c r="E9" s="481">
        <v>0</v>
      </c>
      <c r="F9" s="481">
        <v>0</v>
      </c>
      <c r="G9" s="517">
        <v>0</v>
      </c>
      <c r="H9" s="481">
        <v>0</v>
      </c>
      <c r="I9" s="509" t="s">
        <v>1231</v>
      </c>
      <c r="J9" s="478">
        <v>0</v>
      </c>
      <c r="K9" s="481">
        <v>0</v>
      </c>
      <c r="L9" s="347"/>
    </row>
    <row r="10" spans="1:13" s="519" customFormat="1" ht="13.5" thickBot="1" x14ac:dyDescent="0.25">
      <c r="A10" s="1757" t="s">
        <v>1235</v>
      </c>
      <c r="B10" s="1730"/>
      <c r="C10" s="1709">
        <f>SUM(C8:C9)</f>
        <v>13078844</v>
      </c>
      <c r="D10" s="1709">
        <f t="shared" ref="D10:K10" si="1">SUM(D8:D9)</f>
        <v>957182</v>
      </c>
      <c r="E10" s="1709">
        <f t="shared" si="1"/>
        <v>2537633</v>
      </c>
      <c r="F10" s="1709">
        <f t="shared" si="1"/>
        <v>650688</v>
      </c>
      <c r="G10" s="1709">
        <f t="shared" si="1"/>
        <v>313633</v>
      </c>
      <c r="H10" s="1709">
        <f t="shared" si="1"/>
        <v>7828</v>
      </c>
      <c r="I10" s="1709">
        <f t="shared" si="1"/>
        <v>0</v>
      </c>
      <c r="J10" s="1709">
        <f t="shared" si="1"/>
        <v>120775</v>
      </c>
      <c r="K10" s="1709">
        <f t="shared" si="1"/>
        <v>0</v>
      </c>
      <c r="L10" s="518"/>
    </row>
    <row r="11" spans="1:13" s="519" customFormat="1" ht="16.7" customHeight="1" thickTop="1" x14ac:dyDescent="0.2">
      <c r="A11" s="2128" t="s">
        <v>1238</v>
      </c>
      <c r="B11" s="2129"/>
      <c r="C11" s="1591"/>
      <c r="D11" s="1592"/>
      <c r="E11" s="1592"/>
      <c r="F11" s="1592"/>
      <c r="G11" s="1592"/>
      <c r="H11" s="1592"/>
      <c r="I11" s="1592"/>
      <c r="J11" s="1592"/>
      <c r="K11" s="1593"/>
      <c r="L11" s="518"/>
    </row>
    <row r="12" spans="1:13" ht="15.75" customHeight="1" x14ac:dyDescent="0.2">
      <c r="A12" s="1597" t="s">
        <v>476</v>
      </c>
      <c r="B12" s="1599">
        <v>1000</v>
      </c>
      <c r="C12" s="1763">
        <f>'Expenditures 15-22'!K33</f>
        <v>6212446</v>
      </c>
      <c r="D12" s="520" t="s">
        <v>1231</v>
      </c>
      <c r="E12" s="468" t="s">
        <v>1231</v>
      </c>
      <c r="F12" s="468" t="s">
        <v>1231</v>
      </c>
      <c r="G12" s="1763">
        <f>'Expenditures 15-22'!K229</f>
        <v>90086</v>
      </c>
      <c r="H12" s="521"/>
      <c r="I12" s="468" t="s">
        <v>1231</v>
      </c>
      <c r="J12" s="468" t="s">
        <v>1231</v>
      </c>
      <c r="K12" s="521" t="s">
        <v>1231</v>
      </c>
      <c r="L12" s="347"/>
    </row>
    <row r="13" spans="1:13" ht="15.75" customHeight="1" x14ac:dyDescent="0.2">
      <c r="A13" s="1597" t="s">
        <v>477</v>
      </c>
      <c r="B13" s="1599">
        <v>2000</v>
      </c>
      <c r="C13" s="1764">
        <f>'Expenditures 15-22'!K74</f>
        <v>2671799</v>
      </c>
      <c r="D13" s="1764">
        <f>'Expenditures 15-22'!K129</f>
        <v>1209297</v>
      </c>
      <c r="E13" s="469" t="s">
        <v>1231</v>
      </c>
      <c r="F13" s="1764">
        <f>'Expenditures 15-22'!K184</f>
        <v>549238</v>
      </c>
      <c r="G13" s="1764">
        <f>'Expenditures 15-22'!K279</f>
        <v>204456</v>
      </c>
      <c r="H13" s="1764">
        <f>'Expenditures 15-22'!K303</f>
        <v>0</v>
      </c>
      <c r="I13" s="468" t="s">
        <v>1231</v>
      </c>
      <c r="J13" s="1764">
        <f>'Expenditures 15-22'!K330</f>
        <v>91913</v>
      </c>
      <c r="K13" s="1768">
        <f>'Expenditures 15-22'!K352</f>
        <v>0</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108808</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2545000</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8993053</v>
      </c>
      <c r="D17" s="1709">
        <f t="shared" si="2"/>
        <v>1209297</v>
      </c>
      <c r="E17" s="1709">
        <f t="shared" si="2"/>
        <v>2545000</v>
      </c>
      <c r="F17" s="1709">
        <f t="shared" si="2"/>
        <v>549238</v>
      </c>
      <c r="G17" s="1709">
        <f t="shared" si="2"/>
        <v>294542</v>
      </c>
      <c r="H17" s="1709">
        <f t="shared" si="2"/>
        <v>0</v>
      </c>
      <c r="I17" s="468"/>
      <c r="J17" s="1709">
        <f>SUM(J12:J16)</f>
        <v>91913</v>
      </c>
      <c r="K17" s="1709">
        <f>SUM(K12:K16)</f>
        <v>0</v>
      </c>
      <c r="L17" s="347"/>
    </row>
    <row r="18" spans="1:12" ht="15" customHeight="1" thickTop="1" x14ac:dyDescent="0.2">
      <c r="A18" s="1765" t="s">
        <v>1753</v>
      </c>
      <c r="B18" s="1766">
        <v>4180</v>
      </c>
      <c r="C18" s="1763">
        <f t="shared" ref="C18:H18" si="3">C9</f>
        <v>3602774</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12595827</v>
      </c>
      <c r="D19" s="1709">
        <f t="shared" si="4"/>
        <v>1209297</v>
      </c>
      <c r="E19" s="1709">
        <f t="shared" si="4"/>
        <v>2545000</v>
      </c>
      <c r="F19" s="1709">
        <f t="shared" si="4"/>
        <v>549238</v>
      </c>
      <c r="G19" s="1709">
        <f t="shared" si="4"/>
        <v>294542</v>
      </c>
      <c r="H19" s="1709">
        <f t="shared" si="4"/>
        <v>0</v>
      </c>
      <c r="I19" s="468"/>
      <c r="J19" s="1709">
        <f>SUM(J17:J18)</f>
        <v>91913</v>
      </c>
      <c r="K19" s="1709">
        <f>SUM(K17:K18)</f>
        <v>0</v>
      </c>
      <c r="L19" s="347"/>
    </row>
    <row r="20" spans="1:12" ht="16.5" thickTop="1" thickBot="1" x14ac:dyDescent="0.25">
      <c r="A20" s="2144" t="s">
        <v>1754</v>
      </c>
      <c r="B20" s="2145"/>
      <c r="C20" s="1767">
        <f>C8-C17</f>
        <v>483017</v>
      </c>
      <c r="D20" s="1767">
        <f t="shared" ref="D20:K20" si="5">D8-D17</f>
        <v>-252115</v>
      </c>
      <c r="E20" s="1767">
        <f t="shared" si="5"/>
        <v>-7367</v>
      </c>
      <c r="F20" s="1767">
        <f t="shared" si="5"/>
        <v>101450</v>
      </c>
      <c r="G20" s="1767">
        <f t="shared" si="5"/>
        <v>19091</v>
      </c>
      <c r="H20" s="1767">
        <f t="shared" si="5"/>
        <v>7828</v>
      </c>
      <c r="I20" s="1767">
        <f t="shared" si="5"/>
        <v>0</v>
      </c>
      <c r="J20" s="1767">
        <f t="shared" si="5"/>
        <v>28862</v>
      </c>
      <c r="K20" s="1767">
        <f t="shared" si="5"/>
        <v>0</v>
      </c>
      <c r="L20" s="347"/>
    </row>
    <row r="21" spans="1:12" ht="16.7" customHeight="1" thickTop="1" x14ac:dyDescent="0.2">
      <c r="A21" s="2156" t="s">
        <v>616</v>
      </c>
      <c r="B21" s="2157"/>
      <c r="C21" s="1591"/>
      <c r="D21" s="1592"/>
      <c r="E21" s="1592"/>
      <c r="F21" s="1592"/>
      <c r="G21" s="1592"/>
      <c r="H21" s="1592"/>
      <c r="I21" s="1592"/>
      <c r="J21" s="1592"/>
      <c r="K21" s="1593"/>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4409</v>
      </c>
      <c r="E29" s="475"/>
      <c r="F29" s="475"/>
      <c r="G29" s="475"/>
      <c r="H29" s="475"/>
      <c r="I29" s="475"/>
      <c r="J29" s="475"/>
      <c r="K29" s="475"/>
      <c r="L29" s="524"/>
    </row>
    <row r="30" spans="1:12" s="485" customFormat="1" ht="26.25" x14ac:dyDescent="0.2">
      <c r="A30" s="1510" t="s">
        <v>1897</v>
      </c>
      <c r="B30" s="527">
        <v>7160</v>
      </c>
      <c r="C30" s="477"/>
      <c r="D30" s="467">
        <v>0</v>
      </c>
      <c r="E30" s="477"/>
      <c r="F30" s="477"/>
      <c r="G30" s="477"/>
      <c r="H30" s="477"/>
      <c r="I30" s="477"/>
      <c r="J30" s="477"/>
      <c r="K30" s="477"/>
      <c r="L30" s="524"/>
    </row>
    <row r="31" spans="1:12" s="485" customFormat="1" ht="26.25" x14ac:dyDescent="0.2">
      <c r="A31" s="1510" t="s">
        <v>1901</v>
      </c>
      <c r="B31" s="527">
        <v>7170</v>
      </c>
      <c r="C31" s="477"/>
      <c r="D31" s="477"/>
      <c r="E31" s="474">
        <v>0</v>
      </c>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0" t="s">
        <v>432</v>
      </c>
      <c r="B33" s="525">
        <v>7210</v>
      </c>
      <c r="C33" s="467">
        <v>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100000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8" t="s">
        <v>392</v>
      </c>
      <c r="B44" s="2159"/>
      <c r="C44" s="1724">
        <f>SUM(C24:C43)</f>
        <v>0</v>
      </c>
      <c r="D44" s="1724">
        <f t="shared" ref="D44:K44" si="6">SUM(D24:D43)</f>
        <v>4409</v>
      </c>
      <c r="E44" s="1724">
        <f t="shared" si="6"/>
        <v>100000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4">
        <f>SUM(D29)</f>
        <v>4409</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100000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4" t="s">
        <v>460</v>
      </c>
      <c r="B76" s="2135"/>
      <c r="C76" s="1724">
        <f t="shared" ref="C76:K76" si="7">SUM(C47:C75)</f>
        <v>0</v>
      </c>
      <c r="D76" s="1724">
        <f t="shared" si="7"/>
        <v>100000</v>
      </c>
      <c r="E76" s="1724">
        <f t="shared" si="7"/>
        <v>0</v>
      </c>
      <c r="F76" s="1724">
        <f t="shared" si="7"/>
        <v>0</v>
      </c>
      <c r="G76" s="1724">
        <f t="shared" si="7"/>
        <v>0</v>
      </c>
      <c r="H76" s="1724">
        <f t="shared" si="7"/>
        <v>4409</v>
      </c>
      <c r="I76" s="1724">
        <f t="shared" si="7"/>
        <v>0</v>
      </c>
      <c r="J76" s="1724">
        <f t="shared" si="7"/>
        <v>0</v>
      </c>
      <c r="K76" s="1724">
        <f t="shared" si="7"/>
        <v>0</v>
      </c>
      <c r="L76" s="524"/>
    </row>
    <row r="77" spans="1:12" ht="14.25" thickTop="1" thickBot="1" x14ac:dyDescent="0.25">
      <c r="A77" s="2136" t="s">
        <v>1239</v>
      </c>
      <c r="B77" s="2137"/>
      <c r="C77" s="1724">
        <f t="shared" ref="C77:K77" si="8">C44-C76</f>
        <v>0</v>
      </c>
      <c r="D77" s="1724">
        <f t="shared" si="8"/>
        <v>-95591</v>
      </c>
      <c r="E77" s="1724">
        <f t="shared" si="8"/>
        <v>100000</v>
      </c>
      <c r="F77" s="1724">
        <f t="shared" si="8"/>
        <v>0</v>
      </c>
      <c r="G77" s="1724">
        <f t="shared" si="8"/>
        <v>0</v>
      </c>
      <c r="H77" s="1724">
        <f t="shared" si="8"/>
        <v>-4409</v>
      </c>
      <c r="I77" s="1724">
        <f t="shared" si="8"/>
        <v>0</v>
      </c>
      <c r="J77" s="1724">
        <f t="shared" si="8"/>
        <v>0</v>
      </c>
      <c r="K77" s="1724">
        <f t="shared" si="8"/>
        <v>0</v>
      </c>
      <c r="L77" s="347"/>
    </row>
    <row r="78" spans="1:12" ht="21.75" customHeight="1" thickTop="1" thickBot="1" x14ac:dyDescent="0.25">
      <c r="A78" s="2140" t="s">
        <v>618</v>
      </c>
      <c r="B78" s="2141"/>
      <c r="C78" s="1723">
        <f t="shared" ref="C78:K78" si="9">C20+C77</f>
        <v>483017</v>
      </c>
      <c r="D78" s="1723">
        <f t="shared" si="9"/>
        <v>-347706</v>
      </c>
      <c r="E78" s="1723">
        <f t="shared" si="9"/>
        <v>92633</v>
      </c>
      <c r="F78" s="1723">
        <f t="shared" si="9"/>
        <v>101450</v>
      </c>
      <c r="G78" s="1723">
        <f t="shared" si="9"/>
        <v>19091</v>
      </c>
      <c r="H78" s="1723">
        <f t="shared" si="9"/>
        <v>3419</v>
      </c>
      <c r="I78" s="1723">
        <f t="shared" si="9"/>
        <v>0</v>
      </c>
      <c r="J78" s="1723">
        <f t="shared" si="9"/>
        <v>28862</v>
      </c>
      <c r="K78" s="1723">
        <f t="shared" si="9"/>
        <v>0</v>
      </c>
      <c r="L78" s="533"/>
    </row>
    <row r="79" spans="1:12" ht="13.5" thickTop="1" x14ac:dyDescent="0.2">
      <c r="A79" s="1515" t="s">
        <v>2073</v>
      </c>
      <c r="B79" s="534"/>
      <c r="C79" s="478">
        <v>10755672</v>
      </c>
      <c r="D79" s="535">
        <v>1274995</v>
      </c>
      <c r="E79" s="535">
        <v>1375683</v>
      </c>
      <c r="F79" s="535">
        <v>1402796</v>
      </c>
      <c r="G79" s="535">
        <v>94044</v>
      </c>
      <c r="H79" s="535">
        <v>5256</v>
      </c>
      <c r="I79" s="535">
        <v>0</v>
      </c>
      <c r="J79" s="535">
        <v>91738</v>
      </c>
      <c r="K79" s="535">
        <v>0</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2074</v>
      </c>
      <c r="B81" s="2139"/>
      <c r="C81" s="1709">
        <f>(SUM(C78:C80))</f>
        <v>11238689</v>
      </c>
      <c r="D81" s="1709">
        <f>SUM(D78:D80)</f>
        <v>927289</v>
      </c>
      <c r="E81" s="1709">
        <f t="shared" ref="E81:K81" si="10">SUM(E78:E80)</f>
        <v>1468316</v>
      </c>
      <c r="F81" s="1709">
        <f t="shared" si="10"/>
        <v>1504246</v>
      </c>
      <c r="G81" s="1709">
        <f t="shared" si="10"/>
        <v>113135</v>
      </c>
      <c r="H81" s="1709">
        <f t="shared" si="10"/>
        <v>8675</v>
      </c>
      <c r="I81" s="1709">
        <f t="shared" si="10"/>
        <v>0</v>
      </c>
      <c r="J81" s="1709">
        <f t="shared" si="10"/>
        <v>120600</v>
      </c>
      <c r="K81" s="1709">
        <f t="shared" si="10"/>
        <v>0</v>
      </c>
      <c r="L81" s="347"/>
    </row>
    <row r="82" spans="1:12" ht="0.75" customHeight="1" thickTop="1" thickBot="1" x14ac:dyDescent="0.25">
      <c r="A82" s="536" t="s">
        <v>361</v>
      </c>
      <c r="B82" s="537"/>
      <c r="C82" s="538">
        <f>(C81-C79)</f>
        <v>483017</v>
      </c>
      <c r="D82" s="538">
        <f t="shared" ref="D82:K82" si="11">(D81-D79)</f>
        <v>-347706</v>
      </c>
      <c r="E82" s="538">
        <f t="shared" si="11"/>
        <v>92633</v>
      </c>
      <c r="F82" s="538">
        <f t="shared" si="11"/>
        <v>101450</v>
      </c>
      <c r="G82" s="538">
        <f t="shared" si="11"/>
        <v>19091</v>
      </c>
      <c r="H82" s="538">
        <f t="shared" si="11"/>
        <v>3419</v>
      </c>
      <c r="I82" s="538">
        <f t="shared" si="11"/>
        <v>0</v>
      </c>
      <c r="J82" s="538">
        <f t="shared" si="11"/>
        <v>28862</v>
      </c>
      <c r="K82" s="538">
        <f t="shared" si="11"/>
        <v>0</v>
      </c>
    </row>
    <row r="83" spans="1:12" ht="14.25" hidden="1" thickTop="1" thickBot="1" x14ac:dyDescent="0.25">
      <c r="A83" s="539" t="s">
        <v>362</v>
      </c>
      <c r="B83" s="464"/>
      <c r="C83" s="540">
        <f>C82/C81</f>
        <v>4.2978055536548793E-2</v>
      </c>
      <c r="D83" s="540">
        <f t="shared" ref="D83:K83" si="12">D82/D81</f>
        <v>-0.37497047845925058</v>
      </c>
      <c r="E83" s="540">
        <f t="shared" si="12"/>
        <v>6.3087918404485133E-2</v>
      </c>
      <c r="F83" s="540">
        <f t="shared" si="12"/>
        <v>6.7442426305271877E-2</v>
      </c>
      <c r="G83" s="540">
        <f t="shared" si="12"/>
        <v>0.16874530428249437</v>
      </c>
      <c r="H83" s="540">
        <f t="shared" si="12"/>
        <v>0.39412103746397692</v>
      </c>
      <c r="I83" s="540" t="e">
        <f t="shared" si="12"/>
        <v>#DIV/0!</v>
      </c>
      <c r="J83" s="540">
        <f t="shared" si="12"/>
        <v>0.2393200663349917</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246" activePane="bottomLeft" state="frozen"/>
      <selection activeCell="N20" sqref="N20"/>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6408366</v>
      </c>
      <c r="D5" s="481">
        <v>921939</v>
      </c>
      <c r="E5" s="466">
        <v>2533881</v>
      </c>
      <c r="F5" s="548">
        <v>102530</v>
      </c>
      <c r="G5" s="466">
        <v>110815</v>
      </c>
      <c r="H5" s="466">
        <v>0</v>
      </c>
      <c r="I5" s="466">
        <v>0</v>
      </c>
      <c r="J5" s="467">
        <v>114945</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75557</v>
      </c>
      <c r="D7" s="466">
        <v>0</v>
      </c>
      <c r="E7" s="468"/>
      <c r="F7" s="467">
        <v>0</v>
      </c>
      <c r="G7" s="467">
        <v>0</v>
      </c>
      <c r="H7" s="467">
        <v>0</v>
      </c>
      <c r="I7" s="468"/>
      <c r="J7" s="468"/>
      <c r="K7" s="468"/>
    </row>
    <row r="8" spans="1:12" x14ac:dyDescent="0.2">
      <c r="A8" s="463" t="s">
        <v>433</v>
      </c>
      <c r="B8" s="470">
        <v>1150</v>
      </c>
      <c r="C8" s="475"/>
      <c r="D8" s="475"/>
      <c r="E8" s="477"/>
      <c r="F8" s="477"/>
      <c r="G8" s="481">
        <v>160476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6483923</v>
      </c>
      <c r="D12" s="1728">
        <f t="shared" si="0"/>
        <v>921939</v>
      </c>
      <c r="E12" s="1728">
        <f t="shared" si="0"/>
        <v>2533881</v>
      </c>
      <c r="F12" s="1728">
        <f t="shared" si="0"/>
        <v>102530</v>
      </c>
      <c r="G12" s="1728">
        <f t="shared" si="0"/>
        <v>271291</v>
      </c>
      <c r="H12" s="1728">
        <f t="shared" si="0"/>
        <v>0</v>
      </c>
      <c r="I12" s="1728">
        <f t="shared" si="0"/>
        <v>0</v>
      </c>
      <c r="J12" s="1728">
        <f t="shared" si="0"/>
        <v>114945</v>
      </c>
      <c r="K12" s="1709">
        <f t="shared" si="0"/>
        <v>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364573</v>
      </c>
      <c r="D16" s="466">
        <v>0</v>
      </c>
      <c r="E16" s="466">
        <v>0</v>
      </c>
      <c r="F16" s="466">
        <v>0</v>
      </c>
      <c r="G16" s="466">
        <v>41950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9" t="s">
        <v>558</v>
      </c>
      <c r="B18" s="1730"/>
      <c r="C18" s="1731">
        <f>SUM(C14:C17)</f>
        <v>364573</v>
      </c>
      <c r="D18" s="1731">
        <f t="shared" ref="D18:K18" si="1">SUM(D14:D17)</f>
        <v>0</v>
      </c>
      <c r="E18" s="1731">
        <f t="shared" si="1"/>
        <v>0</v>
      </c>
      <c r="F18" s="1731">
        <f t="shared" si="1"/>
        <v>0</v>
      </c>
      <c r="G18" s="1731">
        <f t="shared" si="1"/>
        <v>41950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9250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9" t="s">
        <v>559</v>
      </c>
      <c r="B40" s="1730"/>
      <c r="C40" s="1709">
        <f>SUM(C20:C39)</f>
        <v>9250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65415</v>
      </c>
      <c r="G43" s="468"/>
      <c r="H43" s="468"/>
      <c r="I43" s="468"/>
      <c r="J43" s="468"/>
      <c r="K43" s="468"/>
    </row>
    <row r="44" spans="1:11" ht="12.75" customHeight="1" x14ac:dyDescent="0.2">
      <c r="A44" s="463" t="s">
        <v>402</v>
      </c>
      <c r="B44" s="470">
        <v>1413</v>
      </c>
      <c r="C44" s="468"/>
      <c r="D44" s="468"/>
      <c r="E44" s="468"/>
      <c r="F44" s="466">
        <v>10145</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9" t="s">
        <v>506</v>
      </c>
      <c r="B63" s="1730"/>
      <c r="C63" s="468"/>
      <c r="D63" s="468"/>
      <c r="E63" s="468"/>
      <c r="F63" s="1709">
        <f>SUM(F42:F62)</f>
        <v>75560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47176</v>
      </c>
      <c r="D65" s="466">
        <v>5814</v>
      </c>
      <c r="E65" s="466">
        <v>3752</v>
      </c>
      <c r="F65" s="467">
        <v>4429</v>
      </c>
      <c r="G65" s="466">
        <v>392</v>
      </c>
      <c r="H65" s="466">
        <v>16</v>
      </c>
      <c r="I65" s="466">
        <v>0</v>
      </c>
      <c r="J65" s="467">
        <v>244</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9" t="s">
        <v>507</v>
      </c>
      <c r="B67" s="1730"/>
      <c r="C67" s="1709">
        <f>SUM(C65:C66)</f>
        <v>47176</v>
      </c>
      <c r="D67" s="1709">
        <f t="shared" ref="D67:K67" si="2">SUM(D65:D66)</f>
        <v>5814</v>
      </c>
      <c r="E67" s="1709">
        <f t="shared" si="2"/>
        <v>3752</v>
      </c>
      <c r="F67" s="1709">
        <f t="shared" si="2"/>
        <v>4429</v>
      </c>
      <c r="G67" s="1709">
        <f t="shared" si="2"/>
        <v>392</v>
      </c>
      <c r="H67" s="1709">
        <f t="shared" si="2"/>
        <v>16</v>
      </c>
      <c r="I67" s="1709">
        <f t="shared" si="2"/>
        <v>0</v>
      </c>
      <c r="J67" s="1709">
        <f t="shared" si="2"/>
        <v>244</v>
      </c>
      <c r="K67" s="1709">
        <f t="shared" si="2"/>
        <v>0</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116730</v>
      </c>
      <c r="D69" s="468"/>
      <c r="E69" s="468"/>
      <c r="F69" s="468"/>
      <c r="G69" s="468"/>
      <c r="H69" s="468"/>
      <c r="I69" s="468"/>
      <c r="J69" s="468"/>
      <c r="K69" s="468"/>
    </row>
    <row r="70" spans="1:11" ht="12.75" customHeight="1" x14ac:dyDescent="0.2">
      <c r="A70" s="463" t="s">
        <v>1054</v>
      </c>
      <c r="B70" s="470">
        <v>1612</v>
      </c>
      <c r="C70" s="551">
        <v>12685</v>
      </c>
      <c r="D70" s="468"/>
      <c r="E70" s="468"/>
      <c r="F70" s="468"/>
      <c r="G70" s="468"/>
      <c r="H70" s="468"/>
      <c r="I70" s="468"/>
      <c r="J70" s="468"/>
      <c r="K70" s="468"/>
    </row>
    <row r="71" spans="1:11" ht="12.75" customHeight="1" x14ac:dyDescent="0.2">
      <c r="A71" s="463" t="s">
        <v>291</v>
      </c>
      <c r="B71" s="470">
        <v>1613</v>
      </c>
      <c r="C71" s="551">
        <v>140103</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7464</v>
      </c>
      <c r="D73" s="468"/>
      <c r="E73" s="468"/>
      <c r="F73" s="468"/>
      <c r="G73" s="468"/>
      <c r="H73" s="468"/>
      <c r="I73" s="468"/>
      <c r="J73" s="468"/>
      <c r="K73" s="468"/>
    </row>
    <row r="74" spans="1:11" ht="12.75" customHeight="1" x14ac:dyDescent="0.2">
      <c r="A74" s="463" t="s">
        <v>25</v>
      </c>
      <c r="B74" s="470">
        <v>1690</v>
      </c>
      <c r="C74" s="551">
        <v>120</v>
      </c>
      <c r="D74" s="468"/>
      <c r="E74" s="468"/>
      <c r="F74" s="468"/>
      <c r="G74" s="468"/>
      <c r="H74" s="468"/>
      <c r="I74" s="468"/>
      <c r="J74" s="468"/>
      <c r="K74" s="468"/>
    </row>
    <row r="75" spans="1:11" ht="12.75" customHeight="1" thickBot="1" x14ac:dyDescent="0.25">
      <c r="A75" s="1729" t="s">
        <v>569</v>
      </c>
      <c r="B75" s="1730"/>
      <c r="C75" s="1709">
        <f>SUM(C69:C74)</f>
        <v>277102</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32392</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121345</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1560</v>
      </c>
      <c r="D81" s="466">
        <v>0</v>
      </c>
      <c r="E81" s="468"/>
      <c r="F81" s="468"/>
      <c r="G81" s="468"/>
      <c r="H81" s="468"/>
      <c r="I81" s="468"/>
      <c r="J81" s="468"/>
      <c r="K81" s="468"/>
    </row>
    <row r="82" spans="1:11" ht="12.75" customHeight="1" thickBot="1" x14ac:dyDescent="0.25">
      <c r="A82" s="1729" t="s">
        <v>259</v>
      </c>
      <c r="B82" s="1730"/>
      <c r="C82" s="1728">
        <f>SUM(C77:C81)</f>
        <v>155297</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60235</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9" t="s">
        <v>261</v>
      </c>
      <c r="B93" s="1730"/>
      <c r="C93" s="1709">
        <f>SUM(C84:C92)</f>
        <v>60235</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0</v>
      </c>
      <c r="D95" s="551">
        <v>3016</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6" t="s">
        <v>262</v>
      </c>
      <c r="B97" s="559">
        <v>1930</v>
      </c>
      <c r="C97" s="489">
        <v>0</v>
      </c>
      <c r="D97" s="467">
        <v>0</v>
      </c>
      <c r="E97" s="474">
        <v>0</v>
      </c>
      <c r="F97" s="467">
        <v>0</v>
      </c>
      <c r="G97" s="467">
        <v>0</v>
      </c>
      <c r="H97" s="467">
        <v>7812</v>
      </c>
      <c r="I97" s="467">
        <v>0</v>
      </c>
      <c r="J97" s="467">
        <v>0</v>
      </c>
      <c r="K97" s="467">
        <v>0</v>
      </c>
    </row>
    <row r="98" spans="1:12" ht="12.75" customHeight="1" x14ac:dyDescent="0.2">
      <c r="A98" s="463" t="s">
        <v>198</v>
      </c>
      <c r="B98" s="470">
        <v>1940</v>
      </c>
      <c r="C98" s="489">
        <v>17159</v>
      </c>
      <c r="D98" s="466">
        <v>0</v>
      </c>
      <c r="E98" s="512"/>
      <c r="F98" s="466">
        <v>0</v>
      </c>
      <c r="G98" s="512"/>
      <c r="H98" s="512"/>
      <c r="I98" s="510"/>
      <c r="J98" s="512"/>
      <c r="K98" s="512"/>
    </row>
    <row r="99" spans="1:12" ht="12.75" customHeight="1" x14ac:dyDescent="0.2">
      <c r="A99" s="463" t="s">
        <v>875</v>
      </c>
      <c r="B99" s="470">
        <v>1950</v>
      </c>
      <c r="C99" s="489">
        <v>25127</v>
      </c>
      <c r="D99" s="466">
        <v>0</v>
      </c>
      <c r="E99" s="466">
        <v>0</v>
      </c>
      <c r="F99" s="466">
        <v>0</v>
      </c>
      <c r="G99" s="466">
        <v>0</v>
      </c>
      <c r="H99" s="466">
        <v>0</v>
      </c>
      <c r="I99" s="468"/>
      <c r="J99" s="467">
        <v>5586</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8286</v>
      </c>
      <c r="D101" s="526"/>
      <c r="E101" s="480"/>
      <c r="F101" s="526"/>
      <c r="G101" s="475"/>
      <c r="H101" s="526"/>
      <c r="I101" s="468"/>
      <c r="J101" s="475"/>
      <c r="K101" s="475"/>
    </row>
    <row r="102" spans="1:12" ht="12.75" customHeight="1" x14ac:dyDescent="0.2">
      <c r="A102" s="463" t="s">
        <v>265</v>
      </c>
      <c r="B102" s="470">
        <v>1980</v>
      </c>
      <c r="C102" s="489">
        <v>14660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8660</v>
      </c>
      <c r="D107" s="466">
        <v>26413</v>
      </c>
      <c r="E107" s="466">
        <v>0</v>
      </c>
      <c r="F107" s="466">
        <v>18053</v>
      </c>
      <c r="G107" s="466">
        <v>0</v>
      </c>
      <c r="H107" s="466">
        <v>0</v>
      </c>
      <c r="I107" s="466">
        <v>0</v>
      </c>
      <c r="J107" s="467">
        <v>0</v>
      </c>
      <c r="K107" s="466">
        <v>0</v>
      </c>
    </row>
    <row r="108" spans="1:12" ht="12.75" customHeight="1" thickBot="1" x14ac:dyDescent="0.25">
      <c r="A108" s="1729" t="s">
        <v>508</v>
      </c>
      <c r="B108" s="1733"/>
      <c r="C108" s="1728">
        <f>SUM(C95:C107)</f>
        <v>73892</v>
      </c>
      <c r="D108" s="1728">
        <f t="shared" ref="D108:K108" si="3">SUM(D95:D107)</f>
        <v>29429</v>
      </c>
      <c r="E108" s="1728">
        <f t="shared" si="3"/>
        <v>0</v>
      </c>
      <c r="F108" s="1728">
        <f t="shared" si="3"/>
        <v>18053</v>
      </c>
      <c r="G108" s="1728">
        <f t="shared" si="3"/>
        <v>0</v>
      </c>
      <c r="H108" s="1728">
        <f t="shared" si="3"/>
        <v>7812</v>
      </c>
      <c r="I108" s="1728">
        <f t="shared" si="3"/>
        <v>0</v>
      </c>
      <c r="J108" s="1728">
        <f t="shared" si="3"/>
        <v>5586</v>
      </c>
      <c r="K108" s="1709">
        <f t="shared" si="3"/>
        <v>0</v>
      </c>
    </row>
    <row r="109" spans="1:12" ht="14.25" thickTop="1" thickBot="1" x14ac:dyDescent="0.25">
      <c r="A109" s="1734" t="s">
        <v>266</v>
      </c>
      <c r="B109" s="1735" t="s">
        <v>591</v>
      </c>
      <c r="C109" s="1736">
        <f t="shared" ref="C109:K109" si="4">SUM(C12,C18,C40,C63,C67,C75,C82,C93,C108,)</f>
        <v>7471448</v>
      </c>
      <c r="D109" s="1736">
        <f t="shared" si="4"/>
        <v>957182</v>
      </c>
      <c r="E109" s="1736">
        <f t="shared" si="4"/>
        <v>2537633</v>
      </c>
      <c r="F109" s="1736">
        <f t="shared" si="4"/>
        <v>200572</v>
      </c>
      <c r="G109" s="1736">
        <f t="shared" si="4"/>
        <v>313633</v>
      </c>
      <c r="H109" s="1736">
        <f t="shared" si="4"/>
        <v>7828</v>
      </c>
      <c r="I109" s="1736">
        <f t="shared" si="4"/>
        <v>0</v>
      </c>
      <c r="J109" s="1736">
        <f t="shared" si="4"/>
        <v>120775</v>
      </c>
      <c r="K109" s="1723">
        <f t="shared" si="4"/>
        <v>0</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1095865</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7"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509</v>
      </c>
      <c r="B121" s="1740"/>
      <c r="C121" s="1728">
        <f t="shared" ref="C121:H121" si="5">SUM(C117:C120)</f>
        <v>1095865</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121893</v>
      </c>
      <c r="D124" s="561"/>
      <c r="E124" s="468"/>
      <c r="F124" s="548">
        <v>0</v>
      </c>
      <c r="G124" s="468"/>
      <c r="H124" s="468"/>
      <c r="I124" s="468"/>
      <c r="J124" s="468"/>
      <c r="K124" s="468"/>
    </row>
    <row r="125" spans="1:11" ht="12.75" customHeight="1" x14ac:dyDescent="0.2">
      <c r="A125" s="463" t="s">
        <v>1521</v>
      </c>
      <c r="B125" s="562">
        <v>3105</v>
      </c>
      <c r="C125" s="466">
        <v>46682</v>
      </c>
      <c r="D125" s="561"/>
      <c r="E125" s="468"/>
      <c r="F125" s="466">
        <v>0</v>
      </c>
      <c r="G125" s="468"/>
      <c r="H125" s="468"/>
      <c r="I125" s="468"/>
      <c r="J125" s="468"/>
      <c r="K125" s="468"/>
    </row>
    <row r="126" spans="1:11" ht="12.75" customHeight="1" x14ac:dyDescent="0.2">
      <c r="A126" s="463" t="s">
        <v>922</v>
      </c>
      <c r="B126" s="562">
        <v>3110</v>
      </c>
      <c r="C126" s="551">
        <v>50395</v>
      </c>
      <c r="D126" s="466">
        <v>0</v>
      </c>
      <c r="E126" s="468"/>
      <c r="F126" s="466">
        <v>0</v>
      </c>
      <c r="G126" s="468"/>
      <c r="H126" s="468"/>
      <c r="I126" s="468"/>
      <c r="J126" s="468"/>
      <c r="K126" s="468"/>
    </row>
    <row r="127" spans="1:11" ht="12.75" customHeight="1" x14ac:dyDescent="0.2">
      <c r="A127" s="463" t="s">
        <v>107</v>
      </c>
      <c r="B127" s="562">
        <v>3120</v>
      </c>
      <c r="C127" s="466">
        <v>12132</v>
      </c>
      <c r="D127" s="561"/>
      <c r="E127" s="468"/>
      <c r="F127" s="466">
        <v>0</v>
      </c>
      <c r="G127" s="468"/>
      <c r="H127" s="468"/>
      <c r="I127" s="468"/>
      <c r="J127" s="468"/>
      <c r="K127" s="468"/>
    </row>
    <row r="128" spans="1:11" ht="12.75" customHeight="1" x14ac:dyDescent="0.2">
      <c r="A128" s="463" t="s">
        <v>1522</v>
      </c>
      <c r="B128" s="562">
        <v>3130</v>
      </c>
      <c r="C128" s="466">
        <v>6576</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1092</v>
      </c>
      <c r="B131" s="1741"/>
      <c r="C131" s="1728">
        <f>SUM(C124:C130)</f>
        <v>237678</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39217</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4558</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624</v>
      </c>
      <c r="B140" s="1741"/>
      <c r="C140" s="1728">
        <f>SUM(C133:C139)</f>
        <v>43775</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1361</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31801</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12831</v>
      </c>
      <c r="G151" s="467">
        <v>0</v>
      </c>
      <c r="H151" s="468"/>
      <c r="I151" s="468"/>
      <c r="J151" s="468"/>
      <c r="K151" s="468"/>
    </row>
    <row r="152" spans="1:11" ht="12.75" customHeight="1" x14ac:dyDescent="0.2">
      <c r="A152" s="463" t="s">
        <v>1117</v>
      </c>
      <c r="B152" s="562">
        <v>3510</v>
      </c>
      <c r="C152" s="551">
        <v>0</v>
      </c>
      <c r="D152" s="466">
        <v>0</v>
      </c>
      <c r="E152" s="561"/>
      <c r="F152" s="466">
        <v>437285</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450116</v>
      </c>
      <c r="G154" s="1728">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60588</v>
      </c>
      <c r="D171" s="580">
        <v>0</v>
      </c>
      <c r="E171" s="580">
        <v>0</v>
      </c>
      <c r="F171" s="580">
        <v>0</v>
      </c>
      <c r="G171" s="581">
        <v>0</v>
      </c>
      <c r="H171" s="582">
        <v>0</v>
      </c>
      <c r="I171" s="581">
        <v>0</v>
      </c>
      <c r="J171" s="581">
        <v>0</v>
      </c>
      <c r="K171" s="582">
        <v>0</v>
      </c>
    </row>
    <row r="172" spans="1:11" ht="12.75" customHeight="1" thickTop="1" thickBot="1" x14ac:dyDescent="0.25">
      <c r="A172" s="2162" t="s">
        <v>418</v>
      </c>
      <c r="B172" s="2163"/>
      <c r="C172" s="1743">
        <f t="shared" ref="C172:K172" si="6">SUM(C131,C140,C144,C145:C149,C154,C155:C170,C171)</f>
        <v>375203</v>
      </c>
      <c r="D172" s="1743">
        <f t="shared" si="6"/>
        <v>0</v>
      </c>
      <c r="E172" s="1743">
        <f t="shared" si="6"/>
        <v>0</v>
      </c>
      <c r="F172" s="1743">
        <f t="shared" si="6"/>
        <v>450116</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1471068</v>
      </c>
      <c r="D173" s="1736">
        <f>SUM(D121,D172)</f>
        <v>0</v>
      </c>
      <c r="E173" s="1736">
        <f>SUM(E121,E172)</f>
        <v>0</v>
      </c>
      <c r="F173" s="1736">
        <f t="shared" ref="F173:K173" si="7">SUM(F121,F172)</f>
        <v>450116</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8" t="s">
        <v>1764</v>
      </c>
      <c r="B178" s="2169"/>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70" t="s">
        <v>818</v>
      </c>
      <c r="B184" s="2171"/>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99108</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9064</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569</v>
      </c>
      <c r="B201" s="1730"/>
      <c r="C201" s="1709">
        <f>SUM(C193:C200)</f>
        <v>108172</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70111</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420</v>
      </c>
      <c r="B211" s="1730"/>
      <c r="C211" s="1728">
        <f>SUM(C203:C210)</f>
        <v>70111</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10000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944</v>
      </c>
      <c r="B216" s="1730"/>
      <c r="C216" s="1728">
        <f>SUM(C213:C215)</f>
        <v>10000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125738</v>
      </c>
      <c r="D220" s="466">
        <v>0</v>
      </c>
      <c r="E220" s="468"/>
      <c r="F220" s="466">
        <v>0</v>
      </c>
      <c r="G220" s="466">
        <v>0</v>
      </c>
      <c r="H220" s="468"/>
      <c r="I220" s="468"/>
      <c r="J220" s="468"/>
      <c r="K220" s="468"/>
    </row>
    <row r="221" spans="1:11" ht="12.75" customHeight="1" x14ac:dyDescent="0.2">
      <c r="A221" s="463" t="s">
        <v>1114</v>
      </c>
      <c r="B221" s="470">
        <v>4625</v>
      </c>
      <c r="C221" s="551">
        <v>120120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467</v>
      </c>
      <c r="B224" s="1730"/>
      <c r="C224" s="1728">
        <f>SUM(C218:C223)</f>
        <v>245858</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18477</v>
      </c>
      <c r="D227" s="466">
        <v>0</v>
      </c>
      <c r="E227" s="468"/>
      <c r="F227" s="468"/>
      <c r="G227" s="466">
        <v>0</v>
      </c>
      <c r="H227" s="468"/>
      <c r="I227" s="468"/>
      <c r="J227" s="468"/>
      <c r="K227" s="468"/>
    </row>
    <row r="228" spans="1:11" ht="12.75" customHeight="1" thickBot="1" x14ac:dyDescent="0.25">
      <c r="A228" s="1744" t="s">
        <v>1145</v>
      </c>
      <c r="B228" s="1745"/>
      <c r="C228" s="1728">
        <f>SUM(C226:C227)</f>
        <v>18477</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v>0</v>
      </c>
      <c r="D260" s="469"/>
      <c r="E260" s="468"/>
      <c r="F260" s="468"/>
      <c r="G260" s="468"/>
      <c r="H260" s="468"/>
      <c r="I260" s="468"/>
      <c r="J260" s="468"/>
      <c r="K260" s="468"/>
    </row>
    <row r="261" spans="1:11" ht="12.75" customHeight="1" thickTop="1" thickBot="1" x14ac:dyDescent="0.25">
      <c r="A261" s="1524"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19265</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9480</v>
      </c>
      <c r="D270" s="576">
        <v>0</v>
      </c>
      <c r="E270" s="468"/>
      <c r="F270" s="576">
        <v>0</v>
      </c>
      <c r="G270" s="576">
        <v>0</v>
      </c>
      <c r="H270" s="468"/>
      <c r="I270" s="468"/>
      <c r="J270" s="468"/>
      <c r="K270" s="468"/>
    </row>
    <row r="271" spans="1:11" ht="12.75" customHeight="1" thickTop="1" thickBot="1" x14ac:dyDescent="0.25">
      <c r="A271" s="463" t="s">
        <v>395</v>
      </c>
      <c r="B271" s="470">
        <v>4992</v>
      </c>
      <c r="C271" s="575">
        <v>17930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34261</v>
      </c>
      <c r="D272" s="576">
        <v>0</v>
      </c>
      <c r="E272" s="468"/>
      <c r="F272" s="576">
        <v>0</v>
      </c>
      <c r="G272" s="576">
        <v>0</v>
      </c>
      <c r="H272" s="530">
        <v>0</v>
      </c>
      <c r="I272" s="468"/>
      <c r="J272" s="468"/>
      <c r="K272" s="530">
        <v>0</v>
      </c>
    </row>
    <row r="273" spans="1:11" ht="14.25" thickTop="1" thickBot="1" x14ac:dyDescent="0.25">
      <c r="A273" s="1729" t="s">
        <v>1765</v>
      </c>
      <c r="B273" s="1748"/>
      <c r="C273" s="1736">
        <f t="shared" ref="C273:H273" si="10">SUM(C191,C201,C211,C216,C224,C228,C229,C259:C272)</f>
        <v>533554</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533554</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9476070</v>
      </c>
      <c r="D275" s="1736">
        <f t="shared" si="12"/>
        <v>957182</v>
      </c>
      <c r="E275" s="1736">
        <f t="shared" si="12"/>
        <v>2537633</v>
      </c>
      <c r="F275" s="1736">
        <f t="shared" si="12"/>
        <v>650688</v>
      </c>
      <c r="G275" s="1736">
        <f t="shared" si="12"/>
        <v>313633</v>
      </c>
      <c r="H275" s="1736">
        <f t="shared" si="12"/>
        <v>7828</v>
      </c>
      <c r="I275" s="1736">
        <f t="shared" si="12"/>
        <v>0</v>
      </c>
      <c r="J275" s="1736">
        <f t="shared" si="12"/>
        <v>120775</v>
      </c>
      <c r="K275" s="172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90" zoomScaleNormal="90" workbookViewId="0">
      <pane ySplit="2" topLeftCell="A339" activePane="bottomLeft" state="frozen"/>
      <selection activeCell="N20" sqref="N20"/>
      <selection pane="bottomLeft" activeCell="A3" sqref="A3:B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2485134</v>
      </c>
      <c r="D5" s="466">
        <v>496437</v>
      </c>
      <c r="E5" s="466">
        <v>1431</v>
      </c>
      <c r="F5" s="466">
        <v>46840</v>
      </c>
      <c r="G5" s="466">
        <v>0</v>
      </c>
      <c r="H5" s="466">
        <v>0</v>
      </c>
      <c r="I5" s="467">
        <v>0</v>
      </c>
      <c r="J5" s="467">
        <v>0</v>
      </c>
      <c r="K5" s="1692">
        <f>SUM(C5:J5)</f>
        <v>3029842</v>
      </c>
      <c r="L5" s="466">
        <v>3048569</v>
      </c>
    </row>
    <row r="6" spans="1:14" x14ac:dyDescent="0.2">
      <c r="A6" s="1525" t="s">
        <v>1508</v>
      </c>
      <c r="B6" s="615" t="s">
        <v>1506</v>
      </c>
      <c r="C6" s="477"/>
      <c r="D6" s="477"/>
      <c r="E6" s="466">
        <v>0</v>
      </c>
      <c r="F6" s="477"/>
      <c r="G6" s="477"/>
      <c r="H6" s="477"/>
      <c r="I6" s="477"/>
      <c r="J6" s="477"/>
      <c r="K6" s="1692">
        <f>SUM(C6,E6)</f>
        <v>0</v>
      </c>
      <c r="L6" s="466">
        <v>0</v>
      </c>
    </row>
    <row r="7" spans="1:14" x14ac:dyDescent="0.2">
      <c r="A7" s="1525" t="s">
        <v>165</v>
      </c>
      <c r="B7" s="615" t="s">
        <v>1024</v>
      </c>
      <c r="C7" s="467">
        <v>0</v>
      </c>
      <c r="D7" s="467">
        <v>0</v>
      </c>
      <c r="E7" s="467">
        <v>0</v>
      </c>
      <c r="F7" s="467">
        <v>0</v>
      </c>
      <c r="G7" s="467">
        <v>0</v>
      </c>
      <c r="H7" s="467">
        <v>0</v>
      </c>
      <c r="I7" s="467">
        <v>0</v>
      </c>
      <c r="J7" s="467">
        <v>0</v>
      </c>
      <c r="K7" s="1692">
        <f t="shared" ref="K7:K32" si="0">SUM(C7:J7)</f>
        <v>0</v>
      </c>
      <c r="L7" s="466">
        <v>0</v>
      </c>
    </row>
    <row r="8" spans="1:14" x14ac:dyDescent="0.2">
      <c r="A8" s="1525" t="s">
        <v>166</v>
      </c>
      <c r="B8" s="615">
        <v>1200</v>
      </c>
      <c r="C8" s="466">
        <v>430032</v>
      </c>
      <c r="D8" s="466">
        <v>104285</v>
      </c>
      <c r="E8" s="466">
        <v>161148</v>
      </c>
      <c r="F8" s="466">
        <v>8046</v>
      </c>
      <c r="G8" s="466">
        <v>0</v>
      </c>
      <c r="H8" s="466">
        <v>0</v>
      </c>
      <c r="I8" s="467">
        <v>1245</v>
      </c>
      <c r="J8" s="467">
        <v>0</v>
      </c>
      <c r="K8" s="1692">
        <f t="shared" si="0"/>
        <v>704756</v>
      </c>
      <c r="L8" s="466">
        <v>731744</v>
      </c>
    </row>
    <row r="9" spans="1:14" x14ac:dyDescent="0.2">
      <c r="A9" s="1525" t="s">
        <v>745</v>
      </c>
      <c r="B9" s="615" t="s">
        <v>1025</v>
      </c>
      <c r="C9" s="467">
        <v>0</v>
      </c>
      <c r="D9" s="467">
        <v>0</v>
      </c>
      <c r="E9" s="467">
        <v>0</v>
      </c>
      <c r="F9" s="467">
        <v>0</v>
      </c>
      <c r="G9" s="467">
        <v>0</v>
      </c>
      <c r="H9" s="467">
        <v>0</v>
      </c>
      <c r="I9" s="467">
        <v>0</v>
      </c>
      <c r="J9" s="467">
        <v>0</v>
      </c>
      <c r="K9" s="1692">
        <f t="shared" si="0"/>
        <v>0</v>
      </c>
      <c r="L9" s="466">
        <v>0</v>
      </c>
    </row>
    <row r="10" spans="1:14" x14ac:dyDescent="0.2">
      <c r="A10" s="1525" t="s">
        <v>746</v>
      </c>
      <c r="B10" s="615">
        <v>1250</v>
      </c>
      <c r="C10" s="466">
        <v>25976</v>
      </c>
      <c r="D10" s="466">
        <v>15470</v>
      </c>
      <c r="E10" s="466">
        <v>1560</v>
      </c>
      <c r="F10" s="466">
        <v>5477</v>
      </c>
      <c r="G10" s="466">
        <v>0</v>
      </c>
      <c r="H10" s="466">
        <v>0</v>
      </c>
      <c r="I10" s="467">
        <v>0</v>
      </c>
      <c r="J10" s="467">
        <v>0</v>
      </c>
      <c r="K10" s="1692">
        <f t="shared" si="0"/>
        <v>48483</v>
      </c>
      <c r="L10" s="466">
        <v>53500</v>
      </c>
    </row>
    <row r="11" spans="1:14" x14ac:dyDescent="0.2">
      <c r="A11" s="1525" t="s">
        <v>1192</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1019</v>
      </c>
      <c r="B12" s="615">
        <v>1300</v>
      </c>
      <c r="C12" s="466">
        <v>0</v>
      </c>
      <c r="D12" s="466">
        <v>0</v>
      </c>
      <c r="E12" s="466">
        <v>0</v>
      </c>
      <c r="F12" s="466">
        <v>0</v>
      </c>
      <c r="G12" s="466">
        <v>0</v>
      </c>
      <c r="H12" s="466">
        <v>0</v>
      </c>
      <c r="I12" s="467">
        <v>0</v>
      </c>
      <c r="J12" s="467">
        <v>0</v>
      </c>
      <c r="K12" s="1692">
        <f t="shared" si="0"/>
        <v>0</v>
      </c>
      <c r="L12" s="466">
        <v>0</v>
      </c>
    </row>
    <row r="13" spans="1:14" x14ac:dyDescent="0.2">
      <c r="A13" s="1525" t="s">
        <v>747</v>
      </c>
      <c r="B13" s="615">
        <v>1400</v>
      </c>
      <c r="C13" s="466">
        <v>593449</v>
      </c>
      <c r="D13" s="466">
        <v>114891</v>
      </c>
      <c r="E13" s="466">
        <v>6975</v>
      </c>
      <c r="F13" s="466">
        <v>81452</v>
      </c>
      <c r="G13" s="466">
        <v>36357</v>
      </c>
      <c r="H13" s="466">
        <v>0</v>
      </c>
      <c r="I13" s="467">
        <v>6047</v>
      </c>
      <c r="J13" s="467">
        <v>0</v>
      </c>
      <c r="K13" s="1692">
        <f t="shared" si="0"/>
        <v>839171</v>
      </c>
      <c r="L13" s="466">
        <v>835090</v>
      </c>
    </row>
    <row r="14" spans="1:14" x14ac:dyDescent="0.2">
      <c r="A14" s="1525" t="s">
        <v>1020</v>
      </c>
      <c r="B14" s="615">
        <v>1500</v>
      </c>
      <c r="C14" s="466">
        <v>479967</v>
      </c>
      <c r="D14" s="466">
        <v>13214</v>
      </c>
      <c r="E14" s="466">
        <v>103559</v>
      </c>
      <c r="F14" s="466">
        <v>65949</v>
      </c>
      <c r="G14" s="466">
        <v>15592</v>
      </c>
      <c r="H14" s="466">
        <v>0</v>
      </c>
      <c r="I14" s="467">
        <v>29997</v>
      </c>
      <c r="J14" s="467">
        <v>0</v>
      </c>
      <c r="K14" s="1692">
        <f t="shared" si="0"/>
        <v>708278</v>
      </c>
      <c r="L14" s="466">
        <v>747812</v>
      </c>
    </row>
    <row r="15" spans="1:14" x14ac:dyDescent="0.2">
      <c r="A15" s="1525" t="s">
        <v>1021</v>
      </c>
      <c r="B15" s="615">
        <v>1600</v>
      </c>
      <c r="C15" s="466">
        <v>23487</v>
      </c>
      <c r="D15" s="466">
        <v>856</v>
      </c>
      <c r="E15" s="466">
        <v>0</v>
      </c>
      <c r="F15" s="466">
        <v>0</v>
      </c>
      <c r="G15" s="466">
        <v>0</v>
      </c>
      <c r="H15" s="466">
        <v>0</v>
      </c>
      <c r="I15" s="467">
        <v>0</v>
      </c>
      <c r="J15" s="467">
        <v>0</v>
      </c>
      <c r="K15" s="1692">
        <f t="shared" si="0"/>
        <v>24343</v>
      </c>
      <c r="L15" s="466">
        <v>31230</v>
      </c>
    </row>
    <row r="16" spans="1:14" x14ac:dyDescent="0.2">
      <c r="A16" s="1525" t="s">
        <v>1044</v>
      </c>
      <c r="B16" s="615" t="s">
        <v>444</v>
      </c>
      <c r="C16" s="466">
        <v>0</v>
      </c>
      <c r="D16" s="466">
        <v>0</v>
      </c>
      <c r="E16" s="466">
        <v>0</v>
      </c>
      <c r="F16" s="466">
        <v>0</v>
      </c>
      <c r="G16" s="466">
        <v>0</v>
      </c>
      <c r="H16" s="466">
        <v>0</v>
      </c>
      <c r="I16" s="467">
        <v>0</v>
      </c>
      <c r="J16" s="467">
        <v>0</v>
      </c>
      <c r="K16" s="1692">
        <f t="shared" si="0"/>
        <v>0</v>
      </c>
      <c r="L16" s="466">
        <v>0</v>
      </c>
    </row>
    <row r="17" spans="1:12" x14ac:dyDescent="0.2">
      <c r="A17" s="1525" t="s">
        <v>748</v>
      </c>
      <c r="B17" s="615" t="s">
        <v>164</v>
      </c>
      <c r="C17" s="467">
        <v>131556</v>
      </c>
      <c r="D17" s="467">
        <v>1803</v>
      </c>
      <c r="E17" s="467">
        <v>40</v>
      </c>
      <c r="F17" s="467">
        <v>3577</v>
      </c>
      <c r="G17" s="467">
        <v>0</v>
      </c>
      <c r="H17" s="467">
        <v>0</v>
      </c>
      <c r="I17" s="467">
        <v>0</v>
      </c>
      <c r="J17" s="467">
        <v>0</v>
      </c>
      <c r="K17" s="1692">
        <f t="shared" si="0"/>
        <v>136976</v>
      </c>
      <c r="L17" s="466">
        <v>157700</v>
      </c>
    </row>
    <row r="18" spans="1:12" x14ac:dyDescent="0.2">
      <c r="A18" s="1525" t="s">
        <v>1148</v>
      </c>
      <c r="B18" s="615">
        <v>1800</v>
      </c>
      <c r="C18" s="466">
        <v>0</v>
      </c>
      <c r="D18" s="466">
        <v>0</v>
      </c>
      <c r="E18" s="466">
        <v>0</v>
      </c>
      <c r="F18" s="466">
        <v>0</v>
      </c>
      <c r="G18" s="466">
        <v>0</v>
      </c>
      <c r="H18" s="466">
        <v>0</v>
      </c>
      <c r="I18" s="467">
        <v>0</v>
      </c>
      <c r="J18" s="467">
        <v>0</v>
      </c>
      <c r="K18" s="1692">
        <f t="shared" si="0"/>
        <v>0</v>
      </c>
      <c r="L18" s="466">
        <v>0</v>
      </c>
    </row>
    <row r="19" spans="1:12" x14ac:dyDescent="0.2">
      <c r="A19" s="1525" t="s">
        <v>136</v>
      </c>
      <c r="B19" s="615">
        <v>1900</v>
      </c>
      <c r="C19" s="466">
        <v>0</v>
      </c>
      <c r="D19" s="466">
        <v>0</v>
      </c>
      <c r="E19" s="466">
        <v>0</v>
      </c>
      <c r="F19" s="466">
        <v>0</v>
      </c>
      <c r="G19" s="466">
        <v>0</v>
      </c>
      <c r="H19" s="466">
        <v>0</v>
      </c>
      <c r="I19" s="467">
        <v>0</v>
      </c>
      <c r="J19" s="467">
        <v>0</v>
      </c>
      <c r="K19" s="1692">
        <f t="shared" si="0"/>
        <v>0</v>
      </c>
      <c r="L19" s="466">
        <v>0</v>
      </c>
    </row>
    <row r="20" spans="1:12" x14ac:dyDescent="0.2">
      <c r="A20" s="1526" t="s">
        <v>762</v>
      </c>
      <c r="B20" s="603" t="s">
        <v>749</v>
      </c>
      <c r="C20" s="477"/>
      <c r="D20" s="477"/>
      <c r="E20" s="477"/>
      <c r="F20" s="477"/>
      <c r="G20" s="477"/>
      <c r="H20" s="474">
        <v>0</v>
      </c>
      <c r="I20" s="617"/>
      <c r="J20" s="475"/>
      <c r="K20" s="1692">
        <f t="shared" si="0"/>
        <v>0</v>
      </c>
      <c r="L20" s="471">
        <v>0</v>
      </c>
    </row>
    <row r="21" spans="1:12" x14ac:dyDescent="0.2">
      <c r="A21" s="1526" t="s">
        <v>763</v>
      </c>
      <c r="B21" s="603" t="s">
        <v>750</v>
      </c>
      <c r="C21" s="477"/>
      <c r="D21" s="477"/>
      <c r="E21" s="477"/>
      <c r="F21" s="477"/>
      <c r="G21" s="477"/>
      <c r="H21" s="474">
        <v>1400</v>
      </c>
      <c r="I21" s="617"/>
      <c r="J21" s="477"/>
      <c r="K21" s="1692">
        <f t="shared" si="0"/>
        <v>1400</v>
      </c>
      <c r="L21" s="471">
        <v>1400</v>
      </c>
    </row>
    <row r="22" spans="1:12" x14ac:dyDescent="0.2">
      <c r="A22" s="1526" t="s">
        <v>764</v>
      </c>
      <c r="B22" s="603" t="s">
        <v>751</v>
      </c>
      <c r="C22" s="477"/>
      <c r="D22" s="477"/>
      <c r="E22" s="477"/>
      <c r="F22" s="477"/>
      <c r="G22" s="477"/>
      <c r="H22" s="474">
        <v>719197</v>
      </c>
      <c r="I22" s="617"/>
      <c r="J22" s="477"/>
      <c r="K22" s="1692">
        <f t="shared" si="0"/>
        <v>719197</v>
      </c>
      <c r="L22" s="471">
        <v>713000</v>
      </c>
    </row>
    <row r="23" spans="1:12" x14ac:dyDescent="0.2">
      <c r="A23" s="1526" t="s">
        <v>765</v>
      </c>
      <c r="B23" s="603" t="s">
        <v>752</v>
      </c>
      <c r="C23" s="477"/>
      <c r="D23" s="477"/>
      <c r="E23" s="477"/>
      <c r="F23" s="477"/>
      <c r="G23" s="477"/>
      <c r="H23" s="474">
        <v>0</v>
      </c>
      <c r="I23" s="617"/>
      <c r="J23" s="477"/>
      <c r="K23" s="1692">
        <f t="shared" si="0"/>
        <v>0</v>
      </c>
      <c r="L23" s="471">
        <v>0</v>
      </c>
    </row>
    <row r="24" spans="1:12" ht="12.75" customHeight="1" x14ac:dyDescent="0.2">
      <c r="A24" s="1526" t="s">
        <v>766</v>
      </c>
      <c r="B24" s="603" t="s">
        <v>753</v>
      </c>
      <c r="C24" s="477"/>
      <c r="D24" s="477"/>
      <c r="E24" s="477"/>
      <c r="F24" s="477"/>
      <c r="G24" s="477"/>
      <c r="H24" s="474">
        <v>0</v>
      </c>
      <c r="I24" s="617"/>
      <c r="J24" s="477"/>
      <c r="K24" s="1692">
        <f t="shared" si="0"/>
        <v>0</v>
      </c>
      <c r="L24" s="471">
        <v>0</v>
      </c>
    </row>
    <row r="25" spans="1:12" ht="12.75" customHeight="1" x14ac:dyDescent="0.2">
      <c r="A25" s="1526" t="s">
        <v>835</v>
      </c>
      <c r="B25" s="603" t="s">
        <v>754</v>
      </c>
      <c r="C25" s="477"/>
      <c r="D25" s="477"/>
      <c r="E25" s="477"/>
      <c r="F25" s="477"/>
      <c r="G25" s="477"/>
      <c r="H25" s="474">
        <v>0</v>
      </c>
      <c r="I25" s="617"/>
      <c r="J25" s="477"/>
      <c r="K25" s="1692">
        <f t="shared" si="0"/>
        <v>0</v>
      </c>
      <c r="L25" s="471">
        <v>0</v>
      </c>
    </row>
    <row r="26" spans="1:12" x14ac:dyDescent="0.2">
      <c r="A26" s="1526" t="s">
        <v>643</v>
      </c>
      <c r="B26" s="603" t="s">
        <v>755</v>
      </c>
      <c r="C26" s="477"/>
      <c r="D26" s="477"/>
      <c r="E26" s="477"/>
      <c r="F26" s="477"/>
      <c r="G26" s="477"/>
      <c r="H26" s="474">
        <v>0</v>
      </c>
      <c r="I26" s="617"/>
      <c r="J26" s="477"/>
      <c r="K26" s="1692">
        <f t="shared" si="0"/>
        <v>0</v>
      </c>
      <c r="L26" s="471">
        <v>0</v>
      </c>
    </row>
    <row r="27" spans="1:12" x14ac:dyDescent="0.2">
      <c r="A27" s="1526" t="s">
        <v>644</v>
      </c>
      <c r="B27" s="603" t="s">
        <v>756</v>
      </c>
      <c r="C27" s="477"/>
      <c r="D27" s="477"/>
      <c r="E27" s="477"/>
      <c r="F27" s="477"/>
      <c r="G27" s="477"/>
      <c r="H27" s="474">
        <v>0</v>
      </c>
      <c r="I27" s="617"/>
      <c r="J27" s="477"/>
      <c r="K27" s="1692">
        <f t="shared" si="0"/>
        <v>0</v>
      </c>
      <c r="L27" s="471">
        <v>0</v>
      </c>
    </row>
    <row r="28" spans="1:12" x14ac:dyDescent="0.2">
      <c r="A28" s="1526" t="s">
        <v>152</v>
      </c>
      <c r="B28" s="603" t="s">
        <v>757</v>
      </c>
      <c r="C28" s="477"/>
      <c r="D28" s="477"/>
      <c r="E28" s="477"/>
      <c r="F28" s="477"/>
      <c r="G28" s="477"/>
      <c r="H28" s="474">
        <v>0</v>
      </c>
      <c r="I28" s="617"/>
      <c r="J28" s="477"/>
      <c r="K28" s="1692">
        <f t="shared" si="0"/>
        <v>0</v>
      </c>
      <c r="L28" s="471">
        <v>0</v>
      </c>
    </row>
    <row r="29" spans="1:12" x14ac:dyDescent="0.2">
      <c r="A29" s="1526" t="s">
        <v>153</v>
      </c>
      <c r="B29" s="603" t="s">
        <v>758</v>
      </c>
      <c r="C29" s="477"/>
      <c r="D29" s="477"/>
      <c r="E29" s="477"/>
      <c r="F29" s="477"/>
      <c r="G29" s="477"/>
      <c r="H29" s="474">
        <v>0</v>
      </c>
      <c r="I29" s="617"/>
      <c r="J29" s="477"/>
      <c r="K29" s="1692">
        <f t="shared" si="0"/>
        <v>0</v>
      </c>
      <c r="L29" s="471">
        <v>0</v>
      </c>
    </row>
    <row r="30" spans="1:12" x14ac:dyDescent="0.2">
      <c r="A30" s="1526" t="s">
        <v>154</v>
      </c>
      <c r="B30" s="603" t="s">
        <v>759</v>
      </c>
      <c r="C30" s="477"/>
      <c r="D30" s="477"/>
      <c r="E30" s="477"/>
      <c r="F30" s="477"/>
      <c r="G30" s="477"/>
      <c r="H30" s="474">
        <v>0</v>
      </c>
      <c r="I30" s="617"/>
      <c r="J30" s="477"/>
      <c r="K30" s="1692">
        <f t="shared" si="0"/>
        <v>0</v>
      </c>
      <c r="L30" s="471">
        <v>0</v>
      </c>
    </row>
    <row r="31" spans="1:12" x14ac:dyDescent="0.2">
      <c r="A31" s="1526" t="s">
        <v>155</v>
      </c>
      <c r="B31" s="603" t="s">
        <v>760</v>
      </c>
      <c r="C31" s="477"/>
      <c r="D31" s="477"/>
      <c r="E31" s="477"/>
      <c r="F31" s="477"/>
      <c r="G31" s="477"/>
      <c r="H31" s="474">
        <v>0</v>
      </c>
      <c r="I31" s="617"/>
      <c r="J31" s="477"/>
      <c r="K31" s="1692">
        <f t="shared" si="0"/>
        <v>0</v>
      </c>
      <c r="L31" s="471">
        <v>0</v>
      </c>
    </row>
    <row r="32" spans="1:12" x14ac:dyDescent="0.2">
      <c r="A32" s="1527" t="s">
        <v>1191</v>
      </c>
      <c r="B32" s="615" t="s">
        <v>761</v>
      </c>
      <c r="C32" s="477"/>
      <c r="D32" s="477"/>
      <c r="E32" s="477"/>
      <c r="F32" s="477"/>
      <c r="G32" s="477"/>
      <c r="H32" s="474">
        <v>0</v>
      </c>
      <c r="I32" s="617"/>
      <c r="J32" s="480"/>
      <c r="K32" s="1692">
        <f t="shared" si="0"/>
        <v>0</v>
      </c>
      <c r="L32" s="471">
        <v>0</v>
      </c>
    </row>
    <row r="33" spans="1:14" ht="12.75" customHeight="1" thickBot="1" x14ac:dyDescent="0.25">
      <c r="A33" s="1689" t="s">
        <v>1767</v>
      </c>
      <c r="B33" s="1690" t="s">
        <v>591</v>
      </c>
      <c r="C33" s="1691">
        <f>SUM(C5:C32)</f>
        <v>4169601</v>
      </c>
      <c r="D33" s="1691">
        <f t="shared" ref="D33:L33" si="1">SUM(D5:D32)</f>
        <v>746956</v>
      </c>
      <c r="E33" s="1691">
        <f t="shared" si="1"/>
        <v>274713</v>
      </c>
      <c r="F33" s="1691">
        <f t="shared" si="1"/>
        <v>211341</v>
      </c>
      <c r="G33" s="1691">
        <f t="shared" si="1"/>
        <v>51949</v>
      </c>
      <c r="H33" s="1691">
        <f t="shared" si="1"/>
        <v>720597</v>
      </c>
      <c r="I33" s="1691">
        <f t="shared" si="1"/>
        <v>37289</v>
      </c>
      <c r="J33" s="1691">
        <f t="shared" si="1"/>
        <v>0</v>
      </c>
      <c r="K33" s="1691">
        <f t="shared" si="1"/>
        <v>6212446</v>
      </c>
      <c r="L33" s="1691">
        <f t="shared" si="1"/>
        <v>6320045</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32646</v>
      </c>
      <c r="D36" s="481">
        <v>15033</v>
      </c>
      <c r="E36" s="481">
        <v>0</v>
      </c>
      <c r="F36" s="481">
        <v>124</v>
      </c>
      <c r="G36" s="481">
        <v>0</v>
      </c>
      <c r="H36" s="481">
        <v>0</v>
      </c>
      <c r="I36" s="467">
        <v>0</v>
      </c>
      <c r="J36" s="467">
        <v>0</v>
      </c>
      <c r="K36" s="1692">
        <f t="shared" ref="K36:K41" si="2">SUM(C36:J36)</f>
        <v>47803</v>
      </c>
      <c r="L36" s="466">
        <v>47933</v>
      </c>
    </row>
    <row r="37" spans="1:14" x14ac:dyDescent="0.2">
      <c r="A37" s="1525" t="s">
        <v>1151</v>
      </c>
      <c r="B37" s="615">
        <v>2120</v>
      </c>
      <c r="C37" s="466">
        <v>350418</v>
      </c>
      <c r="D37" s="466">
        <v>69940</v>
      </c>
      <c r="E37" s="466">
        <v>9376</v>
      </c>
      <c r="F37" s="466">
        <v>1853</v>
      </c>
      <c r="G37" s="466">
        <v>0</v>
      </c>
      <c r="H37" s="466">
        <v>379</v>
      </c>
      <c r="I37" s="467">
        <v>0</v>
      </c>
      <c r="J37" s="467">
        <v>0</v>
      </c>
      <c r="K37" s="1692">
        <f t="shared" si="2"/>
        <v>431966</v>
      </c>
      <c r="L37" s="466">
        <v>483285</v>
      </c>
    </row>
    <row r="38" spans="1:14" x14ac:dyDescent="0.2">
      <c r="A38" s="1525" t="s">
        <v>207</v>
      </c>
      <c r="B38" s="615">
        <v>2130</v>
      </c>
      <c r="C38" s="466">
        <v>55385</v>
      </c>
      <c r="D38" s="466">
        <v>21861</v>
      </c>
      <c r="E38" s="466">
        <v>112</v>
      </c>
      <c r="F38" s="466">
        <v>1392</v>
      </c>
      <c r="G38" s="466">
        <v>0</v>
      </c>
      <c r="H38" s="466">
        <v>0</v>
      </c>
      <c r="I38" s="467">
        <v>1245</v>
      </c>
      <c r="J38" s="467">
        <v>0</v>
      </c>
      <c r="K38" s="1692">
        <f t="shared" si="2"/>
        <v>79995</v>
      </c>
      <c r="L38" s="466">
        <v>80863</v>
      </c>
    </row>
    <row r="39" spans="1:14" x14ac:dyDescent="0.2">
      <c r="A39" s="1525" t="s">
        <v>208</v>
      </c>
      <c r="B39" s="615">
        <v>2140</v>
      </c>
      <c r="C39" s="466">
        <v>74597</v>
      </c>
      <c r="D39" s="466">
        <v>10497</v>
      </c>
      <c r="E39" s="466">
        <v>9000</v>
      </c>
      <c r="F39" s="466">
        <v>612</v>
      </c>
      <c r="G39" s="466">
        <v>0</v>
      </c>
      <c r="H39" s="466">
        <v>0</v>
      </c>
      <c r="I39" s="467">
        <v>0</v>
      </c>
      <c r="J39" s="467">
        <v>0</v>
      </c>
      <c r="K39" s="1692">
        <f t="shared" si="2"/>
        <v>94706</v>
      </c>
      <c r="L39" s="466">
        <v>95462</v>
      </c>
    </row>
    <row r="40" spans="1:14" x14ac:dyDescent="0.2">
      <c r="A40" s="1525" t="s">
        <v>209</v>
      </c>
      <c r="B40" s="615">
        <v>2150</v>
      </c>
      <c r="C40" s="466">
        <v>0</v>
      </c>
      <c r="D40" s="466">
        <v>0</v>
      </c>
      <c r="E40" s="466">
        <v>0</v>
      </c>
      <c r="F40" s="466">
        <v>0</v>
      </c>
      <c r="G40" s="466">
        <v>0</v>
      </c>
      <c r="H40" s="466">
        <v>0</v>
      </c>
      <c r="I40" s="467">
        <v>0</v>
      </c>
      <c r="J40" s="467">
        <v>0</v>
      </c>
      <c r="K40" s="1692">
        <f t="shared" si="2"/>
        <v>0</v>
      </c>
      <c r="L40" s="466">
        <v>0</v>
      </c>
    </row>
    <row r="41" spans="1:14" x14ac:dyDescent="0.2">
      <c r="A41" s="1525" t="s">
        <v>1768</v>
      </c>
      <c r="B41" s="615">
        <v>2190</v>
      </c>
      <c r="C41" s="466">
        <v>15623</v>
      </c>
      <c r="D41" s="466">
        <v>0</v>
      </c>
      <c r="E41" s="466">
        <v>0</v>
      </c>
      <c r="F41" s="466">
        <v>523</v>
      </c>
      <c r="G41" s="466">
        <v>0</v>
      </c>
      <c r="H41" s="466">
        <v>0</v>
      </c>
      <c r="I41" s="467">
        <v>0</v>
      </c>
      <c r="J41" s="467">
        <v>0</v>
      </c>
      <c r="K41" s="1692">
        <f t="shared" si="2"/>
        <v>16146</v>
      </c>
      <c r="L41" s="466">
        <v>16400</v>
      </c>
    </row>
    <row r="42" spans="1:14" ht="12.75" customHeight="1" thickBot="1" x14ac:dyDescent="0.25">
      <c r="A42" s="1689" t="s">
        <v>581</v>
      </c>
      <c r="B42" s="1690" t="s">
        <v>740</v>
      </c>
      <c r="C42" s="1691">
        <f>SUM(C36:C41)</f>
        <v>528669</v>
      </c>
      <c r="D42" s="1691">
        <f t="shared" ref="D42:L42" si="3">SUM(D36:D41)</f>
        <v>117331</v>
      </c>
      <c r="E42" s="1691">
        <f t="shared" si="3"/>
        <v>18488</v>
      </c>
      <c r="F42" s="1691">
        <f t="shared" si="3"/>
        <v>4504</v>
      </c>
      <c r="G42" s="1691">
        <f t="shared" si="3"/>
        <v>0</v>
      </c>
      <c r="H42" s="1691">
        <f t="shared" si="3"/>
        <v>379</v>
      </c>
      <c r="I42" s="1691">
        <f t="shared" si="3"/>
        <v>1245</v>
      </c>
      <c r="J42" s="1691">
        <f t="shared" si="3"/>
        <v>0</v>
      </c>
      <c r="K42" s="1691">
        <f t="shared" si="3"/>
        <v>670616</v>
      </c>
      <c r="L42" s="1691">
        <f t="shared" si="3"/>
        <v>723943</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16614</v>
      </c>
      <c r="D44" s="481">
        <v>243</v>
      </c>
      <c r="E44" s="481">
        <v>77683</v>
      </c>
      <c r="F44" s="481">
        <v>0</v>
      </c>
      <c r="G44" s="481">
        <v>0</v>
      </c>
      <c r="H44" s="481">
        <v>0</v>
      </c>
      <c r="I44" s="467">
        <v>0</v>
      </c>
      <c r="J44" s="467">
        <v>0</v>
      </c>
      <c r="K44" s="1693">
        <f>SUM(C44:J44)</f>
        <v>94540</v>
      </c>
      <c r="L44" s="481">
        <v>109598</v>
      </c>
    </row>
    <row r="45" spans="1:14" x14ac:dyDescent="0.2">
      <c r="A45" s="1525" t="s">
        <v>869</v>
      </c>
      <c r="B45" s="615">
        <v>2220</v>
      </c>
      <c r="C45" s="466">
        <v>227207</v>
      </c>
      <c r="D45" s="466">
        <v>43625</v>
      </c>
      <c r="E45" s="466">
        <v>24694</v>
      </c>
      <c r="F45" s="466">
        <v>175263</v>
      </c>
      <c r="G45" s="466">
        <v>11186</v>
      </c>
      <c r="H45" s="466">
        <v>0</v>
      </c>
      <c r="I45" s="467">
        <v>42130</v>
      </c>
      <c r="J45" s="467">
        <v>0</v>
      </c>
      <c r="K45" s="1693">
        <f>SUM(C45:J45)</f>
        <v>524105</v>
      </c>
      <c r="L45" s="466">
        <v>555482</v>
      </c>
    </row>
    <row r="46" spans="1:14" x14ac:dyDescent="0.2">
      <c r="A46" s="1525" t="s">
        <v>870</v>
      </c>
      <c r="B46" s="615">
        <v>2230</v>
      </c>
      <c r="C46" s="466">
        <v>0</v>
      </c>
      <c r="D46" s="466">
        <v>0</v>
      </c>
      <c r="E46" s="466">
        <v>0</v>
      </c>
      <c r="F46" s="466">
        <v>41322</v>
      </c>
      <c r="G46" s="466">
        <v>0</v>
      </c>
      <c r="H46" s="466">
        <v>0</v>
      </c>
      <c r="I46" s="467">
        <v>0</v>
      </c>
      <c r="J46" s="467">
        <v>0</v>
      </c>
      <c r="K46" s="1693">
        <f>SUM(C46:J46)</f>
        <v>41322</v>
      </c>
      <c r="L46" s="466">
        <v>38000</v>
      </c>
    </row>
    <row r="47" spans="1:14" ht="12.75" customHeight="1" thickBot="1" x14ac:dyDescent="0.25">
      <c r="A47" s="1689" t="s">
        <v>582</v>
      </c>
      <c r="B47" s="1690" t="s">
        <v>32</v>
      </c>
      <c r="C47" s="1691">
        <f>SUM(C44:C46)</f>
        <v>243821</v>
      </c>
      <c r="D47" s="1691">
        <f t="shared" ref="D47:K47" si="4">SUM(D44:D46)</f>
        <v>43868</v>
      </c>
      <c r="E47" s="1691">
        <f t="shared" si="4"/>
        <v>102377</v>
      </c>
      <c r="F47" s="1691">
        <f t="shared" si="4"/>
        <v>216585</v>
      </c>
      <c r="G47" s="1691">
        <f t="shared" si="4"/>
        <v>11186</v>
      </c>
      <c r="H47" s="1691">
        <f t="shared" si="4"/>
        <v>0</v>
      </c>
      <c r="I47" s="1691">
        <f t="shared" si="4"/>
        <v>42130</v>
      </c>
      <c r="J47" s="1691">
        <f t="shared" si="4"/>
        <v>0</v>
      </c>
      <c r="K47" s="1691">
        <f t="shared" si="4"/>
        <v>659967</v>
      </c>
      <c r="L47" s="1691">
        <f>SUM(L44:L46)</f>
        <v>703080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53545</v>
      </c>
      <c r="D49" s="481">
        <v>35526</v>
      </c>
      <c r="E49" s="481">
        <v>35960</v>
      </c>
      <c r="F49" s="481">
        <v>25001</v>
      </c>
      <c r="G49" s="481">
        <v>0</v>
      </c>
      <c r="H49" s="481">
        <v>5184</v>
      </c>
      <c r="I49" s="467">
        <v>0</v>
      </c>
      <c r="J49" s="467">
        <v>0</v>
      </c>
      <c r="K49" s="1693">
        <f>SUM(C49:J49)</f>
        <v>155216</v>
      </c>
      <c r="L49" s="481">
        <v>165983</v>
      </c>
    </row>
    <row r="50" spans="1:14" x14ac:dyDescent="0.2">
      <c r="A50" s="1525" t="s">
        <v>872</v>
      </c>
      <c r="B50" s="615">
        <v>2320</v>
      </c>
      <c r="C50" s="466">
        <v>86912</v>
      </c>
      <c r="D50" s="466">
        <v>18046</v>
      </c>
      <c r="E50" s="466">
        <v>3172</v>
      </c>
      <c r="F50" s="466">
        <v>2292</v>
      </c>
      <c r="G50" s="466">
        <v>0</v>
      </c>
      <c r="H50" s="466">
        <v>2394</v>
      </c>
      <c r="I50" s="467">
        <v>0</v>
      </c>
      <c r="J50" s="467">
        <v>0</v>
      </c>
      <c r="K50" s="1693">
        <f>SUM(C50:J50)</f>
        <v>112816</v>
      </c>
      <c r="L50" s="466">
        <v>118670</v>
      </c>
    </row>
    <row r="51" spans="1:14" x14ac:dyDescent="0.2">
      <c r="A51" s="1525" t="s">
        <v>44</v>
      </c>
      <c r="B51" s="615">
        <v>2330</v>
      </c>
      <c r="C51" s="466">
        <v>91648</v>
      </c>
      <c r="D51" s="466">
        <v>29173</v>
      </c>
      <c r="E51" s="466">
        <v>1635</v>
      </c>
      <c r="F51" s="466">
        <v>2100</v>
      </c>
      <c r="G51" s="466">
        <v>0</v>
      </c>
      <c r="H51" s="466">
        <v>0</v>
      </c>
      <c r="I51" s="467">
        <v>0</v>
      </c>
      <c r="J51" s="467">
        <v>0</v>
      </c>
      <c r="K51" s="1693">
        <f>SUM(C51:J51)</f>
        <v>124556</v>
      </c>
      <c r="L51" s="466">
        <v>125835</v>
      </c>
    </row>
    <row r="52" spans="1:14" ht="22.5" x14ac:dyDescent="0.2">
      <c r="A52" s="1526" t="s">
        <v>316</v>
      </c>
      <c r="B52" s="628" t="s">
        <v>384</v>
      </c>
      <c r="C52" s="474">
        <v>0</v>
      </c>
      <c r="D52" s="474">
        <v>0</v>
      </c>
      <c r="E52" s="474">
        <v>0</v>
      </c>
      <c r="F52" s="474">
        <v>0</v>
      </c>
      <c r="G52" s="474">
        <v>0</v>
      </c>
      <c r="H52" s="474">
        <v>0</v>
      </c>
      <c r="I52" s="474">
        <v>0</v>
      </c>
      <c r="J52" s="474">
        <v>0</v>
      </c>
      <c r="K52" s="1693">
        <f>SUM(C52:J52)</f>
        <v>0</v>
      </c>
      <c r="L52" s="474">
        <v>0</v>
      </c>
    </row>
    <row r="53" spans="1:14" ht="12.75" customHeight="1" thickBot="1" x14ac:dyDescent="0.25">
      <c r="A53" s="1689" t="s">
        <v>741</v>
      </c>
      <c r="B53" s="1690" t="s">
        <v>33</v>
      </c>
      <c r="C53" s="1691">
        <f>SUM(C49:C52)</f>
        <v>232105</v>
      </c>
      <c r="D53" s="1691">
        <f t="shared" ref="D53:L53" si="5">SUM(D49:D52)</f>
        <v>82745</v>
      </c>
      <c r="E53" s="1691">
        <f t="shared" si="5"/>
        <v>40767</v>
      </c>
      <c r="F53" s="1691">
        <f t="shared" si="5"/>
        <v>29393</v>
      </c>
      <c r="G53" s="1691">
        <f t="shared" si="5"/>
        <v>0</v>
      </c>
      <c r="H53" s="1691">
        <f t="shared" si="5"/>
        <v>7578</v>
      </c>
      <c r="I53" s="1691">
        <f t="shared" si="5"/>
        <v>0</v>
      </c>
      <c r="J53" s="1691">
        <f t="shared" si="5"/>
        <v>0</v>
      </c>
      <c r="K53" s="1691">
        <f t="shared" si="5"/>
        <v>392588</v>
      </c>
      <c r="L53" s="1691">
        <f t="shared" si="5"/>
        <v>410488</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235176</v>
      </c>
      <c r="D55" s="481">
        <v>88244</v>
      </c>
      <c r="E55" s="481">
        <v>13301</v>
      </c>
      <c r="F55" s="481">
        <v>370</v>
      </c>
      <c r="G55" s="481">
        <v>0</v>
      </c>
      <c r="H55" s="481">
        <v>829</v>
      </c>
      <c r="I55" s="467">
        <v>0</v>
      </c>
      <c r="J55" s="467">
        <v>0</v>
      </c>
      <c r="K55" s="1693">
        <f>SUM(C55:J55)</f>
        <v>337920</v>
      </c>
      <c r="L55" s="481">
        <v>341547</v>
      </c>
    </row>
    <row r="56" spans="1:14" ht="12.75" customHeight="1" x14ac:dyDescent="0.2">
      <c r="A56" s="1529" t="s">
        <v>394</v>
      </c>
      <c r="B56" s="629">
        <v>2490</v>
      </c>
      <c r="C56" s="466">
        <v>17935</v>
      </c>
      <c r="D56" s="466">
        <v>261</v>
      </c>
      <c r="E56" s="466">
        <v>0</v>
      </c>
      <c r="F56" s="466">
        <v>380</v>
      </c>
      <c r="G56" s="466">
        <v>0</v>
      </c>
      <c r="H56" s="466">
        <v>0</v>
      </c>
      <c r="I56" s="467">
        <v>0</v>
      </c>
      <c r="J56" s="467">
        <v>0</v>
      </c>
      <c r="K56" s="1693">
        <f>SUM(C56:J56)</f>
        <v>18576</v>
      </c>
      <c r="L56" s="466">
        <v>19465</v>
      </c>
    </row>
    <row r="57" spans="1:14" s="343" customFormat="1" ht="12.75" customHeight="1" thickBot="1" x14ac:dyDescent="0.25">
      <c r="A57" s="1689" t="s">
        <v>281</v>
      </c>
      <c r="B57" s="1694" t="s">
        <v>34</v>
      </c>
      <c r="C57" s="1695">
        <f>SUM(C55:C56)</f>
        <v>253111</v>
      </c>
      <c r="D57" s="1695">
        <f t="shared" ref="D57:K57" si="6">SUM(D55:D56)</f>
        <v>88505</v>
      </c>
      <c r="E57" s="1695">
        <f t="shared" si="6"/>
        <v>13301</v>
      </c>
      <c r="F57" s="1695">
        <f t="shared" si="6"/>
        <v>750</v>
      </c>
      <c r="G57" s="1695">
        <f t="shared" si="6"/>
        <v>0</v>
      </c>
      <c r="H57" s="1695">
        <f t="shared" si="6"/>
        <v>829</v>
      </c>
      <c r="I57" s="1695">
        <f t="shared" si="6"/>
        <v>0</v>
      </c>
      <c r="J57" s="1695">
        <f t="shared" si="6"/>
        <v>0</v>
      </c>
      <c r="K57" s="1695">
        <f t="shared" si="6"/>
        <v>356496</v>
      </c>
      <c r="L57" s="1691">
        <f>SUM(L55:L56)</f>
        <v>361012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74250</v>
      </c>
      <c r="D59" s="481">
        <v>18027</v>
      </c>
      <c r="E59" s="481">
        <v>3438</v>
      </c>
      <c r="F59" s="481">
        <v>810</v>
      </c>
      <c r="G59" s="481">
        <v>0</v>
      </c>
      <c r="H59" s="481">
        <v>0</v>
      </c>
      <c r="I59" s="467">
        <v>0</v>
      </c>
      <c r="J59" s="467">
        <v>0</v>
      </c>
      <c r="K59" s="1693">
        <f t="shared" ref="K59:K64" si="7">SUM(C59:J59)</f>
        <v>96525</v>
      </c>
      <c r="L59" s="481">
        <v>97034</v>
      </c>
      <c r="M59" s="610"/>
      <c r="N59" s="610"/>
    </row>
    <row r="60" spans="1:14" s="343" customFormat="1" x14ac:dyDescent="0.2">
      <c r="A60" s="1525" t="s">
        <v>483</v>
      </c>
      <c r="B60" s="615">
        <v>2520</v>
      </c>
      <c r="C60" s="466">
        <v>110682</v>
      </c>
      <c r="D60" s="466">
        <v>9492</v>
      </c>
      <c r="E60" s="466">
        <v>1745</v>
      </c>
      <c r="F60" s="466">
        <v>287</v>
      </c>
      <c r="G60" s="466">
        <v>0</v>
      </c>
      <c r="H60" s="466">
        <v>0</v>
      </c>
      <c r="I60" s="467">
        <v>0</v>
      </c>
      <c r="J60" s="467">
        <v>0</v>
      </c>
      <c r="K60" s="1693">
        <f t="shared" si="7"/>
        <v>122206</v>
      </c>
      <c r="L60" s="466">
        <v>120392</v>
      </c>
      <c r="M60" s="610"/>
      <c r="N60" s="610"/>
    </row>
    <row r="61" spans="1:14" s="343" customFormat="1" x14ac:dyDescent="0.2">
      <c r="A61" s="1525" t="s">
        <v>206</v>
      </c>
      <c r="B61" s="615">
        <v>2540</v>
      </c>
      <c r="C61" s="466">
        <v>0</v>
      </c>
      <c r="D61" s="466">
        <v>0</v>
      </c>
      <c r="E61" s="466">
        <v>0</v>
      </c>
      <c r="F61" s="466">
        <v>0</v>
      </c>
      <c r="G61" s="466">
        <v>0</v>
      </c>
      <c r="H61" s="466">
        <v>0</v>
      </c>
      <c r="I61" s="467">
        <v>0</v>
      </c>
      <c r="J61" s="467">
        <v>0</v>
      </c>
      <c r="K61" s="1693">
        <f t="shared" si="7"/>
        <v>0</v>
      </c>
      <c r="L61" s="466">
        <v>0</v>
      </c>
      <c r="M61" s="610"/>
      <c r="N61" s="610"/>
    </row>
    <row r="62" spans="1:14" s="343" customFormat="1" x14ac:dyDescent="0.2">
      <c r="A62" s="1525" t="s">
        <v>1010</v>
      </c>
      <c r="B62" s="615">
        <v>2550</v>
      </c>
      <c r="C62" s="466">
        <v>0</v>
      </c>
      <c r="D62" s="466">
        <v>0</v>
      </c>
      <c r="E62" s="466">
        <v>0</v>
      </c>
      <c r="F62" s="466">
        <v>0</v>
      </c>
      <c r="G62" s="466">
        <v>0</v>
      </c>
      <c r="H62" s="466">
        <v>0</v>
      </c>
      <c r="I62" s="467">
        <v>0</v>
      </c>
      <c r="J62" s="467">
        <v>0</v>
      </c>
      <c r="K62" s="1693">
        <f t="shared" si="7"/>
        <v>0</v>
      </c>
      <c r="L62" s="466">
        <v>0</v>
      </c>
      <c r="M62" s="610"/>
      <c r="N62" s="610"/>
    </row>
    <row r="63" spans="1:14" s="610" customFormat="1" x14ac:dyDescent="0.2">
      <c r="A63" s="1525" t="s">
        <v>102</v>
      </c>
      <c r="B63" s="615">
        <v>2560</v>
      </c>
      <c r="C63" s="466">
        <v>81051</v>
      </c>
      <c r="D63" s="466">
        <v>9045</v>
      </c>
      <c r="E63" s="466">
        <v>227</v>
      </c>
      <c r="F63" s="466">
        <v>212856</v>
      </c>
      <c r="G63" s="466">
        <v>44581</v>
      </c>
      <c r="H63" s="466">
        <v>600</v>
      </c>
      <c r="I63" s="467">
        <v>0</v>
      </c>
      <c r="J63" s="467">
        <v>0</v>
      </c>
      <c r="K63" s="1693">
        <f t="shared" si="7"/>
        <v>348360</v>
      </c>
      <c r="L63" s="466">
        <v>361345</v>
      </c>
    </row>
    <row r="64" spans="1:14" s="610" customFormat="1" x14ac:dyDescent="0.2">
      <c r="A64" s="1530" t="s">
        <v>103</v>
      </c>
      <c r="B64" s="631">
        <v>2570</v>
      </c>
      <c r="C64" s="481">
        <v>0</v>
      </c>
      <c r="D64" s="481">
        <v>0</v>
      </c>
      <c r="E64" s="481">
        <v>0</v>
      </c>
      <c r="F64" s="481">
        <v>0</v>
      </c>
      <c r="G64" s="481">
        <v>0</v>
      </c>
      <c r="H64" s="481">
        <v>0</v>
      </c>
      <c r="I64" s="467">
        <v>0</v>
      </c>
      <c r="J64" s="467">
        <v>0</v>
      </c>
      <c r="K64" s="1693">
        <f t="shared" si="7"/>
        <v>0</v>
      </c>
      <c r="L64" s="481">
        <v>0</v>
      </c>
    </row>
    <row r="65" spans="1:14" s="343" customFormat="1" ht="12.75" customHeight="1" thickBot="1" x14ac:dyDescent="0.25">
      <c r="A65" s="1689" t="s">
        <v>743</v>
      </c>
      <c r="B65" s="1690" t="s">
        <v>35</v>
      </c>
      <c r="C65" s="1691">
        <f>SUM(C59:C64)</f>
        <v>265983</v>
      </c>
      <c r="D65" s="1691">
        <f t="shared" ref="D65:L65" si="8">SUM(D59:D64)</f>
        <v>36564</v>
      </c>
      <c r="E65" s="1691">
        <f t="shared" si="8"/>
        <v>5410</v>
      </c>
      <c r="F65" s="1691">
        <f t="shared" si="8"/>
        <v>213953</v>
      </c>
      <c r="G65" s="1691">
        <f t="shared" si="8"/>
        <v>44581</v>
      </c>
      <c r="H65" s="1691">
        <f t="shared" si="8"/>
        <v>600</v>
      </c>
      <c r="I65" s="1691">
        <f t="shared" si="8"/>
        <v>0</v>
      </c>
      <c r="J65" s="1691">
        <f t="shared" si="8"/>
        <v>0</v>
      </c>
      <c r="K65" s="1691">
        <f t="shared" si="8"/>
        <v>567091</v>
      </c>
      <c r="L65" s="1691">
        <f t="shared" si="8"/>
        <v>578771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v>0</v>
      </c>
      <c r="D67" s="466">
        <v>0</v>
      </c>
      <c r="E67" s="466">
        <v>0</v>
      </c>
      <c r="F67" s="466">
        <v>0</v>
      </c>
      <c r="G67" s="466">
        <v>0</v>
      </c>
      <c r="H67" s="466">
        <v>0</v>
      </c>
      <c r="I67" s="467">
        <v>0</v>
      </c>
      <c r="J67" s="467">
        <v>0</v>
      </c>
      <c r="K67" s="1693">
        <f>SUM(C67:J67)</f>
        <v>0</v>
      </c>
      <c r="L67" s="481">
        <v>0</v>
      </c>
      <c r="M67" s="610"/>
      <c r="N67" s="610"/>
    </row>
    <row r="68" spans="1:14" s="343" customFormat="1" x14ac:dyDescent="0.2">
      <c r="A68" s="1525" t="s">
        <v>628</v>
      </c>
      <c r="B68" s="615">
        <v>2620</v>
      </c>
      <c r="C68" s="466">
        <v>0</v>
      </c>
      <c r="D68" s="466">
        <v>0</v>
      </c>
      <c r="E68" s="466">
        <v>0</v>
      </c>
      <c r="F68" s="466">
        <v>0</v>
      </c>
      <c r="G68" s="466">
        <v>0</v>
      </c>
      <c r="H68" s="466">
        <v>0</v>
      </c>
      <c r="I68" s="467">
        <v>0</v>
      </c>
      <c r="J68" s="467">
        <v>0</v>
      </c>
      <c r="K68" s="1693">
        <f>SUM(C68:J68)</f>
        <v>0</v>
      </c>
      <c r="L68" s="466">
        <v>0</v>
      </c>
      <c r="M68" s="610"/>
      <c r="N68" s="610"/>
    </row>
    <row r="69" spans="1:14" s="343" customFormat="1" x14ac:dyDescent="0.2">
      <c r="A69" s="1525" t="s">
        <v>1121</v>
      </c>
      <c r="B69" s="615">
        <v>2630</v>
      </c>
      <c r="C69" s="466">
        <v>0</v>
      </c>
      <c r="D69" s="466">
        <v>0</v>
      </c>
      <c r="E69" s="466">
        <v>0</v>
      </c>
      <c r="F69" s="466">
        <v>0</v>
      </c>
      <c r="G69" s="466">
        <v>0</v>
      </c>
      <c r="H69" s="466">
        <v>0</v>
      </c>
      <c r="I69" s="467">
        <v>0</v>
      </c>
      <c r="J69" s="467">
        <v>0</v>
      </c>
      <c r="K69" s="1693">
        <f>SUM(C69:J69)</f>
        <v>0</v>
      </c>
      <c r="L69" s="466">
        <v>0</v>
      </c>
      <c r="M69" s="610"/>
      <c r="N69" s="610"/>
    </row>
    <row r="70" spans="1:14" s="343" customFormat="1" x14ac:dyDescent="0.2">
      <c r="A70" s="1525" t="s">
        <v>423</v>
      </c>
      <c r="B70" s="615">
        <v>2640</v>
      </c>
      <c r="C70" s="466">
        <v>0</v>
      </c>
      <c r="D70" s="466">
        <v>0</v>
      </c>
      <c r="E70" s="466">
        <v>0</v>
      </c>
      <c r="F70" s="466">
        <v>0</v>
      </c>
      <c r="G70" s="466">
        <v>0</v>
      </c>
      <c r="H70" s="466">
        <v>0</v>
      </c>
      <c r="I70" s="467">
        <v>0</v>
      </c>
      <c r="J70" s="467">
        <v>0</v>
      </c>
      <c r="K70" s="1693">
        <f>SUM(C70:J70)</f>
        <v>0</v>
      </c>
      <c r="L70" s="466">
        <v>0</v>
      </c>
      <c r="M70" s="610"/>
      <c r="N70" s="610"/>
    </row>
    <row r="71" spans="1:14" s="343" customFormat="1" x14ac:dyDescent="0.2">
      <c r="A71" s="1525" t="s">
        <v>424</v>
      </c>
      <c r="B71" s="615">
        <v>2660</v>
      </c>
      <c r="C71" s="466">
        <v>0</v>
      </c>
      <c r="D71" s="466">
        <v>0</v>
      </c>
      <c r="E71" s="466">
        <v>24598</v>
      </c>
      <c r="F71" s="466">
        <v>0</v>
      </c>
      <c r="G71" s="466">
        <v>0</v>
      </c>
      <c r="H71" s="466">
        <v>0</v>
      </c>
      <c r="I71" s="467">
        <v>0</v>
      </c>
      <c r="J71" s="467">
        <v>0</v>
      </c>
      <c r="K71" s="1693">
        <f>SUM(C71:J71)</f>
        <v>24598</v>
      </c>
      <c r="L71" s="466">
        <v>26300</v>
      </c>
      <c r="M71" s="610"/>
      <c r="N71" s="610"/>
    </row>
    <row r="72" spans="1:14" s="343" customFormat="1" ht="12.75" customHeight="1" thickBot="1" x14ac:dyDescent="0.25">
      <c r="A72" s="1689" t="s">
        <v>37</v>
      </c>
      <c r="B72" s="1696" t="s">
        <v>36</v>
      </c>
      <c r="C72" s="1691">
        <f>SUM(C67:C71)</f>
        <v>0</v>
      </c>
      <c r="D72" s="1691">
        <f t="shared" ref="D72:K72" si="9">SUM(D67:D71)</f>
        <v>0</v>
      </c>
      <c r="E72" s="1691">
        <f t="shared" si="9"/>
        <v>24598</v>
      </c>
      <c r="F72" s="1691">
        <f t="shared" si="9"/>
        <v>0</v>
      </c>
      <c r="G72" s="1691">
        <f t="shared" si="9"/>
        <v>0</v>
      </c>
      <c r="H72" s="1691">
        <f t="shared" si="9"/>
        <v>0</v>
      </c>
      <c r="I72" s="1691">
        <f t="shared" si="9"/>
        <v>0</v>
      </c>
      <c r="J72" s="1691">
        <f t="shared" si="9"/>
        <v>0</v>
      </c>
      <c r="K72" s="1691">
        <f t="shared" si="9"/>
        <v>24598</v>
      </c>
      <c r="L72" s="1691">
        <f>SUM(L67:L71)</f>
        <v>26300</v>
      </c>
      <c r="M72" s="610"/>
      <c r="N72" s="610"/>
    </row>
    <row r="73" spans="1:14" s="343" customFormat="1" ht="14.25" thickTop="1" thickBot="1" x14ac:dyDescent="0.25">
      <c r="A73" s="1531" t="s">
        <v>1037</v>
      </c>
      <c r="B73" s="633" t="s">
        <v>595</v>
      </c>
      <c r="C73" s="573">
        <v>0</v>
      </c>
      <c r="D73" s="573">
        <v>0</v>
      </c>
      <c r="E73" s="573">
        <v>0</v>
      </c>
      <c r="F73" s="573">
        <v>443</v>
      </c>
      <c r="G73" s="573">
        <v>0</v>
      </c>
      <c r="H73" s="573">
        <v>0</v>
      </c>
      <c r="I73" s="531">
        <v>0</v>
      </c>
      <c r="J73" s="531">
        <v>0</v>
      </c>
      <c r="K73" s="1691">
        <f>SUM(C73:J73)</f>
        <v>443</v>
      </c>
      <c r="L73" s="576">
        <v>443</v>
      </c>
      <c r="M73" s="610"/>
      <c r="N73" s="610"/>
    </row>
    <row r="74" spans="1:14" ht="12.75" customHeight="1" thickTop="1" thickBot="1" x14ac:dyDescent="0.25">
      <c r="A74" s="1689" t="s">
        <v>865</v>
      </c>
      <c r="B74" s="1697">
        <v>2000</v>
      </c>
      <c r="C74" s="1698">
        <f>SUM(C42,C47,C53,C57,C65,C72,C73)</f>
        <v>1523689</v>
      </c>
      <c r="D74" s="1698">
        <f t="shared" ref="D74:K74" si="10">SUM(D42,D47,D53,D57,D65,D72,D73)</f>
        <v>369013</v>
      </c>
      <c r="E74" s="1698">
        <f t="shared" si="10"/>
        <v>204941</v>
      </c>
      <c r="F74" s="1698">
        <f t="shared" si="10"/>
        <v>465628</v>
      </c>
      <c r="G74" s="1698">
        <f t="shared" si="10"/>
        <v>55767</v>
      </c>
      <c r="H74" s="1698">
        <f t="shared" si="10"/>
        <v>9386</v>
      </c>
      <c r="I74" s="1698">
        <f t="shared" si="10"/>
        <v>43375</v>
      </c>
      <c r="J74" s="1698">
        <f t="shared" si="10"/>
        <v>0</v>
      </c>
      <c r="K74" s="1698">
        <f t="shared" si="10"/>
        <v>2671799</v>
      </c>
      <c r="L74" s="1698">
        <f>SUM(L42,L47,L53,L57,L65,L72,L73)</f>
        <v>2804037</v>
      </c>
    </row>
    <row r="75" spans="1:14" s="259" customFormat="1" ht="15.75" customHeight="1" thickTop="1" thickBot="1" x14ac:dyDescent="0.25">
      <c r="A75" s="1631" t="s">
        <v>49</v>
      </c>
      <c r="B75" s="1632" t="s">
        <v>596</v>
      </c>
      <c r="C75" s="573">
        <v>0</v>
      </c>
      <c r="D75" s="573">
        <v>0</v>
      </c>
      <c r="E75" s="573">
        <v>0</v>
      </c>
      <c r="F75" s="573">
        <v>0</v>
      </c>
      <c r="G75" s="573">
        <v>0</v>
      </c>
      <c r="H75" s="573">
        <v>0</v>
      </c>
      <c r="I75" s="531">
        <v>0</v>
      </c>
      <c r="J75" s="531">
        <v>0</v>
      </c>
      <c r="K75" s="1691">
        <f>SUM(C75:J75)</f>
        <v>0</v>
      </c>
      <c r="L75" s="576">
        <v>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635">
        <v>0</v>
      </c>
      <c r="I78" s="477"/>
      <c r="J78" s="477"/>
      <c r="K78" s="1692">
        <f t="shared" ref="K78:K83" si="11">SUM(C78:J78)</f>
        <v>0</v>
      </c>
      <c r="L78" s="481">
        <v>0</v>
      </c>
    </row>
    <row r="79" spans="1:14" x14ac:dyDescent="0.2">
      <c r="A79" s="1525" t="s">
        <v>322</v>
      </c>
      <c r="B79" s="615">
        <v>4120</v>
      </c>
      <c r="C79" s="617"/>
      <c r="D79" s="617"/>
      <c r="E79" s="466">
        <v>200</v>
      </c>
      <c r="F79" s="617"/>
      <c r="G79" s="617"/>
      <c r="H79" s="466">
        <v>0</v>
      </c>
      <c r="I79" s="477"/>
      <c r="J79" s="477"/>
      <c r="K79" s="1692">
        <f t="shared" si="11"/>
        <v>200</v>
      </c>
      <c r="L79" s="466">
        <v>2000</v>
      </c>
    </row>
    <row r="80" spans="1:14" x14ac:dyDescent="0.2">
      <c r="A80" s="1525" t="s">
        <v>323</v>
      </c>
      <c r="B80" s="615">
        <v>4130</v>
      </c>
      <c r="C80" s="617"/>
      <c r="D80" s="617"/>
      <c r="E80" s="466">
        <v>0</v>
      </c>
      <c r="F80" s="617"/>
      <c r="G80" s="617"/>
      <c r="H80" s="466">
        <v>0</v>
      </c>
      <c r="I80" s="477"/>
      <c r="J80" s="477"/>
      <c r="K80" s="1692">
        <f t="shared" si="11"/>
        <v>0</v>
      </c>
      <c r="L80" s="466">
        <v>0</v>
      </c>
    </row>
    <row r="81" spans="1:12" x14ac:dyDescent="0.2">
      <c r="A81" s="1525" t="s">
        <v>721</v>
      </c>
      <c r="B81" s="615">
        <v>4140</v>
      </c>
      <c r="C81" s="617"/>
      <c r="D81" s="617"/>
      <c r="E81" s="466">
        <v>0</v>
      </c>
      <c r="F81" s="617"/>
      <c r="G81" s="617"/>
      <c r="H81" s="466">
        <v>0</v>
      </c>
      <c r="I81" s="477"/>
      <c r="J81" s="477"/>
      <c r="K81" s="1692">
        <f t="shared" si="11"/>
        <v>0</v>
      </c>
      <c r="L81" s="466">
        <v>0</v>
      </c>
    </row>
    <row r="82" spans="1:12" x14ac:dyDescent="0.2">
      <c r="A82" s="1525" t="s">
        <v>88</v>
      </c>
      <c r="B82" s="615">
        <v>4170</v>
      </c>
      <c r="C82" s="617"/>
      <c r="D82" s="617"/>
      <c r="E82" s="466">
        <v>0</v>
      </c>
      <c r="F82" s="617"/>
      <c r="G82" s="617"/>
      <c r="H82" s="466">
        <v>0</v>
      </c>
      <c r="I82" s="477"/>
      <c r="J82" s="477"/>
      <c r="K82" s="1692">
        <f t="shared" si="11"/>
        <v>0</v>
      </c>
      <c r="L82" s="466">
        <v>0</v>
      </c>
    </row>
    <row r="83" spans="1:12" x14ac:dyDescent="0.2">
      <c r="A83" s="1529" t="s">
        <v>722</v>
      </c>
      <c r="B83" s="629">
        <v>4190</v>
      </c>
      <c r="C83" s="617"/>
      <c r="D83" s="617"/>
      <c r="E83" s="466">
        <v>20000</v>
      </c>
      <c r="F83" s="617"/>
      <c r="G83" s="617"/>
      <c r="H83" s="466">
        <v>20236</v>
      </c>
      <c r="I83" s="477"/>
      <c r="J83" s="477"/>
      <c r="K83" s="1692">
        <f t="shared" si="11"/>
        <v>40236</v>
      </c>
      <c r="L83" s="466">
        <v>40500</v>
      </c>
    </row>
    <row r="84" spans="1:12" ht="13.5" thickBot="1" x14ac:dyDescent="0.25">
      <c r="A84" s="1689" t="s">
        <v>1565</v>
      </c>
      <c r="B84" s="1699">
        <v>4100</v>
      </c>
      <c r="C84" s="617"/>
      <c r="D84" s="617"/>
      <c r="E84" s="1691">
        <f>SUM(E78:E83)</f>
        <v>20200</v>
      </c>
      <c r="F84" s="617"/>
      <c r="G84" s="617"/>
      <c r="H84" s="1691">
        <f>SUM(H78:H83)</f>
        <v>20236</v>
      </c>
      <c r="I84" s="477"/>
      <c r="J84" s="477"/>
      <c r="K84" s="1691">
        <f>SUM(K78:K83)</f>
        <v>40436</v>
      </c>
      <c r="L84" s="1691">
        <f>SUM(L78:L83)</f>
        <v>42500</v>
      </c>
    </row>
    <row r="85" spans="1:12" ht="12.75" customHeight="1" thickTop="1" thickBot="1" x14ac:dyDescent="0.25">
      <c r="A85" s="1532" t="s">
        <v>273</v>
      </c>
      <c r="B85" s="636">
        <v>4210</v>
      </c>
      <c r="C85" s="617"/>
      <c r="D85" s="617"/>
      <c r="E85" s="637"/>
      <c r="F85" s="617"/>
      <c r="G85" s="617"/>
      <c r="H85" s="535">
        <v>0</v>
      </c>
      <c r="I85" s="477"/>
      <c r="J85" s="477"/>
      <c r="K85" s="1698">
        <f>H85</f>
        <v>0</v>
      </c>
      <c r="L85" s="530">
        <v>0</v>
      </c>
    </row>
    <row r="86" spans="1:12" ht="12.75" customHeight="1" thickTop="1" thickBot="1" x14ac:dyDescent="0.25">
      <c r="A86" s="1533" t="s">
        <v>723</v>
      </c>
      <c r="B86" s="638">
        <v>4220</v>
      </c>
      <c r="C86" s="617"/>
      <c r="D86" s="617"/>
      <c r="E86" s="639"/>
      <c r="F86" s="617"/>
      <c r="G86" s="617"/>
      <c r="H86" s="467">
        <v>65692</v>
      </c>
      <c r="I86" s="477"/>
      <c r="J86" s="477"/>
      <c r="K86" s="1698">
        <f t="shared" ref="K86:K98" si="12">H86</f>
        <v>65692</v>
      </c>
      <c r="L86" s="530">
        <v>66500</v>
      </c>
    </row>
    <row r="87" spans="1:12" ht="14.25" thickTop="1" thickBot="1" x14ac:dyDescent="0.25">
      <c r="A87" s="1534" t="s">
        <v>724</v>
      </c>
      <c r="B87" s="640">
        <v>4230</v>
      </c>
      <c r="C87" s="617"/>
      <c r="D87" s="617"/>
      <c r="E87" s="639"/>
      <c r="F87" s="617"/>
      <c r="G87" s="617"/>
      <c r="H87" s="467">
        <v>0</v>
      </c>
      <c r="I87" s="477"/>
      <c r="J87" s="477"/>
      <c r="K87" s="1698">
        <f t="shared" si="12"/>
        <v>0</v>
      </c>
      <c r="L87" s="530">
        <v>0</v>
      </c>
    </row>
    <row r="88" spans="1:12" ht="12.75" customHeight="1" thickTop="1" thickBot="1" x14ac:dyDescent="0.25">
      <c r="A88" s="1534" t="s">
        <v>789</v>
      </c>
      <c r="B88" s="640">
        <v>4240</v>
      </c>
      <c r="C88" s="617"/>
      <c r="D88" s="617"/>
      <c r="E88" s="639"/>
      <c r="F88" s="617"/>
      <c r="G88" s="617"/>
      <c r="H88" s="467">
        <v>0</v>
      </c>
      <c r="I88" s="477"/>
      <c r="J88" s="477"/>
      <c r="K88" s="1698">
        <f t="shared" si="12"/>
        <v>0</v>
      </c>
      <c r="L88" s="530">
        <v>0</v>
      </c>
    </row>
    <row r="89" spans="1:12" ht="12.75" customHeight="1" thickTop="1" thickBot="1" x14ac:dyDescent="0.25">
      <c r="A89" s="1534" t="s">
        <v>725</v>
      </c>
      <c r="B89" s="640">
        <v>4270</v>
      </c>
      <c r="C89" s="617"/>
      <c r="D89" s="617"/>
      <c r="E89" s="639"/>
      <c r="F89" s="617"/>
      <c r="G89" s="617"/>
      <c r="H89" s="467">
        <v>0</v>
      </c>
      <c r="I89" s="477"/>
      <c r="J89" s="477"/>
      <c r="K89" s="1698">
        <f t="shared" si="12"/>
        <v>0</v>
      </c>
      <c r="L89" s="530">
        <v>0</v>
      </c>
    </row>
    <row r="90" spans="1:12" ht="12.75" customHeight="1" thickTop="1" thickBot="1" x14ac:dyDescent="0.25">
      <c r="A90" s="1534" t="s">
        <v>710</v>
      </c>
      <c r="B90" s="640">
        <v>4280</v>
      </c>
      <c r="C90" s="617"/>
      <c r="D90" s="617"/>
      <c r="E90" s="639"/>
      <c r="F90" s="617"/>
      <c r="G90" s="617"/>
      <c r="H90" s="467">
        <v>0</v>
      </c>
      <c r="I90" s="477"/>
      <c r="J90" s="477"/>
      <c r="K90" s="1698">
        <f t="shared" si="12"/>
        <v>0</v>
      </c>
      <c r="L90" s="530">
        <v>0</v>
      </c>
    </row>
    <row r="91" spans="1:12" ht="12.75" customHeight="1" thickTop="1" thickBot="1" x14ac:dyDescent="0.25">
      <c r="A91" s="1534" t="s">
        <v>711</v>
      </c>
      <c r="B91" s="640">
        <v>4290</v>
      </c>
      <c r="C91" s="617"/>
      <c r="D91" s="617"/>
      <c r="E91" s="639"/>
      <c r="F91" s="617"/>
      <c r="G91" s="617"/>
      <c r="H91" s="467">
        <v>2680</v>
      </c>
      <c r="I91" s="477"/>
      <c r="J91" s="477"/>
      <c r="K91" s="1698">
        <f t="shared" si="12"/>
        <v>2680</v>
      </c>
      <c r="L91" s="530">
        <v>7000</v>
      </c>
    </row>
    <row r="92" spans="1:12" ht="14.25" thickTop="1" thickBot="1" x14ac:dyDescent="0.25">
      <c r="A92" s="1701" t="s">
        <v>1641</v>
      </c>
      <c r="B92" s="1699">
        <v>4200</v>
      </c>
      <c r="C92" s="617"/>
      <c r="D92" s="617"/>
      <c r="E92" s="639"/>
      <c r="F92" s="617"/>
      <c r="G92" s="617"/>
      <c r="H92" s="1691">
        <f>SUM(H85:H91)</f>
        <v>68372</v>
      </c>
      <c r="I92" s="477"/>
      <c r="J92" s="477"/>
      <c r="K92" s="1698">
        <f t="shared" si="12"/>
        <v>68372</v>
      </c>
      <c r="L92" s="1691">
        <f>SUM(L85:L91)</f>
        <v>73500</v>
      </c>
    </row>
    <row r="93" spans="1:12" ht="14.25" thickTop="1" thickBot="1" x14ac:dyDescent="0.25">
      <c r="A93" s="1533" t="s">
        <v>712</v>
      </c>
      <c r="B93" s="641">
        <v>4310</v>
      </c>
      <c r="C93" s="617"/>
      <c r="D93" s="617"/>
      <c r="E93" s="639"/>
      <c r="F93" s="617"/>
      <c r="G93" s="617"/>
      <c r="H93" s="642">
        <v>0</v>
      </c>
      <c r="I93" s="477"/>
      <c r="J93" s="477"/>
      <c r="K93" s="1698">
        <f t="shared" si="12"/>
        <v>0</v>
      </c>
      <c r="L93" s="532">
        <v>0</v>
      </c>
    </row>
    <row r="94" spans="1:12" ht="12.75" customHeight="1" thickTop="1" thickBot="1" x14ac:dyDescent="0.25">
      <c r="A94" s="1534" t="s">
        <v>713</v>
      </c>
      <c r="B94" s="640">
        <v>4320</v>
      </c>
      <c r="C94" s="617"/>
      <c r="D94" s="617"/>
      <c r="E94" s="639"/>
      <c r="F94" s="617"/>
      <c r="G94" s="617"/>
      <c r="H94" s="467">
        <v>0</v>
      </c>
      <c r="I94" s="477"/>
      <c r="J94" s="477"/>
      <c r="K94" s="1698">
        <f t="shared" si="12"/>
        <v>0</v>
      </c>
      <c r="L94" s="530">
        <v>0</v>
      </c>
    </row>
    <row r="95" spans="1:12" ht="15" customHeight="1" thickTop="1" thickBot="1" x14ac:dyDescent="0.25">
      <c r="A95" s="1534" t="s">
        <v>1568</v>
      </c>
      <c r="B95" s="640">
        <v>4330</v>
      </c>
      <c r="C95" s="617"/>
      <c r="D95" s="617"/>
      <c r="E95" s="639"/>
      <c r="F95" s="617"/>
      <c r="G95" s="617"/>
      <c r="H95" s="467">
        <v>0</v>
      </c>
      <c r="I95" s="477"/>
      <c r="J95" s="477"/>
      <c r="K95" s="1698">
        <f t="shared" si="12"/>
        <v>0</v>
      </c>
      <c r="L95" s="530">
        <v>0</v>
      </c>
    </row>
    <row r="96" spans="1:12" ht="14.25" thickTop="1" thickBot="1" x14ac:dyDescent="0.25">
      <c r="A96" s="1534" t="s">
        <v>714</v>
      </c>
      <c r="B96" s="640">
        <v>4340</v>
      </c>
      <c r="C96" s="617"/>
      <c r="D96" s="617"/>
      <c r="E96" s="639"/>
      <c r="F96" s="617"/>
      <c r="G96" s="617"/>
      <c r="H96" s="467">
        <v>0</v>
      </c>
      <c r="I96" s="477"/>
      <c r="J96" s="477"/>
      <c r="K96" s="1698">
        <f t="shared" si="12"/>
        <v>0</v>
      </c>
      <c r="L96" s="530">
        <v>0</v>
      </c>
    </row>
    <row r="97" spans="1:14" ht="12.75" customHeight="1" thickTop="1" thickBot="1" x14ac:dyDescent="0.25">
      <c r="A97" s="1534" t="s">
        <v>787</v>
      </c>
      <c r="B97" s="640">
        <v>4370</v>
      </c>
      <c r="C97" s="617"/>
      <c r="D97" s="617"/>
      <c r="E97" s="639"/>
      <c r="F97" s="617"/>
      <c r="G97" s="617"/>
      <c r="H97" s="467">
        <v>0</v>
      </c>
      <c r="I97" s="477"/>
      <c r="J97" s="477"/>
      <c r="K97" s="1698">
        <f t="shared" si="12"/>
        <v>0</v>
      </c>
      <c r="L97" s="530">
        <v>0</v>
      </c>
    </row>
    <row r="98" spans="1:14" ht="14.25" thickTop="1" thickBot="1" x14ac:dyDescent="0.25">
      <c r="A98" s="1534" t="s">
        <v>788</v>
      </c>
      <c r="B98" s="640">
        <v>4380</v>
      </c>
      <c r="C98" s="617"/>
      <c r="D98" s="617"/>
      <c r="E98" s="643"/>
      <c r="F98" s="617"/>
      <c r="G98" s="617"/>
      <c r="H98" s="467">
        <v>0</v>
      </c>
      <c r="I98" s="477"/>
      <c r="J98" s="477"/>
      <c r="K98" s="1698">
        <f t="shared" si="12"/>
        <v>0</v>
      </c>
      <c r="L98" s="530">
        <v>0</v>
      </c>
    </row>
    <row r="99" spans="1:14" ht="14.25" thickTop="1" thickBot="1" x14ac:dyDescent="0.25">
      <c r="A99" s="1534" t="s">
        <v>385</v>
      </c>
      <c r="B99" s="640">
        <v>4390</v>
      </c>
      <c r="C99" s="617"/>
      <c r="D99" s="617"/>
      <c r="E99" s="532">
        <v>0</v>
      </c>
      <c r="F99" s="617"/>
      <c r="G99" s="617"/>
      <c r="H99" s="467">
        <v>0</v>
      </c>
      <c r="I99" s="477"/>
      <c r="J99" s="477"/>
      <c r="K99" s="1698">
        <f>SUM(E99,H99)</f>
        <v>0</v>
      </c>
      <c r="L99" s="530">
        <v>0</v>
      </c>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v>0</v>
      </c>
      <c r="F101" s="617"/>
      <c r="G101" s="617"/>
      <c r="H101" s="531">
        <v>0</v>
      </c>
      <c r="I101" s="477"/>
      <c r="J101" s="477"/>
      <c r="K101" s="1700">
        <f>SUM(C101:J101)</f>
        <v>0</v>
      </c>
      <c r="L101" s="530">
        <v>0</v>
      </c>
    </row>
    <row r="102" spans="1:14" ht="12.75" customHeight="1" thickTop="1" thickBot="1" x14ac:dyDescent="0.25">
      <c r="A102" s="1689" t="s">
        <v>1567</v>
      </c>
      <c r="B102" s="1699">
        <v>4000</v>
      </c>
      <c r="C102" s="617"/>
      <c r="D102" s="617"/>
      <c r="E102" s="1698">
        <f>SUM(E84,E92,E100,E101)</f>
        <v>20200</v>
      </c>
      <c r="F102" s="617"/>
      <c r="G102" s="617"/>
      <c r="H102" s="1698">
        <f>SUM(H84,H92,H100,H101)</f>
        <v>88608</v>
      </c>
      <c r="I102" s="477"/>
      <c r="J102" s="477"/>
      <c r="K102" s="1698">
        <f>SUM(K84,K92,K100,K101)</f>
        <v>108808</v>
      </c>
      <c r="L102" s="1698">
        <f>SUM(L84,L92,L100,L101)</f>
        <v>116000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5693290</v>
      </c>
      <c r="D114" s="1691">
        <f t="shared" ref="D114:K114" si="13">SUM(D33,D74,D75,D102,D112,D113)</f>
        <v>1115969</v>
      </c>
      <c r="E114" s="1691">
        <f t="shared" si="13"/>
        <v>499854</v>
      </c>
      <c r="F114" s="1691">
        <f t="shared" si="13"/>
        <v>676969</v>
      </c>
      <c r="G114" s="1691">
        <f t="shared" si="13"/>
        <v>107716</v>
      </c>
      <c r="H114" s="1691">
        <f>SUM(H33,H74,H75,H102,H112,H113)</f>
        <v>818591</v>
      </c>
      <c r="I114" s="1691">
        <f t="shared" si="13"/>
        <v>80664</v>
      </c>
      <c r="J114" s="1691">
        <f t="shared" si="13"/>
        <v>0</v>
      </c>
      <c r="K114" s="1691">
        <f t="shared" si="13"/>
        <v>8993053</v>
      </c>
      <c r="L114" s="1691">
        <f>SUM(L33,L74,L75,L102,L112,L113)</f>
        <v>9240082</v>
      </c>
    </row>
    <row r="115" spans="1:14" ht="13.5" thickTop="1" x14ac:dyDescent="0.2">
      <c r="A115" s="2174" t="s">
        <v>1053</v>
      </c>
      <c r="B115" s="2175"/>
      <c r="C115" s="619"/>
      <c r="D115" s="619"/>
      <c r="E115" s="619"/>
      <c r="F115" s="619"/>
      <c r="G115" s="619"/>
      <c r="H115" s="619"/>
      <c r="I115" s="619"/>
      <c r="J115" s="619"/>
      <c r="K115" s="1705">
        <f>'Revenues 9-14'!C275-'Expenditures 15-22'!K114</f>
        <v>483017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7">
        <v>0</v>
      </c>
      <c r="J120" s="467">
        <v>0</v>
      </c>
      <c r="K120" s="1692">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7">
        <v>0</v>
      </c>
      <c r="J122" s="467">
        <v>0</v>
      </c>
      <c r="K122" s="1691">
        <f>SUM(C122:J122)</f>
        <v>0</v>
      </c>
      <c r="L122" s="466">
        <v>0</v>
      </c>
    </row>
    <row r="123" spans="1:14" ht="14.25" thickTop="1" thickBot="1" x14ac:dyDescent="0.25">
      <c r="A123" s="1525" t="s">
        <v>4</v>
      </c>
      <c r="B123" s="615">
        <v>2530</v>
      </c>
      <c r="C123" s="466">
        <v>0</v>
      </c>
      <c r="D123" s="466">
        <v>0</v>
      </c>
      <c r="E123" s="466">
        <v>0</v>
      </c>
      <c r="F123" s="466">
        <v>0</v>
      </c>
      <c r="G123" s="466">
        <v>0</v>
      </c>
      <c r="H123" s="466">
        <v>0</v>
      </c>
      <c r="I123" s="467">
        <v>0</v>
      </c>
      <c r="J123" s="467">
        <v>0</v>
      </c>
      <c r="K123" s="1691">
        <f>SUM(C123:J123)</f>
        <v>0</v>
      </c>
      <c r="L123" s="466">
        <v>0</v>
      </c>
    </row>
    <row r="124" spans="1:14" ht="14.25" thickTop="1" thickBot="1" x14ac:dyDescent="0.25">
      <c r="A124" s="1525" t="s">
        <v>206</v>
      </c>
      <c r="B124" s="615">
        <v>2540</v>
      </c>
      <c r="C124" s="466">
        <v>315523</v>
      </c>
      <c r="D124" s="466">
        <v>93160</v>
      </c>
      <c r="E124" s="466">
        <v>192311</v>
      </c>
      <c r="F124" s="466">
        <v>425914</v>
      </c>
      <c r="G124" s="466">
        <v>175987</v>
      </c>
      <c r="H124" s="466">
        <v>0</v>
      </c>
      <c r="I124" s="467">
        <v>6402</v>
      </c>
      <c r="J124" s="467">
        <v>0</v>
      </c>
      <c r="K124" s="1691">
        <f>SUM(C124:J124)</f>
        <v>1209297</v>
      </c>
      <c r="L124" s="466">
        <v>1295860</v>
      </c>
    </row>
    <row r="125" spans="1:14" ht="14.25" thickTop="1" thickBot="1" x14ac:dyDescent="0.25">
      <c r="A125" s="1525" t="s">
        <v>1010</v>
      </c>
      <c r="B125" s="615">
        <v>2550</v>
      </c>
      <c r="C125" s="466">
        <v>0</v>
      </c>
      <c r="D125" s="466">
        <v>0</v>
      </c>
      <c r="E125" s="466">
        <v>0</v>
      </c>
      <c r="F125" s="466">
        <v>0</v>
      </c>
      <c r="G125" s="466">
        <v>0</v>
      </c>
      <c r="H125" s="466">
        <v>0</v>
      </c>
      <c r="I125" s="467">
        <v>0</v>
      </c>
      <c r="J125" s="467">
        <v>0</v>
      </c>
      <c r="K125" s="1691">
        <f>SUM(C125:J125)</f>
        <v>0</v>
      </c>
      <c r="L125" s="466">
        <v>0</v>
      </c>
    </row>
    <row r="126" spans="1:14" ht="14.25" thickTop="1" thickBot="1" x14ac:dyDescent="0.25">
      <c r="A126" s="1525" t="s">
        <v>102</v>
      </c>
      <c r="B126" s="615">
        <v>2560</v>
      </c>
      <c r="C126" s="655"/>
      <c r="D126" s="655"/>
      <c r="E126" s="655"/>
      <c r="F126" s="655"/>
      <c r="G126" s="466">
        <v>0</v>
      </c>
      <c r="H126" s="655"/>
      <c r="I126" s="474">
        <v>0</v>
      </c>
      <c r="J126" s="617"/>
      <c r="K126" s="1691">
        <f>SUM(C126:J126)</f>
        <v>0</v>
      </c>
      <c r="L126" s="466">
        <v>0</v>
      </c>
    </row>
    <row r="127" spans="1:14" ht="12.75" customHeight="1" thickTop="1" thickBot="1" x14ac:dyDescent="0.25">
      <c r="A127" s="1689" t="s">
        <v>743</v>
      </c>
      <c r="B127" s="1690" t="s">
        <v>35</v>
      </c>
      <c r="C127" s="1691">
        <f>SUM(C122:C126)</f>
        <v>315523</v>
      </c>
      <c r="D127" s="1691">
        <f t="shared" ref="D127:L127" si="14">SUM(D122:D126)</f>
        <v>93160</v>
      </c>
      <c r="E127" s="1691">
        <f t="shared" si="14"/>
        <v>192311</v>
      </c>
      <c r="F127" s="1691">
        <f t="shared" si="14"/>
        <v>425914</v>
      </c>
      <c r="G127" s="1691">
        <f t="shared" si="14"/>
        <v>175987</v>
      </c>
      <c r="H127" s="1691">
        <f t="shared" si="14"/>
        <v>0</v>
      </c>
      <c r="I127" s="1691">
        <f t="shared" si="14"/>
        <v>6402</v>
      </c>
      <c r="J127" s="1691">
        <f t="shared" si="14"/>
        <v>0</v>
      </c>
      <c r="K127" s="1691">
        <f t="shared" si="14"/>
        <v>1209297</v>
      </c>
      <c r="L127" s="1691">
        <f t="shared" si="14"/>
        <v>1295860</v>
      </c>
    </row>
    <row r="128" spans="1:14" ht="12.75" customHeight="1" thickTop="1" x14ac:dyDescent="0.2">
      <c r="A128" s="1532" t="s">
        <v>1037</v>
      </c>
      <c r="B128" s="656" t="s">
        <v>595</v>
      </c>
      <c r="C128" s="657">
        <v>0</v>
      </c>
      <c r="D128" s="657">
        <v>0</v>
      </c>
      <c r="E128" s="657">
        <v>0</v>
      </c>
      <c r="F128" s="657">
        <v>0</v>
      </c>
      <c r="G128" s="657">
        <v>0</v>
      </c>
      <c r="H128" s="657">
        <v>0</v>
      </c>
      <c r="I128" s="535">
        <v>0</v>
      </c>
      <c r="J128" s="535">
        <v>0</v>
      </c>
      <c r="K128" s="1706">
        <f>SUM(C128:J128)</f>
        <v>0</v>
      </c>
      <c r="L128" s="657">
        <v>0</v>
      </c>
    </row>
    <row r="129" spans="1:14" ht="12.75" customHeight="1" thickBot="1" x14ac:dyDescent="0.25">
      <c r="A129" s="1707" t="s">
        <v>865</v>
      </c>
      <c r="B129" s="1708" t="s">
        <v>590</v>
      </c>
      <c r="C129" s="1698">
        <f>SUM(C120,C127,C128)</f>
        <v>315523</v>
      </c>
      <c r="D129" s="1698">
        <f t="shared" ref="D129:L129" si="15">SUM(D120,D127,D128)</f>
        <v>93160</v>
      </c>
      <c r="E129" s="1698">
        <f t="shared" si="15"/>
        <v>192311</v>
      </c>
      <c r="F129" s="1698">
        <f t="shared" si="15"/>
        <v>425914</v>
      </c>
      <c r="G129" s="1698">
        <f t="shared" si="15"/>
        <v>175987</v>
      </c>
      <c r="H129" s="1698">
        <f t="shared" si="15"/>
        <v>0</v>
      </c>
      <c r="I129" s="1698">
        <f t="shared" si="15"/>
        <v>6402</v>
      </c>
      <c r="J129" s="1698">
        <f t="shared" si="15"/>
        <v>0</v>
      </c>
      <c r="K129" s="1698">
        <f t="shared" si="15"/>
        <v>1209297</v>
      </c>
      <c r="L129" s="1698">
        <f t="shared" si="15"/>
        <v>1295860</v>
      </c>
    </row>
    <row r="130" spans="1:14" ht="15.75" customHeight="1" thickTop="1" thickBot="1" x14ac:dyDescent="0.25">
      <c r="A130" s="1631" t="s">
        <v>1096</v>
      </c>
      <c r="B130" s="1632" t="s">
        <v>596</v>
      </c>
      <c r="C130" s="576">
        <v>0</v>
      </c>
      <c r="D130" s="576">
        <v>0</v>
      </c>
      <c r="E130" s="576">
        <v>0</v>
      </c>
      <c r="F130" s="576">
        <v>0</v>
      </c>
      <c r="G130" s="576">
        <v>0</v>
      </c>
      <c r="H130" s="576">
        <v>0</v>
      </c>
      <c r="I130" s="531">
        <v>0</v>
      </c>
      <c r="J130" s="531">
        <v>0</v>
      </c>
      <c r="K130" s="1691">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v>0</v>
      </c>
      <c r="F133" s="468"/>
      <c r="G133" s="468"/>
      <c r="H133" s="642">
        <v>0</v>
      </c>
      <c r="I133" s="468"/>
      <c r="J133" s="468"/>
      <c r="K133" s="1843">
        <f>SUM(E133,H133)</f>
        <v>0</v>
      </c>
      <c r="L133" s="642">
        <v>0</v>
      </c>
      <c r="M133" s="206"/>
      <c r="N133" s="206"/>
    </row>
    <row r="134" spans="1:14" x14ac:dyDescent="0.2">
      <c r="A134" s="1525" t="s">
        <v>322</v>
      </c>
      <c r="B134" s="615">
        <v>4120</v>
      </c>
      <c r="C134" s="617"/>
      <c r="D134" s="617"/>
      <c r="E134" s="478">
        <v>0</v>
      </c>
      <c r="F134" s="617"/>
      <c r="G134" s="617"/>
      <c r="H134" s="481">
        <v>0</v>
      </c>
      <c r="I134" s="477"/>
      <c r="J134" s="617"/>
      <c r="K134" s="1693">
        <f>SUM(E134,H134)</f>
        <v>0</v>
      </c>
      <c r="L134" s="481">
        <v>0</v>
      </c>
    </row>
    <row r="135" spans="1:14" x14ac:dyDescent="0.2">
      <c r="A135" s="1525" t="s">
        <v>721</v>
      </c>
      <c r="B135" s="615">
        <v>4140</v>
      </c>
      <c r="C135" s="617"/>
      <c r="D135" s="617"/>
      <c r="E135" s="467">
        <v>0</v>
      </c>
      <c r="F135" s="617"/>
      <c r="G135" s="617"/>
      <c r="H135" s="466">
        <v>0</v>
      </c>
      <c r="I135" s="477"/>
      <c r="J135" s="617"/>
      <c r="K135" s="1693">
        <f>SUM(E135,H135)</f>
        <v>0</v>
      </c>
      <c r="L135" s="466">
        <v>0</v>
      </c>
    </row>
    <row r="136" spans="1:14" x14ac:dyDescent="0.2">
      <c r="A136" s="1529" t="s">
        <v>722</v>
      </c>
      <c r="B136" s="629">
        <v>4190</v>
      </c>
      <c r="C136" s="617"/>
      <c r="D136" s="617"/>
      <c r="E136" s="467">
        <v>0</v>
      </c>
      <c r="F136" s="617"/>
      <c r="G136" s="617"/>
      <c r="H136" s="466">
        <v>0</v>
      </c>
      <c r="I136" s="477"/>
      <c r="J136" s="617"/>
      <c r="K136" s="1693">
        <f>SUM(E136,H136)</f>
        <v>0</v>
      </c>
      <c r="L136" s="466">
        <v>0</v>
      </c>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988</v>
      </c>
      <c r="C138" s="617"/>
      <c r="D138" s="617"/>
      <c r="E138" s="479"/>
      <c r="F138" s="617"/>
      <c r="G138" s="617"/>
      <c r="H138" s="576">
        <v>0</v>
      </c>
      <c r="I138" s="477"/>
      <c r="J138" s="617"/>
      <c r="K138" s="1693">
        <f>SUM(E138,H138)</f>
        <v>0</v>
      </c>
      <c r="L138" s="576">
        <v>0</v>
      </c>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v>0</v>
      </c>
    </row>
    <row r="143" spans="1:14" x14ac:dyDescent="0.2">
      <c r="A143" s="1525" t="s">
        <v>90</v>
      </c>
      <c r="B143" s="615">
        <v>5120</v>
      </c>
      <c r="C143" s="617"/>
      <c r="D143" s="617"/>
      <c r="E143" s="617"/>
      <c r="F143" s="617"/>
      <c r="G143" s="617"/>
      <c r="H143" s="466">
        <v>0</v>
      </c>
      <c r="I143" s="468"/>
      <c r="J143" s="617"/>
      <c r="K143" s="1693">
        <f>SUM(H143)</f>
        <v>0</v>
      </c>
      <c r="L143" s="466">
        <v>0</v>
      </c>
    </row>
    <row r="144" spans="1:14" ht="12.75" customHeight="1" x14ac:dyDescent="0.2">
      <c r="A144" s="1525" t="s">
        <v>1232</v>
      </c>
      <c r="B144" s="629" t="s">
        <v>638</v>
      </c>
      <c r="C144" s="617"/>
      <c r="D144" s="617"/>
      <c r="E144" s="617"/>
      <c r="F144" s="617"/>
      <c r="G144" s="617"/>
      <c r="H144" s="466">
        <v>0</v>
      </c>
      <c r="I144" s="468"/>
      <c r="J144" s="617"/>
      <c r="K144" s="1693">
        <f>SUM(H144)</f>
        <v>0</v>
      </c>
      <c r="L144" s="466">
        <v>0</v>
      </c>
    </row>
    <row r="145" spans="1:14" x14ac:dyDescent="0.2">
      <c r="A145" s="1525" t="s">
        <v>91</v>
      </c>
      <c r="B145" s="615" t="s">
        <v>610</v>
      </c>
      <c r="C145" s="617"/>
      <c r="D145" s="617"/>
      <c r="E145" s="617"/>
      <c r="F145" s="617"/>
      <c r="G145" s="617"/>
      <c r="H145" s="466">
        <v>0</v>
      </c>
      <c r="I145" s="468"/>
      <c r="J145" s="617"/>
      <c r="K145" s="1693">
        <f>SUM(H145)</f>
        <v>0</v>
      </c>
      <c r="L145" s="466">
        <v>0</v>
      </c>
    </row>
    <row r="146" spans="1:14" ht="12.75" customHeight="1" x14ac:dyDescent="0.2">
      <c r="A146" s="1525" t="s">
        <v>640</v>
      </c>
      <c r="B146" s="615" t="s">
        <v>639</v>
      </c>
      <c r="C146" s="617"/>
      <c r="D146" s="617"/>
      <c r="E146" s="617"/>
      <c r="F146" s="617"/>
      <c r="G146" s="617"/>
      <c r="H146" s="466">
        <v>0</v>
      </c>
      <c r="I146" s="468"/>
      <c r="J146" s="617"/>
      <c r="K146" s="1693">
        <f>SUM(H146)</f>
        <v>0</v>
      </c>
      <c r="L146" s="466">
        <v>0</v>
      </c>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v>0</v>
      </c>
      <c r="I148" s="468"/>
      <c r="J148" s="617"/>
      <c r="K148" s="1693">
        <f>SUM(H148)</f>
        <v>0</v>
      </c>
      <c r="L148" s="492">
        <v>0</v>
      </c>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v>0</v>
      </c>
    </row>
    <row r="151" spans="1:14" ht="12.75" customHeight="1" thickTop="1" thickBot="1" x14ac:dyDescent="0.25">
      <c r="A151" s="2191" t="s">
        <v>641</v>
      </c>
      <c r="B151" s="2171"/>
      <c r="C151" s="1691">
        <f>SUM(C129,C130,C139,C149,C150)</f>
        <v>315523</v>
      </c>
      <c r="D151" s="1691">
        <f t="shared" ref="D151:K151" si="16">SUM(D129,D130,D139,D149,D150)</f>
        <v>93160</v>
      </c>
      <c r="E151" s="1691">
        <f t="shared" si="16"/>
        <v>192311</v>
      </c>
      <c r="F151" s="1691">
        <f t="shared" si="16"/>
        <v>425914</v>
      </c>
      <c r="G151" s="1691">
        <f t="shared" si="16"/>
        <v>175987</v>
      </c>
      <c r="H151" s="1691">
        <f t="shared" si="16"/>
        <v>0</v>
      </c>
      <c r="I151" s="1691">
        <f t="shared" si="16"/>
        <v>6402</v>
      </c>
      <c r="J151" s="1691">
        <f t="shared" si="16"/>
        <v>0</v>
      </c>
      <c r="K151" s="1691">
        <f t="shared" si="16"/>
        <v>1209297</v>
      </c>
      <c r="L151" s="1691">
        <f>SUM(L129,L130,L139,L149,L150)</f>
        <v>1295860</v>
      </c>
    </row>
    <row r="152" spans="1:14" ht="12.75" customHeight="1" thickTop="1" x14ac:dyDescent="0.2">
      <c r="A152" s="2194" t="s">
        <v>1240</v>
      </c>
      <c r="B152" s="2195"/>
      <c r="C152" s="619"/>
      <c r="D152" s="619"/>
      <c r="E152" s="619"/>
      <c r="F152" s="619"/>
      <c r="G152" s="619"/>
      <c r="H152" s="619"/>
      <c r="I152" s="619"/>
      <c r="J152" s="617"/>
      <c r="K152" s="1705">
        <f>'Revenues 9-14'!D275-'Expenditures 15-22'!K151</f>
        <v>-252115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v>0</v>
      </c>
      <c r="I157" s="617"/>
      <c r="J157" s="617"/>
      <c r="K157" s="1692">
        <f>H157</f>
        <v>0</v>
      </c>
      <c r="L157" s="467">
        <v>0</v>
      </c>
      <c r="M157" s="620"/>
      <c r="N157" s="620"/>
    </row>
    <row r="158" spans="1:14" s="621" customFormat="1" ht="12" x14ac:dyDescent="0.2">
      <c r="A158" s="1848" t="s">
        <v>322</v>
      </c>
      <c r="B158" s="1849" t="s">
        <v>1959</v>
      </c>
      <c r="C158" s="617"/>
      <c r="D158" s="617"/>
      <c r="E158" s="617"/>
      <c r="F158" s="617"/>
      <c r="G158" s="617"/>
      <c r="H158" s="467">
        <v>0</v>
      </c>
      <c r="I158" s="617"/>
      <c r="J158" s="617"/>
      <c r="K158" s="1692">
        <f>H158</f>
        <v>0</v>
      </c>
      <c r="L158" s="467">
        <v>0</v>
      </c>
      <c r="M158" s="620"/>
      <c r="N158" s="620"/>
    </row>
    <row r="159" spans="1:14" s="621" customFormat="1" ht="12" x14ac:dyDescent="0.2">
      <c r="A159" s="1848" t="s">
        <v>1960</v>
      </c>
      <c r="B159" s="1849" t="s">
        <v>579</v>
      </c>
      <c r="C159" s="617"/>
      <c r="D159" s="617"/>
      <c r="E159" s="617"/>
      <c r="F159" s="617"/>
      <c r="G159" s="617"/>
      <c r="H159" s="467">
        <v>0</v>
      </c>
      <c r="I159" s="617"/>
      <c r="J159" s="617"/>
      <c r="K159" s="1692">
        <f>H159</f>
        <v>0</v>
      </c>
      <c r="L159" s="467">
        <v>0</v>
      </c>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v>0</v>
      </c>
    </row>
    <row r="164" spans="1:14" x14ac:dyDescent="0.2">
      <c r="A164" s="1525" t="s">
        <v>90</v>
      </c>
      <c r="B164" s="615">
        <v>5120</v>
      </c>
      <c r="C164" s="617"/>
      <c r="D164" s="617"/>
      <c r="E164" s="617"/>
      <c r="F164" s="617"/>
      <c r="G164" s="617"/>
      <c r="H164" s="466">
        <v>0</v>
      </c>
      <c r="I164" s="617"/>
      <c r="J164" s="617"/>
      <c r="K164" s="1692">
        <f>SUM(C164:J164)</f>
        <v>0</v>
      </c>
      <c r="L164" s="466">
        <v>0</v>
      </c>
    </row>
    <row r="165" spans="1:14" ht="12.75" customHeight="1" x14ac:dyDescent="0.2">
      <c r="A165" s="1525" t="s">
        <v>1232</v>
      </c>
      <c r="B165" s="615" t="s">
        <v>638</v>
      </c>
      <c r="C165" s="617"/>
      <c r="D165" s="617"/>
      <c r="E165" s="617"/>
      <c r="F165" s="617"/>
      <c r="G165" s="617"/>
      <c r="H165" s="466">
        <v>0</v>
      </c>
      <c r="I165" s="617"/>
      <c r="J165" s="617"/>
      <c r="K165" s="1692">
        <f>SUM(C165:J165)</f>
        <v>0</v>
      </c>
      <c r="L165" s="466">
        <v>0</v>
      </c>
    </row>
    <row r="166" spans="1:14" x14ac:dyDescent="0.2">
      <c r="A166" s="1525" t="s">
        <v>91</v>
      </c>
      <c r="B166" s="629" t="s">
        <v>610</v>
      </c>
      <c r="C166" s="617"/>
      <c r="D166" s="617"/>
      <c r="E166" s="617"/>
      <c r="F166" s="617"/>
      <c r="G166" s="617"/>
      <c r="H166" s="466">
        <v>0</v>
      </c>
      <c r="I166" s="617"/>
      <c r="J166" s="617"/>
      <c r="K166" s="1692">
        <f>SUM(C166:J166)</f>
        <v>0</v>
      </c>
      <c r="L166" s="466">
        <v>0</v>
      </c>
    </row>
    <row r="167" spans="1:14" ht="12.75" customHeight="1" x14ac:dyDescent="0.2">
      <c r="A167" s="1525" t="s">
        <v>640</v>
      </c>
      <c r="B167" s="615" t="s">
        <v>639</v>
      </c>
      <c r="C167" s="617"/>
      <c r="D167" s="617"/>
      <c r="E167" s="617"/>
      <c r="F167" s="617"/>
      <c r="G167" s="617"/>
      <c r="H167" s="466">
        <v>0</v>
      </c>
      <c r="I167" s="617"/>
      <c r="J167" s="617"/>
      <c r="K167" s="1692">
        <f>SUM(C167:J167)</f>
        <v>0</v>
      </c>
      <c r="L167" s="466">
        <v>0</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1938985</v>
      </c>
      <c r="I169" s="617"/>
      <c r="J169" s="617"/>
      <c r="K169" s="1692">
        <f>SUM(C169:H169)</f>
        <v>1938985</v>
      </c>
      <c r="L169" s="657">
        <v>1938984</v>
      </c>
    </row>
    <row r="170" spans="1:14" ht="33.75" customHeight="1" x14ac:dyDescent="0.2">
      <c r="A170" s="670" t="s">
        <v>1769</v>
      </c>
      <c r="B170" s="672" t="s">
        <v>31</v>
      </c>
      <c r="C170" s="617"/>
      <c r="D170" s="617"/>
      <c r="E170" s="617"/>
      <c r="F170" s="617"/>
      <c r="G170" s="617"/>
      <c r="H170" s="569">
        <v>606015</v>
      </c>
      <c r="I170" s="617"/>
      <c r="J170" s="617"/>
      <c r="K170" s="1692">
        <f>SUM(C170:J170)</f>
        <v>606015</v>
      </c>
      <c r="L170" s="569">
        <v>606016</v>
      </c>
    </row>
    <row r="171" spans="1:14" ht="15.75" customHeight="1" x14ac:dyDescent="0.2">
      <c r="A171" s="622" t="s">
        <v>790</v>
      </c>
      <c r="B171" s="673" t="s">
        <v>86</v>
      </c>
      <c r="C171" s="617"/>
      <c r="D171" s="617"/>
      <c r="E171" s="466">
        <v>0</v>
      </c>
      <c r="F171" s="617"/>
      <c r="G171" s="617"/>
      <c r="H171" s="569">
        <v>0</v>
      </c>
      <c r="I171" s="477"/>
      <c r="J171" s="617"/>
      <c r="K171" s="1692">
        <f>SUM(C171:J171)</f>
        <v>0</v>
      </c>
      <c r="L171" s="569">
        <v>0</v>
      </c>
    </row>
    <row r="172" spans="1:14" ht="12.75" customHeight="1" thickBot="1" x14ac:dyDescent="0.25">
      <c r="A172" s="1689" t="s">
        <v>659</v>
      </c>
      <c r="B172" s="1690" t="s">
        <v>513</v>
      </c>
      <c r="C172" s="617"/>
      <c r="D172" s="617"/>
      <c r="E172" s="1698">
        <f>SUM(E168,E169,E170,E171)</f>
        <v>0</v>
      </c>
      <c r="F172" s="617"/>
      <c r="G172" s="617"/>
      <c r="H172" s="1698">
        <f>SUM(H168,H169,H170,H171)</f>
        <v>2545000</v>
      </c>
      <c r="I172" s="639"/>
      <c r="J172" s="617"/>
      <c r="K172" s="1698">
        <f>SUM(K168,K169,K170,K171)</f>
        <v>2545000</v>
      </c>
      <c r="L172" s="1698">
        <f>SUM(L168,L169,L170,L171)</f>
        <v>2545000</v>
      </c>
    </row>
    <row r="173" spans="1:14" ht="15.75" customHeight="1" thickTop="1" thickBot="1" x14ac:dyDescent="0.25">
      <c r="A173" s="1640" t="s">
        <v>87</v>
      </c>
      <c r="B173" s="1632" t="s">
        <v>916</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2545000</v>
      </c>
      <c r="I174" s="639"/>
      <c r="J174" s="617"/>
      <c r="K174" s="1698">
        <f>SUM(K160,K172,K173)</f>
        <v>2545000</v>
      </c>
      <c r="L174" s="1698">
        <f>SUM(L160,L172,L173)</f>
        <v>2545000</v>
      </c>
    </row>
    <row r="175" spans="1:14" ht="13.5" thickTop="1" x14ac:dyDescent="0.2">
      <c r="A175" s="2174" t="s">
        <v>1053</v>
      </c>
      <c r="B175" s="2175"/>
      <c r="C175" s="617"/>
      <c r="D175" s="617"/>
      <c r="E175" s="617"/>
      <c r="F175" s="617"/>
      <c r="G175" s="617"/>
      <c r="H175" s="619"/>
      <c r="I175" s="617"/>
      <c r="J175" s="617"/>
      <c r="K175" s="1705">
        <f>'Revenues 9-14'!E275-'Expenditures 15-22'!K174</f>
        <v>-7367</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v>0</v>
      </c>
      <c r="D180" s="466">
        <v>0</v>
      </c>
      <c r="E180" s="466">
        <v>0</v>
      </c>
      <c r="F180" s="466">
        <v>0</v>
      </c>
      <c r="G180" s="466">
        <v>0</v>
      </c>
      <c r="H180" s="466">
        <v>0</v>
      </c>
      <c r="I180" s="467">
        <v>0</v>
      </c>
      <c r="J180" s="467">
        <v>0</v>
      </c>
      <c r="K180" s="1692">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311253</v>
      </c>
      <c r="D182" s="466">
        <v>35193</v>
      </c>
      <c r="E182" s="466">
        <v>74512</v>
      </c>
      <c r="F182" s="466">
        <v>107882</v>
      </c>
      <c r="G182" s="466">
        <v>0</v>
      </c>
      <c r="H182" s="466">
        <v>0</v>
      </c>
      <c r="I182" s="467">
        <v>20398</v>
      </c>
      <c r="J182" s="467">
        <v>0</v>
      </c>
      <c r="K182" s="1692">
        <f>SUM(C182:J182)</f>
        <v>549238</v>
      </c>
      <c r="L182" s="466">
        <v>573263</v>
      </c>
    </row>
    <row r="183" spans="1:14" ht="12.75" customHeight="1" thickBot="1" x14ac:dyDescent="0.25">
      <c r="A183" s="1530" t="s">
        <v>1037</v>
      </c>
      <c r="B183" s="678">
        <v>2900</v>
      </c>
      <c r="C183" s="573">
        <v>0</v>
      </c>
      <c r="D183" s="573">
        <v>0</v>
      </c>
      <c r="E183" s="573">
        <v>0</v>
      </c>
      <c r="F183" s="573">
        <v>0</v>
      </c>
      <c r="G183" s="573">
        <v>0</v>
      </c>
      <c r="H183" s="573">
        <v>0</v>
      </c>
      <c r="I183" s="532">
        <v>0</v>
      </c>
      <c r="J183" s="532">
        <v>0</v>
      </c>
      <c r="K183" s="1698">
        <f>SUM(C183:J183)</f>
        <v>0</v>
      </c>
      <c r="L183" s="573">
        <v>0</v>
      </c>
    </row>
    <row r="184" spans="1:14" ht="12.75" customHeight="1" thickTop="1" thickBot="1" x14ac:dyDescent="0.25">
      <c r="A184" s="1712" t="s">
        <v>865</v>
      </c>
      <c r="B184" s="1690" t="s">
        <v>590</v>
      </c>
      <c r="C184" s="1698">
        <f>SUM(C180,C182,C183)</f>
        <v>311253</v>
      </c>
      <c r="D184" s="1698">
        <f t="shared" ref="D184:J184" si="17">SUM(D180,D182,D183)</f>
        <v>35193</v>
      </c>
      <c r="E184" s="1698">
        <f t="shared" si="17"/>
        <v>74512</v>
      </c>
      <c r="F184" s="1698">
        <f t="shared" si="17"/>
        <v>107882</v>
      </c>
      <c r="G184" s="1698">
        <f t="shared" si="17"/>
        <v>0</v>
      </c>
      <c r="H184" s="1698">
        <f t="shared" si="17"/>
        <v>0</v>
      </c>
      <c r="I184" s="1698">
        <f t="shared" si="17"/>
        <v>20398</v>
      </c>
      <c r="J184" s="1698">
        <f t="shared" si="17"/>
        <v>0</v>
      </c>
      <c r="K184" s="1698">
        <f>SUM(K180,K182,K183)</f>
        <v>549238</v>
      </c>
      <c r="L184" s="1698">
        <f>SUM(L180, L182:L183)</f>
        <v>573263</v>
      </c>
    </row>
    <row r="185" spans="1:14" ht="15.75" customHeight="1" thickTop="1" thickBot="1" x14ac:dyDescent="0.25">
      <c r="A185" s="1643" t="s">
        <v>996</v>
      </c>
      <c r="B185" s="1632">
        <v>3000</v>
      </c>
      <c r="C185" s="576">
        <v>0</v>
      </c>
      <c r="D185" s="576">
        <v>0</v>
      </c>
      <c r="E185" s="576">
        <v>0</v>
      </c>
      <c r="F185" s="576">
        <v>0</v>
      </c>
      <c r="G185" s="576">
        <v>0</v>
      </c>
      <c r="H185" s="576">
        <v>0</v>
      </c>
      <c r="I185" s="531">
        <v>0</v>
      </c>
      <c r="J185" s="531">
        <v>0</v>
      </c>
      <c r="K185" s="1691">
        <f>SUM(C185:J185)</f>
        <v>0</v>
      </c>
      <c r="L185" s="576">
        <v>0</v>
      </c>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v>0</v>
      </c>
      <c r="F188" s="617"/>
      <c r="G188" s="617"/>
      <c r="H188" s="466">
        <v>0</v>
      </c>
      <c r="I188" s="477"/>
      <c r="J188" s="617"/>
      <c r="K188" s="1692">
        <f t="shared" ref="K188:K193" si="18">SUM(E188,H188)</f>
        <v>0</v>
      </c>
      <c r="L188" s="466">
        <v>0</v>
      </c>
    </row>
    <row r="189" spans="1:14" x14ac:dyDescent="0.2">
      <c r="A189" s="1525" t="s">
        <v>322</v>
      </c>
      <c r="B189" s="615">
        <v>4120</v>
      </c>
      <c r="C189" s="617"/>
      <c r="D189" s="617"/>
      <c r="E189" s="466">
        <v>0</v>
      </c>
      <c r="F189" s="617"/>
      <c r="G189" s="617"/>
      <c r="H189" s="466">
        <v>0</v>
      </c>
      <c r="I189" s="477"/>
      <c r="J189" s="617"/>
      <c r="K189" s="1692">
        <f t="shared" si="18"/>
        <v>0</v>
      </c>
      <c r="L189" s="466">
        <v>1000</v>
      </c>
    </row>
    <row r="190" spans="1:14" x14ac:dyDescent="0.2">
      <c r="A190" s="1525" t="s">
        <v>323</v>
      </c>
      <c r="B190" s="629">
        <v>4130</v>
      </c>
      <c r="C190" s="617"/>
      <c r="D190" s="617"/>
      <c r="E190" s="466">
        <v>0</v>
      </c>
      <c r="F190" s="617"/>
      <c r="G190" s="617"/>
      <c r="H190" s="466">
        <v>0</v>
      </c>
      <c r="I190" s="477"/>
      <c r="J190" s="617"/>
      <c r="K190" s="1692">
        <f t="shared" si="18"/>
        <v>0</v>
      </c>
      <c r="L190" s="466">
        <v>0</v>
      </c>
    </row>
    <row r="191" spans="1:14" x14ac:dyDescent="0.2">
      <c r="A191" s="1525" t="s">
        <v>721</v>
      </c>
      <c r="B191" s="615">
        <v>4140</v>
      </c>
      <c r="C191" s="617"/>
      <c r="D191" s="617"/>
      <c r="E191" s="466">
        <v>0</v>
      </c>
      <c r="F191" s="617"/>
      <c r="G191" s="617"/>
      <c r="H191" s="466">
        <v>0</v>
      </c>
      <c r="I191" s="477"/>
      <c r="J191" s="617"/>
      <c r="K191" s="1692">
        <f t="shared" si="18"/>
        <v>0</v>
      </c>
      <c r="L191" s="466">
        <v>0</v>
      </c>
    </row>
    <row r="192" spans="1:14" x14ac:dyDescent="0.2">
      <c r="A192" s="1525" t="s">
        <v>88</v>
      </c>
      <c r="B192" s="615">
        <v>4170</v>
      </c>
      <c r="C192" s="617"/>
      <c r="D192" s="617"/>
      <c r="E192" s="466">
        <v>0</v>
      </c>
      <c r="F192" s="617"/>
      <c r="G192" s="617"/>
      <c r="H192" s="466">
        <v>0</v>
      </c>
      <c r="I192" s="477"/>
      <c r="J192" s="617"/>
      <c r="K192" s="1692">
        <f t="shared" si="18"/>
        <v>0</v>
      </c>
      <c r="L192" s="466">
        <v>0</v>
      </c>
    </row>
    <row r="193" spans="1:14" x14ac:dyDescent="0.2">
      <c r="A193" s="1529" t="s">
        <v>722</v>
      </c>
      <c r="B193" s="629">
        <v>4190</v>
      </c>
      <c r="C193" s="617"/>
      <c r="D193" s="617"/>
      <c r="E193" s="466">
        <v>0</v>
      </c>
      <c r="F193" s="617"/>
      <c r="G193" s="617"/>
      <c r="H193" s="466">
        <v>0</v>
      </c>
      <c r="I193" s="477"/>
      <c r="J193" s="617"/>
      <c r="K193" s="1692">
        <f t="shared" si="18"/>
        <v>0</v>
      </c>
      <c r="L193" s="466">
        <v>0</v>
      </c>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1000</v>
      </c>
    </row>
    <row r="195" spans="1:14" ht="15.75" customHeight="1" thickTop="1" x14ac:dyDescent="0.2">
      <c r="A195" s="670" t="s">
        <v>94</v>
      </c>
      <c r="B195" s="679" t="s">
        <v>988</v>
      </c>
      <c r="C195" s="617"/>
      <c r="D195" s="617"/>
      <c r="E195" s="657">
        <v>0</v>
      </c>
      <c r="F195" s="617"/>
      <c r="G195" s="617"/>
      <c r="H195" s="657">
        <v>0</v>
      </c>
      <c r="I195" s="477"/>
      <c r="J195" s="617"/>
      <c r="K195" s="1706">
        <f>SUM(E195,H195)</f>
        <v>0</v>
      </c>
      <c r="L195" s="657">
        <v>0</v>
      </c>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1000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v>0</v>
      </c>
      <c r="I199" s="617"/>
      <c r="J199" s="617"/>
      <c r="K199" s="1692">
        <f>SUM(H199)</f>
        <v>0</v>
      </c>
      <c r="L199" s="466">
        <v>0</v>
      </c>
    </row>
    <row r="200" spans="1:14" x14ac:dyDescent="0.2">
      <c r="A200" s="1525" t="s">
        <v>90</v>
      </c>
      <c r="B200" s="615">
        <v>5120</v>
      </c>
      <c r="C200" s="617"/>
      <c r="D200" s="617"/>
      <c r="E200" s="617"/>
      <c r="F200" s="617"/>
      <c r="G200" s="617"/>
      <c r="H200" s="466">
        <v>0</v>
      </c>
      <c r="I200" s="617"/>
      <c r="J200" s="617"/>
      <c r="K200" s="1692">
        <f>SUM(H200)</f>
        <v>0</v>
      </c>
      <c r="L200" s="466">
        <v>0</v>
      </c>
    </row>
    <row r="201" spans="1:14" ht="12.75" customHeight="1" x14ac:dyDescent="0.2">
      <c r="A201" s="1525" t="s">
        <v>1232</v>
      </c>
      <c r="B201" s="629" t="s">
        <v>638</v>
      </c>
      <c r="C201" s="617"/>
      <c r="D201" s="617"/>
      <c r="E201" s="617"/>
      <c r="F201" s="617"/>
      <c r="G201" s="617"/>
      <c r="H201" s="466">
        <v>0</v>
      </c>
      <c r="I201" s="617"/>
      <c r="J201" s="617"/>
      <c r="K201" s="1692">
        <f>SUM(H201)</f>
        <v>0</v>
      </c>
      <c r="L201" s="466">
        <v>0</v>
      </c>
    </row>
    <row r="202" spans="1:14" x14ac:dyDescent="0.2">
      <c r="A202" s="1525" t="s">
        <v>91</v>
      </c>
      <c r="B202" s="615" t="s">
        <v>610</v>
      </c>
      <c r="C202" s="617"/>
      <c r="D202" s="617"/>
      <c r="E202" s="617"/>
      <c r="F202" s="617"/>
      <c r="G202" s="617"/>
      <c r="H202" s="466">
        <v>0</v>
      </c>
      <c r="I202" s="617"/>
      <c r="J202" s="617"/>
      <c r="K202" s="1692">
        <f>SUM(H202)</f>
        <v>0</v>
      </c>
      <c r="L202" s="466">
        <v>0</v>
      </c>
    </row>
    <row r="203" spans="1:14" x14ac:dyDescent="0.2">
      <c r="A203" s="1537" t="s">
        <v>640</v>
      </c>
      <c r="B203" s="615" t="s">
        <v>639</v>
      </c>
      <c r="C203" s="617"/>
      <c r="D203" s="617"/>
      <c r="E203" s="617"/>
      <c r="F203" s="617"/>
      <c r="G203" s="617"/>
      <c r="H203" s="471">
        <v>0</v>
      </c>
      <c r="I203" s="617"/>
      <c r="J203" s="617"/>
      <c r="K203" s="1692">
        <f>SUM(H203)</f>
        <v>0</v>
      </c>
      <c r="L203" s="471">
        <v>0</v>
      </c>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0</v>
      </c>
      <c r="I205" s="617"/>
      <c r="J205" s="617"/>
      <c r="K205" s="1706">
        <f>SUM(H205)</f>
        <v>0</v>
      </c>
      <c r="L205" s="535">
        <v>0</v>
      </c>
    </row>
    <row r="206" spans="1:14" ht="30" customHeight="1" x14ac:dyDescent="0.2">
      <c r="A206" s="682" t="s">
        <v>1770</v>
      </c>
      <c r="B206" s="673" t="s">
        <v>31</v>
      </c>
      <c r="C206" s="617"/>
      <c r="D206" s="617"/>
      <c r="E206" s="617"/>
      <c r="F206" s="617"/>
      <c r="G206" s="617"/>
      <c r="H206" s="466">
        <v>0</v>
      </c>
      <c r="I206" s="617"/>
      <c r="J206" s="617"/>
      <c r="K206" s="1692">
        <f>SUM(H206)</f>
        <v>0</v>
      </c>
      <c r="L206" s="466">
        <v>0</v>
      </c>
    </row>
    <row r="207" spans="1:14" ht="15.75" customHeight="1" x14ac:dyDescent="0.2">
      <c r="A207" s="622" t="s">
        <v>790</v>
      </c>
      <c r="B207" s="673" t="s">
        <v>86</v>
      </c>
      <c r="C207" s="617"/>
      <c r="D207" s="617"/>
      <c r="E207" s="617"/>
      <c r="F207" s="617"/>
      <c r="G207" s="617"/>
      <c r="H207" s="467">
        <v>0</v>
      </c>
      <c r="I207" s="617"/>
      <c r="J207" s="617"/>
      <c r="K207" s="1692">
        <f>H207</f>
        <v>0</v>
      </c>
      <c r="L207" s="466">
        <v>0</v>
      </c>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3" t="s">
        <v>295</v>
      </c>
      <c r="B210" s="1714"/>
      <c r="C210" s="1691">
        <f>SUM(C184,C185)</f>
        <v>311253</v>
      </c>
      <c r="D210" s="1691">
        <f>SUM(D184,D185)</f>
        <v>35193</v>
      </c>
      <c r="E210" s="1691">
        <f>SUM(E184,E185,E196)</f>
        <v>74512</v>
      </c>
      <c r="F210" s="1691">
        <f>SUM(F184,F185)</f>
        <v>107882</v>
      </c>
      <c r="G210" s="1691">
        <f>SUM(G184,G185)</f>
        <v>0</v>
      </c>
      <c r="H210" s="1691">
        <f>SUM(H184,H185,H196,H208,H209)</f>
        <v>0</v>
      </c>
      <c r="I210" s="1691">
        <f>SUM(I184,I185)</f>
        <v>20398</v>
      </c>
      <c r="J210" s="1691">
        <f>SUM(J184,J185)</f>
        <v>0</v>
      </c>
      <c r="K210" s="1692">
        <f>SUM(K184,K185,K196,K208,K209)</f>
        <v>549238</v>
      </c>
      <c r="L210" s="1691">
        <f>SUM(L184,L185,L196,L208,L209)</f>
        <v>574263</v>
      </c>
    </row>
    <row r="211" spans="1:14" ht="13.5" thickTop="1" x14ac:dyDescent="0.2">
      <c r="A211" s="2174" t="s">
        <v>1053</v>
      </c>
      <c r="B211" s="2175"/>
      <c r="C211" s="619"/>
      <c r="D211" s="619"/>
      <c r="E211" s="619"/>
      <c r="F211" s="619"/>
      <c r="G211" s="619"/>
      <c r="H211" s="619"/>
      <c r="I211" s="617"/>
      <c r="J211" s="617"/>
      <c r="K211" s="1705">
        <f>'Revenues 9-14'!F275-'Expenditures 15-22'!K210</f>
        <v>101450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39532</v>
      </c>
      <c r="E215" s="617"/>
      <c r="F215" s="617"/>
      <c r="G215" s="617"/>
      <c r="H215" s="617"/>
      <c r="I215" s="617"/>
      <c r="J215" s="617"/>
      <c r="K215" s="1692">
        <f>D215</f>
        <v>39532</v>
      </c>
      <c r="L215" s="466">
        <v>39220</v>
      </c>
    </row>
    <row r="216" spans="1:14" x14ac:dyDescent="0.2">
      <c r="A216" s="1525" t="s">
        <v>165</v>
      </c>
      <c r="B216" s="615" t="s">
        <v>1024</v>
      </c>
      <c r="C216" s="617"/>
      <c r="D216" s="467">
        <v>0</v>
      </c>
      <c r="E216" s="617"/>
      <c r="F216" s="617"/>
      <c r="G216" s="617"/>
      <c r="H216" s="617"/>
      <c r="I216" s="617"/>
      <c r="J216" s="617"/>
      <c r="K216" s="1692">
        <f t="shared" ref="K216:K228" si="19">D216</f>
        <v>0</v>
      </c>
      <c r="L216" s="466">
        <v>0</v>
      </c>
    </row>
    <row r="217" spans="1:14" x14ac:dyDescent="0.2">
      <c r="A217" s="1525" t="s">
        <v>166</v>
      </c>
      <c r="B217" s="615">
        <v>1200</v>
      </c>
      <c r="C217" s="617"/>
      <c r="D217" s="466">
        <v>20460</v>
      </c>
      <c r="E217" s="617"/>
      <c r="F217" s="617"/>
      <c r="G217" s="617"/>
      <c r="H217" s="617"/>
      <c r="I217" s="617"/>
      <c r="J217" s="617"/>
      <c r="K217" s="1692">
        <f t="shared" si="19"/>
        <v>20460</v>
      </c>
      <c r="L217" s="466">
        <v>22235</v>
      </c>
    </row>
    <row r="218" spans="1:14" x14ac:dyDescent="0.2">
      <c r="A218" s="1525" t="s">
        <v>296</v>
      </c>
      <c r="B218" s="615" t="s">
        <v>1025</v>
      </c>
      <c r="C218" s="617"/>
      <c r="D218" s="467">
        <v>0</v>
      </c>
      <c r="E218" s="617"/>
      <c r="F218" s="617"/>
      <c r="G218" s="617"/>
      <c r="H218" s="617"/>
      <c r="I218" s="617"/>
      <c r="J218" s="617"/>
      <c r="K218" s="1692">
        <f t="shared" si="19"/>
        <v>0</v>
      </c>
      <c r="L218" s="466">
        <v>0</v>
      </c>
    </row>
    <row r="219" spans="1:14" x14ac:dyDescent="0.2">
      <c r="A219" s="1525" t="s">
        <v>297</v>
      </c>
      <c r="B219" s="615">
        <v>1250</v>
      </c>
      <c r="C219" s="617"/>
      <c r="D219" s="466">
        <v>4689</v>
      </c>
      <c r="E219" s="617"/>
      <c r="F219" s="617"/>
      <c r="G219" s="617"/>
      <c r="H219" s="617"/>
      <c r="I219" s="617"/>
      <c r="J219" s="617"/>
      <c r="K219" s="1692">
        <f t="shared" si="19"/>
        <v>4689</v>
      </c>
      <c r="L219" s="466">
        <v>5575</v>
      </c>
    </row>
    <row r="220" spans="1:14" x14ac:dyDescent="0.2">
      <c r="A220" s="1525" t="s">
        <v>298</v>
      </c>
      <c r="B220" s="615" t="s">
        <v>163</v>
      </c>
      <c r="C220" s="617"/>
      <c r="D220" s="467">
        <v>0</v>
      </c>
      <c r="E220" s="617"/>
      <c r="F220" s="617"/>
      <c r="G220" s="617"/>
      <c r="H220" s="617"/>
      <c r="I220" s="617"/>
      <c r="J220" s="617"/>
      <c r="K220" s="1692">
        <f t="shared" si="19"/>
        <v>0</v>
      </c>
      <c r="L220" s="466">
        <v>0</v>
      </c>
    </row>
    <row r="221" spans="1:14" x14ac:dyDescent="0.2">
      <c r="A221" s="1525" t="s">
        <v>1019</v>
      </c>
      <c r="B221" s="615">
        <v>1300</v>
      </c>
      <c r="C221" s="617"/>
      <c r="D221" s="466">
        <v>0</v>
      </c>
      <c r="E221" s="617"/>
      <c r="F221" s="617"/>
      <c r="G221" s="617"/>
      <c r="H221" s="617"/>
      <c r="I221" s="617"/>
      <c r="J221" s="617"/>
      <c r="K221" s="1692">
        <f t="shared" si="19"/>
        <v>0</v>
      </c>
      <c r="L221" s="466">
        <v>0</v>
      </c>
    </row>
    <row r="222" spans="1:14" x14ac:dyDescent="0.2">
      <c r="A222" s="1525" t="s">
        <v>747</v>
      </c>
      <c r="B222" s="615">
        <v>1400</v>
      </c>
      <c r="C222" s="617"/>
      <c r="D222" s="466">
        <v>6826</v>
      </c>
      <c r="E222" s="617"/>
      <c r="F222" s="617"/>
      <c r="G222" s="617"/>
      <c r="H222" s="617"/>
      <c r="I222" s="617"/>
      <c r="J222" s="617"/>
      <c r="K222" s="1692">
        <f t="shared" si="19"/>
        <v>6826</v>
      </c>
      <c r="L222" s="466">
        <v>7000</v>
      </c>
    </row>
    <row r="223" spans="1:14" x14ac:dyDescent="0.2">
      <c r="A223" s="1525" t="s">
        <v>1020</v>
      </c>
      <c r="B223" s="615">
        <v>1500</v>
      </c>
      <c r="C223" s="617"/>
      <c r="D223" s="466">
        <v>16478</v>
      </c>
      <c r="E223" s="617"/>
      <c r="F223" s="617"/>
      <c r="G223" s="617"/>
      <c r="H223" s="617"/>
      <c r="I223" s="617"/>
      <c r="J223" s="617"/>
      <c r="K223" s="1692">
        <f t="shared" si="19"/>
        <v>16478</v>
      </c>
      <c r="L223" s="466">
        <v>17010</v>
      </c>
    </row>
    <row r="224" spans="1:14" x14ac:dyDescent="0.2">
      <c r="A224" s="1525" t="s">
        <v>1021</v>
      </c>
      <c r="B224" s="615">
        <v>1600</v>
      </c>
      <c r="C224" s="617"/>
      <c r="D224" s="466">
        <v>317</v>
      </c>
      <c r="E224" s="617"/>
      <c r="F224" s="617"/>
      <c r="G224" s="617"/>
      <c r="H224" s="617"/>
      <c r="I224" s="617"/>
      <c r="J224" s="617"/>
      <c r="K224" s="1692">
        <f t="shared" si="19"/>
        <v>317</v>
      </c>
      <c r="L224" s="466">
        <v>462</v>
      </c>
    </row>
    <row r="225" spans="1:12" x14ac:dyDescent="0.2">
      <c r="A225" s="1525" t="s">
        <v>1044</v>
      </c>
      <c r="B225" s="615">
        <v>1650</v>
      </c>
      <c r="C225" s="617"/>
      <c r="D225" s="466">
        <v>0</v>
      </c>
      <c r="E225" s="617"/>
      <c r="F225" s="617"/>
      <c r="G225" s="617"/>
      <c r="H225" s="617"/>
      <c r="I225" s="617"/>
      <c r="J225" s="617"/>
      <c r="K225" s="1692">
        <f t="shared" si="19"/>
        <v>0</v>
      </c>
      <c r="L225" s="466">
        <v>0</v>
      </c>
    </row>
    <row r="226" spans="1:12" x14ac:dyDescent="0.2">
      <c r="A226" s="1525" t="s">
        <v>748</v>
      </c>
      <c r="B226" s="615" t="s">
        <v>164</v>
      </c>
      <c r="C226" s="617"/>
      <c r="D226" s="467">
        <v>1784</v>
      </c>
      <c r="E226" s="617"/>
      <c r="F226" s="617"/>
      <c r="G226" s="617"/>
      <c r="H226" s="617"/>
      <c r="I226" s="617"/>
      <c r="J226" s="617"/>
      <c r="K226" s="1692">
        <f t="shared" si="19"/>
        <v>1784</v>
      </c>
      <c r="L226" s="466">
        <v>2175</v>
      </c>
    </row>
    <row r="227" spans="1:12" x14ac:dyDescent="0.2">
      <c r="A227" s="1525" t="s">
        <v>1148</v>
      </c>
      <c r="B227" s="615">
        <v>1800</v>
      </c>
      <c r="C227" s="617"/>
      <c r="D227" s="466">
        <v>0</v>
      </c>
      <c r="E227" s="617"/>
      <c r="F227" s="617"/>
      <c r="G227" s="617"/>
      <c r="H227" s="617"/>
      <c r="I227" s="617"/>
      <c r="J227" s="617"/>
      <c r="K227" s="1692">
        <f t="shared" si="19"/>
        <v>0</v>
      </c>
      <c r="L227" s="466">
        <v>0</v>
      </c>
    </row>
    <row r="228" spans="1:12" x14ac:dyDescent="0.2">
      <c r="A228" s="1525" t="s">
        <v>1149</v>
      </c>
      <c r="B228" s="615">
        <v>1900</v>
      </c>
      <c r="C228" s="617"/>
      <c r="D228" s="466">
        <v>0</v>
      </c>
      <c r="E228" s="617"/>
      <c r="F228" s="617"/>
      <c r="G228" s="617"/>
      <c r="H228" s="617"/>
      <c r="I228" s="617"/>
      <c r="J228" s="617"/>
      <c r="K228" s="1692">
        <f t="shared" si="19"/>
        <v>0</v>
      </c>
      <c r="L228" s="466">
        <v>0</v>
      </c>
    </row>
    <row r="229" spans="1:12" ht="12.75" customHeight="1" thickBot="1" x14ac:dyDescent="0.25">
      <c r="A229" s="1689" t="s">
        <v>739</v>
      </c>
      <c r="B229" s="1696" t="s">
        <v>591</v>
      </c>
      <c r="C229" s="617"/>
      <c r="D229" s="1691">
        <f>SUM(D215:D228)</f>
        <v>90086</v>
      </c>
      <c r="E229" s="617"/>
      <c r="F229" s="617"/>
      <c r="G229" s="617"/>
      <c r="H229" s="617"/>
      <c r="I229" s="617"/>
      <c r="J229" s="617"/>
      <c r="K229" s="1691">
        <f>SUM(K215:K228)</f>
        <v>90086</v>
      </c>
      <c r="L229" s="1691">
        <f>SUM(L215:L228)</f>
        <v>93677</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5860</v>
      </c>
      <c r="E232" s="617"/>
      <c r="F232" s="617"/>
      <c r="G232" s="617"/>
      <c r="H232" s="617"/>
      <c r="I232" s="617"/>
      <c r="J232" s="617"/>
      <c r="K232" s="1692">
        <f t="shared" ref="K232:K237" si="20">D232</f>
        <v>5860</v>
      </c>
      <c r="L232" s="466">
        <v>6200</v>
      </c>
    </row>
    <row r="233" spans="1:12" x14ac:dyDescent="0.2">
      <c r="A233" s="1525" t="s">
        <v>1151</v>
      </c>
      <c r="B233" s="615">
        <v>2120</v>
      </c>
      <c r="C233" s="617"/>
      <c r="D233" s="466">
        <v>10625</v>
      </c>
      <c r="E233" s="617"/>
      <c r="F233" s="617"/>
      <c r="G233" s="617"/>
      <c r="H233" s="617"/>
      <c r="I233" s="617"/>
      <c r="J233" s="617"/>
      <c r="K233" s="1692">
        <f t="shared" si="20"/>
        <v>10625</v>
      </c>
      <c r="L233" s="466">
        <v>11210</v>
      </c>
    </row>
    <row r="234" spans="1:12" x14ac:dyDescent="0.2">
      <c r="A234" s="1525" t="s">
        <v>207</v>
      </c>
      <c r="B234" s="615">
        <v>2130</v>
      </c>
      <c r="C234" s="617"/>
      <c r="D234" s="466">
        <v>724</v>
      </c>
      <c r="E234" s="617"/>
      <c r="F234" s="617"/>
      <c r="G234" s="617"/>
      <c r="H234" s="617"/>
      <c r="I234" s="617"/>
      <c r="J234" s="617"/>
      <c r="K234" s="1692">
        <f t="shared" si="20"/>
        <v>724</v>
      </c>
      <c r="L234" s="466">
        <v>810</v>
      </c>
    </row>
    <row r="235" spans="1:12" x14ac:dyDescent="0.2">
      <c r="A235" s="1525" t="s">
        <v>208</v>
      </c>
      <c r="B235" s="615">
        <v>2140</v>
      </c>
      <c r="C235" s="617"/>
      <c r="D235" s="466">
        <v>1082</v>
      </c>
      <c r="E235" s="617"/>
      <c r="F235" s="617"/>
      <c r="G235" s="617"/>
      <c r="H235" s="617"/>
      <c r="I235" s="617"/>
      <c r="J235" s="617"/>
      <c r="K235" s="1692">
        <f t="shared" si="20"/>
        <v>1082</v>
      </c>
      <c r="L235" s="466">
        <v>1090</v>
      </c>
    </row>
    <row r="236" spans="1:12" x14ac:dyDescent="0.2">
      <c r="A236" s="1525" t="s">
        <v>209</v>
      </c>
      <c r="B236" s="615">
        <v>2150</v>
      </c>
      <c r="C236" s="617"/>
      <c r="D236" s="466">
        <v>0</v>
      </c>
      <c r="E236" s="617"/>
      <c r="F236" s="617"/>
      <c r="G236" s="617"/>
      <c r="H236" s="617"/>
      <c r="I236" s="617"/>
      <c r="J236" s="617"/>
      <c r="K236" s="1692">
        <f t="shared" si="20"/>
        <v>0</v>
      </c>
      <c r="L236" s="466">
        <v>0</v>
      </c>
    </row>
    <row r="237" spans="1:12" x14ac:dyDescent="0.2">
      <c r="A237" s="1525" t="s">
        <v>167</v>
      </c>
      <c r="B237" s="615">
        <v>2190</v>
      </c>
      <c r="C237" s="617"/>
      <c r="D237" s="466">
        <v>2965</v>
      </c>
      <c r="E237" s="617"/>
      <c r="F237" s="617"/>
      <c r="G237" s="617"/>
      <c r="H237" s="617"/>
      <c r="I237" s="617"/>
      <c r="J237" s="617"/>
      <c r="K237" s="1692">
        <f t="shared" si="20"/>
        <v>2965</v>
      </c>
      <c r="L237" s="466">
        <v>2970</v>
      </c>
    </row>
    <row r="238" spans="1:12" ht="12.75" customHeight="1" thickBot="1" x14ac:dyDescent="0.25">
      <c r="A238" s="1689" t="s">
        <v>581</v>
      </c>
      <c r="B238" s="1696" t="s">
        <v>740</v>
      </c>
      <c r="C238" s="617"/>
      <c r="D238" s="1691">
        <f>SUM(D232:D237)</f>
        <v>21256</v>
      </c>
      <c r="E238" s="617"/>
      <c r="F238" s="617"/>
      <c r="G238" s="617"/>
      <c r="H238" s="617"/>
      <c r="I238" s="617"/>
      <c r="J238" s="617"/>
      <c r="K238" s="1691">
        <f>SUM(K232:K237)</f>
        <v>21256</v>
      </c>
      <c r="L238" s="1691">
        <f>SUM(L232:L237)</f>
        <v>22280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240</v>
      </c>
      <c r="E240" s="617"/>
      <c r="F240" s="617"/>
      <c r="G240" s="617"/>
      <c r="H240" s="617"/>
      <c r="I240" s="617"/>
      <c r="J240" s="617"/>
      <c r="K240" s="1693">
        <f>D240</f>
        <v>240</v>
      </c>
      <c r="L240" s="481">
        <v>465</v>
      </c>
    </row>
    <row r="241" spans="1:12" x14ac:dyDescent="0.2">
      <c r="A241" s="1525" t="s">
        <v>869</v>
      </c>
      <c r="B241" s="615">
        <v>2220</v>
      </c>
      <c r="C241" s="617"/>
      <c r="D241" s="466">
        <v>25196</v>
      </c>
      <c r="E241" s="617"/>
      <c r="F241" s="617"/>
      <c r="G241" s="617"/>
      <c r="H241" s="617"/>
      <c r="I241" s="617"/>
      <c r="J241" s="617"/>
      <c r="K241" s="1693">
        <f>D241</f>
        <v>25196</v>
      </c>
      <c r="L241" s="466">
        <v>29595</v>
      </c>
    </row>
    <row r="242" spans="1:12" x14ac:dyDescent="0.2">
      <c r="A242" s="1525" t="s">
        <v>870</v>
      </c>
      <c r="B242" s="615">
        <v>2230</v>
      </c>
      <c r="C242" s="617"/>
      <c r="D242" s="466">
        <v>0</v>
      </c>
      <c r="E242" s="617"/>
      <c r="F242" s="617"/>
      <c r="G242" s="617"/>
      <c r="H242" s="617"/>
      <c r="I242" s="617"/>
      <c r="J242" s="617"/>
      <c r="K242" s="1693">
        <f>D242</f>
        <v>0</v>
      </c>
      <c r="L242" s="466">
        <v>0</v>
      </c>
    </row>
    <row r="243" spans="1:12" ht="12.75" customHeight="1" thickBot="1" x14ac:dyDescent="0.25">
      <c r="A243" s="1715" t="s">
        <v>582</v>
      </c>
      <c r="B243" s="1716">
        <v>2200</v>
      </c>
      <c r="C243" s="617"/>
      <c r="D243" s="1691">
        <f>SUM(D240:D242)</f>
        <v>25436</v>
      </c>
      <c r="E243" s="617"/>
      <c r="F243" s="617"/>
      <c r="G243" s="617"/>
      <c r="H243" s="617"/>
      <c r="I243" s="617"/>
      <c r="J243" s="617"/>
      <c r="K243" s="1691">
        <f>SUM(K240:K242)</f>
        <v>25436</v>
      </c>
      <c r="L243" s="1691">
        <f>SUM(L240:L242)</f>
        <v>30060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9826</v>
      </c>
      <c r="E245" s="617"/>
      <c r="F245" s="617"/>
      <c r="G245" s="617"/>
      <c r="H245" s="617"/>
      <c r="I245" s="617"/>
      <c r="J245" s="617"/>
      <c r="K245" s="1693">
        <f>D245</f>
        <v>9826</v>
      </c>
      <c r="L245" s="481">
        <v>9805</v>
      </c>
    </row>
    <row r="246" spans="1:12" x14ac:dyDescent="0.2">
      <c r="A246" s="1525" t="s">
        <v>872</v>
      </c>
      <c r="B246" s="615">
        <v>2320</v>
      </c>
      <c r="C246" s="617"/>
      <c r="D246" s="466">
        <v>3354</v>
      </c>
      <c r="E246" s="617"/>
      <c r="F246" s="617"/>
      <c r="G246" s="617"/>
      <c r="H246" s="617"/>
      <c r="I246" s="617"/>
      <c r="J246" s="617"/>
      <c r="K246" s="1693">
        <f t="shared" ref="K246:K256" si="21">D246</f>
        <v>3354</v>
      </c>
      <c r="L246" s="466">
        <v>3394</v>
      </c>
    </row>
    <row r="247" spans="1:12" x14ac:dyDescent="0.2">
      <c r="A247" s="1525" t="s">
        <v>873</v>
      </c>
      <c r="B247" s="615">
        <v>2330</v>
      </c>
      <c r="C247" s="617"/>
      <c r="D247" s="466">
        <v>1327</v>
      </c>
      <c r="E247" s="617"/>
      <c r="F247" s="617"/>
      <c r="G247" s="617"/>
      <c r="H247" s="617"/>
      <c r="I247" s="617"/>
      <c r="J247" s="617"/>
      <c r="K247" s="1693">
        <f t="shared" si="21"/>
        <v>1327</v>
      </c>
      <c r="L247" s="466">
        <v>1330</v>
      </c>
    </row>
    <row r="248" spans="1:12" x14ac:dyDescent="0.2">
      <c r="A248" s="1526" t="s">
        <v>317</v>
      </c>
      <c r="B248" s="603" t="s">
        <v>299</v>
      </c>
      <c r="C248" s="617"/>
      <c r="D248" s="474">
        <v>0</v>
      </c>
      <c r="E248" s="617"/>
      <c r="F248" s="617"/>
      <c r="G248" s="617"/>
      <c r="H248" s="617"/>
      <c r="I248" s="617"/>
      <c r="J248" s="617"/>
      <c r="K248" s="1693">
        <f t="shared" si="21"/>
        <v>0</v>
      </c>
      <c r="L248" s="466">
        <v>0</v>
      </c>
    </row>
    <row r="249" spans="1:12" x14ac:dyDescent="0.2">
      <c r="A249" s="1527" t="s">
        <v>1908</v>
      </c>
      <c r="B249" s="684" t="s">
        <v>300</v>
      </c>
      <c r="C249" s="617"/>
      <c r="D249" s="474">
        <v>0</v>
      </c>
      <c r="E249" s="617"/>
      <c r="F249" s="617"/>
      <c r="G249" s="617"/>
      <c r="H249" s="617"/>
      <c r="I249" s="617"/>
      <c r="J249" s="617"/>
      <c r="K249" s="1693">
        <f t="shared" si="21"/>
        <v>0</v>
      </c>
      <c r="L249" s="466">
        <v>0</v>
      </c>
    </row>
    <row r="250" spans="1:12" x14ac:dyDescent="0.2">
      <c r="A250" s="1526" t="s">
        <v>1909</v>
      </c>
      <c r="B250" s="603" t="s">
        <v>301</v>
      </c>
      <c r="C250" s="617"/>
      <c r="D250" s="474">
        <v>0</v>
      </c>
      <c r="E250" s="617"/>
      <c r="F250" s="617"/>
      <c r="G250" s="617"/>
      <c r="H250" s="617"/>
      <c r="I250" s="617"/>
      <c r="J250" s="617"/>
      <c r="K250" s="1693">
        <f t="shared" si="21"/>
        <v>0</v>
      </c>
      <c r="L250" s="466">
        <v>0</v>
      </c>
    </row>
    <row r="251" spans="1:12" x14ac:dyDescent="0.2">
      <c r="A251" s="1526" t="s">
        <v>256</v>
      </c>
      <c r="B251" s="603" t="s">
        <v>302</v>
      </c>
      <c r="C251" s="617"/>
      <c r="D251" s="474">
        <v>0</v>
      </c>
      <c r="E251" s="617"/>
      <c r="F251" s="617"/>
      <c r="G251" s="617"/>
      <c r="H251" s="617"/>
      <c r="I251" s="617"/>
      <c r="J251" s="617"/>
      <c r="K251" s="1693">
        <f t="shared" si="21"/>
        <v>0</v>
      </c>
      <c r="L251" s="466">
        <v>0</v>
      </c>
    </row>
    <row r="252" spans="1:12" x14ac:dyDescent="0.2">
      <c r="A252" s="1526" t="s">
        <v>726</v>
      </c>
      <c r="B252" s="603" t="s">
        <v>303</v>
      </c>
      <c r="C252" s="617"/>
      <c r="D252" s="474">
        <v>0</v>
      </c>
      <c r="E252" s="617"/>
      <c r="F252" s="617"/>
      <c r="G252" s="617"/>
      <c r="H252" s="617"/>
      <c r="I252" s="617"/>
      <c r="J252" s="617"/>
      <c r="K252" s="1693">
        <f t="shared" si="21"/>
        <v>0</v>
      </c>
      <c r="L252" s="466">
        <v>0</v>
      </c>
    </row>
    <row r="253" spans="1:12" x14ac:dyDescent="0.2">
      <c r="A253" s="1526" t="s">
        <v>257</v>
      </c>
      <c r="B253" s="603" t="s">
        <v>304</v>
      </c>
      <c r="C253" s="617"/>
      <c r="D253" s="474">
        <v>0</v>
      </c>
      <c r="E253" s="617"/>
      <c r="F253" s="617"/>
      <c r="G253" s="617"/>
      <c r="H253" s="617"/>
      <c r="I253" s="617"/>
      <c r="J253" s="617"/>
      <c r="K253" s="1693">
        <f t="shared" si="21"/>
        <v>0</v>
      </c>
      <c r="L253" s="466">
        <v>0</v>
      </c>
    </row>
    <row r="254" spans="1:12" ht="22.5" x14ac:dyDescent="0.2">
      <c r="A254" s="1526" t="s">
        <v>1087</v>
      </c>
      <c r="B254" s="684" t="s">
        <v>305</v>
      </c>
      <c r="C254" s="617"/>
      <c r="D254" s="474">
        <v>0</v>
      </c>
      <c r="E254" s="617"/>
      <c r="F254" s="617"/>
      <c r="G254" s="617"/>
      <c r="H254" s="617"/>
      <c r="I254" s="617"/>
      <c r="J254" s="617"/>
      <c r="K254" s="1693">
        <f t="shared" si="21"/>
        <v>0</v>
      </c>
      <c r="L254" s="466">
        <v>0</v>
      </c>
    </row>
    <row r="255" spans="1:12" x14ac:dyDescent="0.2">
      <c r="A255" s="1526" t="s">
        <v>1088</v>
      </c>
      <c r="B255" s="603" t="s">
        <v>306</v>
      </c>
      <c r="C255" s="617"/>
      <c r="D255" s="474">
        <v>0</v>
      </c>
      <c r="E255" s="617"/>
      <c r="F255" s="617"/>
      <c r="G255" s="617"/>
      <c r="H255" s="617"/>
      <c r="I255" s="617"/>
      <c r="J255" s="617"/>
      <c r="K255" s="1693">
        <f t="shared" si="21"/>
        <v>0</v>
      </c>
      <c r="L255" s="466">
        <v>0</v>
      </c>
    </row>
    <row r="256" spans="1:12" x14ac:dyDescent="0.2">
      <c r="A256" s="1526" t="s">
        <v>1028</v>
      </c>
      <c r="B256" s="615" t="s">
        <v>307</v>
      </c>
      <c r="C256" s="617"/>
      <c r="D256" s="474">
        <v>0</v>
      </c>
      <c r="E256" s="617"/>
      <c r="F256" s="617"/>
      <c r="G256" s="617"/>
      <c r="H256" s="617"/>
      <c r="I256" s="617"/>
      <c r="J256" s="617"/>
      <c r="K256" s="1693">
        <f t="shared" si="21"/>
        <v>0</v>
      </c>
      <c r="L256" s="466">
        <v>0</v>
      </c>
    </row>
    <row r="257" spans="1:14" ht="12.75" customHeight="1" thickBot="1" x14ac:dyDescent="0.25">
      <c r="A257" s="1689" t="s">
        <v>741</v>
      </c>
      <c r="B257" s="1717">
        <v>2300</v>
      </c>
      <c r="C257" s="617"/>
      <c r="D257" s="1691">
        <f>SUM(D245:D256)</f>
        <v>14507</v>
      </c>
      <c r="E257" s="617"/>
      <c r="F257" s="617"/>
      <c r="G257" s="617"/>
      <c r="H257" s="617"/>
      <c r="I257" s="617"/>
      <c r="J257" s="617"/>
      <c r="K257" s="1691">
        <f>SUM(K245:K256)</f>
        <v>14507</v>
      </c>
      <c r="L257" s="1691">
        <f>SUM(L245:L256)</f>
        <v>14529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7187</v>
      </c>
      <c r="E259" s="617"/>
      <c r="F259" s="617"/>
      <c r="G259" s="617"/>
      <c r="H259" s="617"/>
      <c r="I259" s="617"/>
      <c r="J259" s="617"/>
      <c r="K259" s="1693">
        <f>D259</f>
        <v>7187</v>
      </c>
      <c r="L259" s="481">
        <v>7300</v>
      </c>
    </row>
    <row r="260" spans="1:14" s="598" customFormat="1" x14ac:dyDescent="0.2">
      <c r="A260" s="1543" t="s">
        <v>1907</v>
      </c>
      <c r="B260" s="629">
        <v>2490</v>
      </c>
      <c r="C260" s="617"/>
      <c r="D260" s="466">
        <v>260</v>
      </c>
      <c r="E260" s="617"/>
      <c r="F260" s="617"/>
      <c r="G260" s="617"/>
      <c r="H260" s="617"/>
      <c r="I260" s="617"/>
      <c r="J260" s="617"/>
      <c r="K260" s="1693">
        <f>D260</f>
        <v>260</v>
      </c>
      <c r="L260" s="466">
        <v>280</v>
      </c>
      <c r="M260" s="210"/>
      <c r="N260" s="210"/>
    </row>
    <row r="261" spans="1:14" ht="12.75" customHeight="1" thickBot="1" x14ac:dyDescent="0.25">
      <c r="A261" s="1713" t="s">
        <v>281</v>
      </c>
      <c r="B261" s="1718" t="s">
        <v>34</v>
      </c>
      <c r="C261" s="617"/>
      <c r="D261" s="1691">
        <f>SUM(D259:D260)</f>
        <v>7447</v>
      </c>
      <c r="E261" s="617"/>
      <c r="F261" s="617"/>
      <c r="G261" s="617"/>
      <c r="H261" s="617"/>
      <c r="I261" s="617"/>
      <c r="J261" s="617"/>
      <c r="K261" s="1691">
        <f>SUM(K259:K260)</f>
        <v>7447</v>
      </c>
      <c r="L261" s="1691">
        <f>SUM(L259:L260)</f>
        <v>7580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v>1063</v>
      </c>
      <c r="E263" s="617"/>
      <c r="F263" s="617"/>
      <c r="G263" s="617"/>
      <c r="H263" s="617"/>
      <c r="I263" s="617"/>
      <c r="J263" s="617"/>
      <c r="K263" s="1693">
        <f>D263</f>
        <v>1063</v>
      </c>
      <c r="L263" s="481">
        <v>1090</v>
      </c>
    </row>
    <row r="264" spans="1:14" x14ac:dyDescent="0.2">
      <c r="A264" s="1525" t="s">
        <v>483</v>
      </c>
      <c r="B264" s="686">
        <v>2520</v>
      </c>
      <c r="C264" s="617"/>
      <c r="D264" s="466">
        <v>18168</v>
      </c>
      <c r="E264" s="617"/>
      <c r="F264" s="617"/>
      <c r="G264" s="617"/>
      <c r="H264" s="617"/>
      <c r="I264" s="617"/>
      <c r="J264" s="617"/>
      <c r="K264" s="1693">
        <f t="shared" ref="K264:K269" si="22">D264</f>
        <v>18168</v>
      </c>
      <c r="L264" s="466">
        <v>24700</v>
      </c>
    </row>
    <row r="265" spans="1:14" x14ac:dyDescent="0.2">
      <c r="A265" s="1525" t="s">
        <v>4</v>
      </c>
      <c r="B265" s="615">
        <v>2530</v>
      </c>
      <c r="C265" s="617"/>
      <c r="D265" s="466">
        <v>0</v>
      </c>
      <c r="E265" s="617"/>
      <c r="F265" s="617"/>
      <c r="G265" s="617"/>
      <c r="H265" s="617"/>
      <c r="I265" s="617"/>
      <c r="J265" s="617"/>
      <c r="K265" s="1693">
        <f t="shared" si="22"/>
        <v>0</v>
      </c>
      <c r="L265" s="466">
        <v>0</v>
      </c>
    </row>
    <row r="266" spans="1:14" x14ac:dyDescent="0.2">
      <c r="A266" s="1525" t="s">
        <v>206</v>
      </c>
      <c r="B266" s="615">
        <v>2540</v>
      </c>
      <c r="C266" s="617"/>
      <c r="D266" s="466">
        <v>54327</v>
      </c>
      <c r="E266" s="617"/>
      <c r="F266" s="617"/>
      <c r="G266" s="617"/>
      <c r="H266" s="617"/>
      <c r="I266" s="617"/>
      <c r="J266" s="617"/>
      <c r="K266" s="1693">
        <f t="shared" si="22"/>
        <v>54327</v>
      </c>
      <c r="L266" s="466">
        <v>55550</v>
      </c>
    </row>
    <row r="267" spans="1:14" x14ac:dyDescent="0.2">
      <c r="A267" s="1525" t="s">
        <v>1010</v>
      </c>
      <c r="B267" s="615">
        <v>2550</v>
      </c>
      <c r="C267" s="617"/>
      <c r="D267" s="466">
        <v>48724</v>
      </c>
      <c r="E267" s="617"/>
      <c r="F267" s="617"/>
      <c r="G267" s="617"/>
      <c r="H267" s="617"/>
      <c r="I267" s="617"/>
      <c r="J267" s="617"/>
      <c r="K267" s="1693">
        <f t="shared" si="22"/>
        <v>48724</v>
      </c>
      <c r="L267" s="466">
        <v>51130</v>
      </c>
    </row>
    <row r="268" spans="1:14" x14ac:dyDescent="0.2">
      <c r="A268" s="1525" t="s">
        <v>102</v>
      </c>
      <c r="B268" s="615">
        <v>2560</v>
      </c>
      <c r="C268" s="617"/>
      <c r="D268" s="466">
        <v>13528</v>
      </c>
      <c r="E268" s="617"/>
      <c r="F268" s="617"/>
      <c r="G268" s="617"/>
      <c r="H268" s="617"/>
      <c r="I268" s="617"/>
      <c r="J268" s="617"/>
      <c r="K268" s="1693">
        <f t="shared" si="22"/>
        <v>13528</v>
      </c>
      <c r="L268" s="466">
        <v>15820</v>
      </c>
    </row>
    <row r="269" spans="1:14" x14ac:dyDescent="0.2">
      <c r="A269" s="1525" t="s">
        <v>103</v>
      </c>
      <c r="B269" s="615">
        <v>2570</v>
      </c>
      <c r="C269" s="617"/>
      <c r="D269" s="466">
        <v>0</v>
      </c>
      <c r="E269" s="617"/>
      <c r="F269" s="617"/>
      <c r="G269" s="617"/>
      <c r="H269" s="617"/>
      <c r="I269" s="617"/>
      <c r="J269" s="617"/>
      <c r="K269" s="1693">
        <f t="shared" si="22"/>
        <v>0</v>
      </c>
      <c r="L269" s="466">
        <v>0</v>
      </c>
    </row>
    <row r="270" spans="1:14" ht="12.75" customHeight="1" thickBot="1" x14ac:dyDescent="0.25">
      <c r="A270" s="1689" t="s">
        <v>743</v>
      </c>
      <c r="B270" s="1696" t="s">
        <v>35</v>
      </c>
      <c r="C270" s="617"/>
      <c r="D270" s="1691">
        <f>SUM(D263:D269)</f>
        <v>135810</v>
      </c>
      <c r="E270" s="617"/>
      <c r="F270" s="617"/>
      <c r="G270" s="617"/>
      <c r="H270" s="617"/>
      <c r="I270" s="617"/>
      <c r="J270" s="617"/>
      <c r="K270" s="1691">
        <f>SUM(K263:K269)</f>
        <v>135810</v>
      </c>
      <c r="L270" s="1691">
        <f>SUM(L263:L269)</f>
        <v>148290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3">
        <f>D272</f>
        <v>0</v>
      </c>
      <c r="L272" s="481">
        <v>0</v>
      </c>
    </row>
    <row r="273" spans="1:12" x14ac:dyDescent="0.2">
      <c r="A273" s="1525" t="s">
        <v>628</v>
      </c>
      <c r="B273" s="629">
        <v>2620</v>
      </c>
      <c r="C273" s="617"/>
      <c r="D273" s="466">
        <v>0</v>
      </c>
      <c r="E273" s="617"/>
      <c r="F273" s="617"/>
      <c r="G273" s="617"/>
      <c r="H273" s="617"/>
      <c r="I273" s="617"/>
      <c r="J273" s="617"/>
      <c r="K273" s="1693">
        <f>D273</f>
        <v>0</v>
      </c>
      <c r="L273" s="466">
        <v>0</v>
      </c>
    </row>
    <row r="274" spans="1:12" ht="12" customHeight="1" x14ac:dyDescent="0.2">
      <c r="A274" s="1525" t="s">
        <v>1121</v>
      </c>
      <c r="B274" s="615">
        <v>2630</v>
      </c>
      <c r="C274" s="617"/>
      <c r="D274" s="466">
        <v>0</v>
      </c>
      <c r="E274" s="617"/>
      <c r="F274" s="617"/>
      <c r="G274" s="617"/>
      <c r="H274" s="617"/>
      <c r="I274" s="617"/>
      <c r="J274" s="617"/>
      <c r="K274" s="1693">
        <f>D274</f>
        <v>0</v>
      </c>
      <c r="L274" s="466">
        <v>0</v>
      </c>
    </row>
    <row r="275" spans="1:12" x14ac:dyDescent="0.2">
      <c r="A275" s="1525" t="s">
        <v>423</v>
      </c>
      <c r="B275" s="615">
        <v>2640</v>
      </c>
      <c r="C275" s="617"/>
      <c r="D275" s="466">
        <v>0</v>
      </c>
      <c r="E275" s="617"/>
      <c r="F275" s="617"/>
      <c r="G275" s="617"/>
      <c r="H275" s="617"/>
      <c r="I275" s="617"/>
      <c r="J275" s="617"/>
      <c r="K275" s="1693">
        <f>D275</f>
        <v>0</v>
      </c>
      <c r="L275" s="466">
        <v>0</v>
      </c>
    </row>
    <row r="276" spans="1:12" x14ac:dyDescent="0.2">
      <c r="A276" s="1525" t="s">
        <v>424</v>
      </c>
      <c r="B276" s="615">
        <v>2660</v>
      </c>
      <c r="C276" s="617"/>
      <c r="D276" s="466">
        <v>0</v>
      </c>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1037</v>
      </c>
      <c r="B278" s="656" t="s">
        <v>595</v>
      </c>
      <c r="C278" s="617"/>
      <c r="D278" s="657">
        <v>0</v>
      </c>
      <c r="E278" s="617"/>
      <c r="F278" s="617"/>
      <c r="G278" s="617"/>
      <c r="H278" s="617"/>
      <c r="I278" s="617"/>
      <c r="J278" s="617"/>
      <c r="K278" s="1706">
        <f>D278</f>
        <v>0</v>
      </c>
      <c r="L278" s="657">
        <v>0</v>
      </c>
    </row>
    <row r="279" spans="1:12" ht="12.75" customHeight="1" thickBot="1" x14ac:dyDescent="0.25">
      <c r="A279" s="1719" t="s">
        <v>865</v>
      </c>
      <c r="B279" s="1702">
        <v>2000</v>
      </c>
      <c r="C279" s="617"/>
      <c r="D279" s="1698">
        <f>SUM(D238,D243,D257,D261,D270,D277,D278)</f>
        <v>204456</v>
      </c>
      <c r="E279" s="617"/>
      <c r="F279" s="617"/>
      <c r="G279" s="617"/>
      <c r="H279" s="617"/>
      <c r="I279" s="617"/>
      <c r="J279" s="617"/>
      <c r="K279" s="1698">
        <f>SUM(K238,K243,K257,K261,K270,K277,K278)</f>
        <v>204456</v>
      </c>
      <c r="L279" s="1698">
        <f>SUM(L238,L243,L257,L261,L270,L277,L278)</f>
        <v>222739</v>
      </c>
    </row>
    <row r="280" spans="1:12" ht="15.75" customHeight="1" thickTop="1" thickBot="1" x14ac:dyDescent="0.25">
      <c r="A280" s="1645" t="s">
        <v>930</v>
      </c>
      <c r="B280" s="1634">
        <v>3000</v>
      </c>
      <c r="C280" s="617"/>
      <c r="D280" s="576">
        <v>0</v>
      </c>
      <c r="E280" s="617"/>
      <c r="F280" s="617"/>
      <c r="G280" s="617"/>
      <c r="H280" s="617"/>
      <c r="I280" s="617"/>
      <c r="J280" s="617"/>
      <c r="K280" s="1700">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v>0</v>
      </c>
      <c r="E282" s="617"/>
      <c r="F282" s="617"/>
      <c r="G282" s="617"/>
      <c r="H282" s="617"/>
      <c r="I282" s="617"/>
      <c r="J282" s="617"/>
      <c r="K282" s="1692">
        <f>D282</f>
        <v>0</v>
      </c>
      <c r="L282" s="467">
        <v>0</v>
      </c>
    </row>
    <row r="283" spans="1:12" x14ac:dyDescent="0.2">
      <c r="A283" s="1525" t="s">
        <v>322</v>
      </c>
      <c r="B283" s="615">
        <v>4120</v>
      </c>
      <c r="C283" s="617"/>
      <c r="D283" s="466">
        <v>0</v>
      </c>
      <c r="E283" s="617"/>
      <c r="F283" s="617"/>
      <c r="G283" s="617"/>
      <c r="H283" s="617"/>
      <c r="I283" s="617"/>
      <c r="J283" s="617"/>
      <c r="K283" s="1692">
        <f>D283</f>
        <v>0</v>
      </c>
      <c r="L283" s="466">
        <v>0</v>
      </c>
    </row>
    <row r="284" spans="1:12" x14ac:dyDescent="0.2">
      <c r="A284" s="1525" t="s">
        <v>721</v>
      </c>
      <c r="B284" s="615">
        <v>4140</v>
      </c>
      <c r="C284" s="617"/>
      <c r="D284" s="467">
        <v>0</v>
      </c>
      <c r="E284" s="617"/>
      <c r="F284" s="617"/>
      <c r="G284" s="617"/>
      <c r="H284" s="617"/>
      <c r="I284" s="617"/>
      <c r="J284" s="617"/>
      <c r="K284" s="1692">
        <f>D284</f>
        <v>0</v>
      </c>
      <c r="L284" s="466">
        <v>0</v>
      </c>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v>0</v>
      </c>
    </row>
    <row r="289" spans="1:14" x14ac:dyDescent="0.2">
      <c r="A289" s="1525" t="s">
        <v>90</v>
      </c>
      <c r="B289" s="615">
        <v>5120</v>
      </c>
      <c r="C289" s="617"/>
      <c r="D289" s="617"/>
      <c r="E289" s="617"/>
      <c r="F289" s="617"/>
      <c r="G289" s="617"/>
      <c r="H289" s="466">
        <v>0</v>
      </c>
      <c r="I289" s="617"/>
      <c r="J289" s="617"/>
      <c r="K289" s="1692">
        <f>H289</f>
        <v>0</v>
      </c>
      <c r="L289" s="466">
        <v>0</v>
      </c>
    </row>
    <row r="290" spans="1:14" ht="12.75" customHeight="1" x14ac:dyDescent="0.2">
      <c r="A290" s="1525" t="s">
        <v>1232</v>
      </c>
      <c r="B290" s="629" t="s">
        <v>638</v>
      </c>
      <c r="C290" s="617"/>
      <c r="D290" s="617"/>
      <c r="E290" s="617"/>
      <c r="F290" s="617"/>
      <c r="G290" s="617"/>
      <c r="H290" s="466">
        <v>0</v>
      </c>
      <c r="I290" s="617"/>
      <c r="J290" s="617"/>
      <c r="K290" s="1692">
        <f>H290</f>
        <v>0</v>
      </c>
      <c r="L290" s="466">
        <v>0</v>
      </c>
    </row>
    <row r="291" spans="1:14" x14ac:dyDescent="0.2">
      <c r="A291" s="1525" t="s">
        <v>91</v>
      </c>
      <c r="B291" s="615" t="s">
        <v>610</v>
      </c>
      <c r="C291" s="617"/>
      <c r="D291" s="617"/>
      <c r="E291" s="617"/>
      <c r="F291" s="617"/>
      <c r="G291" s="617"/>
      <c r="H291" s="466">
        <v>0</v>
      </c>
      <c r="I291" s="617"/>
      <c r="J291" s="617"/>
      <c r="K291" s="1692">
        <f>H291</f>
        <v>0</v>
      </c>
      <c r="L291" s="466">
        <v>0</v>
      </c>
    </row>
    <row r="292" spans="1:14" x14ac:dyDescent="0.2">
      <c r="A292" s="1525" t="s">
        <v>786</v>
      </c>
      <c r="B292" s="615" t="s">
        <v>639</v>
      </c>
      <c r="C292" s="617"/>
      <c r="D292" s="617"/>
      <c r="E292" s="617"/>
      <c r="F292" s="617"/>
      <c r="G292" s="617"/>
      <c r="H292" s="466">
        <v>0</v>
      </c>
      <c r="I292" s="617"/>
      <c r="J292" s="617"/>
      <c r="K292" s="1692">
        <f>H292</f>
        <v>0</v>
      </c>
      <c r="L292" s="466">
        <v>0</v>
      </c>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v>0</v>
      </c>
    </row>
    <row r="295" spans="1:14" ht="12.75" customHeight="1" thickTop="1" thickBot="1" x14ac:dyDescent="0.25">
      <c r="A295" s="2192" t="s">
        <v>526</v>
      </c>
      <c r="B295" s="2193"/>
      <c r="C295" s="617"/>
      <c r="D295" s="1691">
        <f>SUM(D229,D279,D280,D285)</f>
        <v>294542</v>
      </c>
      <c r="E295" s="617"/>
      <c r="F295" s="617"/>
      <c r="G295" s="617"/>
      <c r="H295" s="1691">
        <f>H293</f>
        <v>0</v>
      </c>
      <c r="I295" s="617"/>
      <c r="J295" s="617"/>
      <c r="K295" s="1691">
        <f>SUM(K229,K279,K280,K285,K293,K294)</f>
        <v>294542</v>
      </c>
      <c r="L295" s="1691">
        <f>SUM(L229,L279,L280,L285,L293,L294)</f>
        <v>316416</v>
      </c>
    </row>
    <row r="296" spans="1:14" ht="13.5" thickTop="1" x14ac:dyDescent="0.2">
      <c r="A296" s="2174" t="s">
        <v>1053</v>
      </c>
      <c r="B296" s="2175"/>
      <c r="C296" s="617"/>
      <c r="D296" s="619"/>
      <c r="E296" s="617"/>
      <c r="F296" s="617"/>
      <c r="G296" s="617"/>
      <c r="H296" s="688"/>
      <c r="I296" s="617"/>
      <c r="J296" s="617"/>
      <c r="K296" s="1705">
        <f>'Revenues 9-14'!G275-'Expenditures 15-22'!K295</f>
        <v>19091</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v>0</v>
      </c>
      <c r="D301" s="466">
        <v>0</v>
      </c>
      <c r="E301" s="466">
        <v>0</v>
      </c>
      <c r="F301" s="466">
        <v>0</v>
      </c>
      <c r="G301" s="466">
        <v>0</v>
      </c>
      <c r="H301" s="466">
        <v>0</v>
      </c>
      <c r="I301" s="467">
        <v>0</v>
      </c>
      <c r="J301" s="467">
        <v>0</v>
      </c>
      <c r="K301" s="1692">
        <f>SUM(C301:J301)</f>
        <v>0</v>
      </c>
      <c r="L301" s="467">
        <v>0</v>
      </c>
    </row>
    <row r="302" spans="1:14" ht="13.5" customHeight="1" x14ac:dyDescent="0.2">
      <c r="A302" s="1538" t="s">
        <v>1037</v>
      </c>
      <c r="B302" s="615" t="s">
        <v>595</v>
      </c>
      <c r="C302" s="466">
        <v>0</v>
      </c>
      <c r="D302" s="466">
        <v>0</v>
      </c>
      <c r="E302" s="466">
        <v>0</v>
      </c>
      <c r="F302" s="466">
        <v>0</v>
      </c>
      <c r="G302" s="466">
        <v>0</v>
      </c>
      <c r="H302" s="466">
        <v>0</v>
      </c>
      <c r="I302" s="467">
        <v>0</v>
      </c>
      <c r="J302" s="467">
        <v>0</v>
      </c>
      <c r="K302" s="1692">
        <f>SUM(C302:J302)</f>
        <v>0</v>
      </c>
      <c r="L302" s="466">
        <v>0</v>
      </c>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v>0</v>
      </c>
      <c r="F306" s="617"/>
      <c r="G306" s="617"/>
      <c r="H306" s="467">
        <v>0</v>
      </c>
      <c r="I306" s="617"/>
      <c r="J306" s="617"/>
      <c r="K306" s="1692">
        <f>SUM(E306,H306)</f>
        <v>0</v>
      </c>
      <c r="L306" s="467">
        <v>0</v>
      </c>
    </row>
    <row r="307" spans="1:14" x14ac:dyDescent="0.2">
      <c r="A307" s="1525" t="s">
        <v>322</v>
      </c>
      <c r="B307" s="615">
        <v>4120</v>
      </c>
      <c r="C307" s="617"/>
      <c r="D307" s="617"/>
      <c r="E307" s="467">
        <v>0</v>
      </c>
      <c r="F307" s="617"/>
      <c r="G307" s="617"/>
      <c r="H307" s="467">
        <v>0</v>
      </c>
      <c r="I307" s="477"/>
      <c r="J307" s="617"/>
      <c r="K307" s="1692">
        <f>SUM(E307,H307)</f>
        <v>0</v>
      </c>
      <c r="L307" s="466">
        <v>0</v>
      </c>
    </row>
    <row r="308" spans="1:14" x14ac:dyDescent="0.2">
      <c r="A308" s="1525" t="s">
        <v>721</v>
      </c>
      <c r="B308" s="615">
        <v>4140</v>
      </c>
      <c r="C308" s="617"/>
      <c r="D308" s="617"/>
      <c r="E308" s="467">
        <v>0</v>
      </c>
      <c r="F308" s="617"/>
      <c r="G308" s="617"/>
      <c r="H308" s="467">
        <v>0</v>
      </c>
      <c r="I308" s="477"/>
      <c r="J308" s="617"/>
      <c r="K308" s="1692">
        <f>SUM(E308,H308)</f>
        <v>0</v>
      </c>
      <c r="L308" s="466">
        <v>0</v>
      </c>
    </row>
    <row r="309" spans="1:14" ht="12.75" customHeight="1" x14ac:dyDescent="0.2">
      <c r="A309" s="1529" t="s">
        <v>722</v>
      </c>
      <c r="B309" s="629">
        <v>4190</v>
      </c>
      <c r="C309" s="617"/>
      <c r="D309" s="617"/>
      <c r="E309" s="467">
        <v>0</v>
      </c>
      <c r="F309" s="617"/>
      <c r="G309" s="617"/>
      <c r="H309" s="467">
        <v>0</v>
      </c>
      <c r="I309" s="477"/>
      <c r="J309" s="617"/>
      <c r="K309" s="1692">
        <f>SUM(E309,H309)</f>
        <v>0</v>
      </c>
      <c r="L309" s="466">
        <v>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5" customFormat="1" ht="12.75" customHeight="1" thickTop="1" thickBot="1" x14ac:dyDescent="0.25">
      <c r="A312" s="2189" t="s">
        <v>295</v>
      </c>
      <c r="B312" s="2190"/>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5" t="s">
        <v>1053</v>
      </c>
      <c r="B313" s="2186"/>
      <c r="C313" s="627"/>
      <c r="D313" s="627"/>
      <c r="E313" s="627"/>
      <c r="F313" s="627"/>
      <c r="G313" s="627"/>
      <c r="H313" s="627"/>
      <c r="I313" s="627"/>
      <c r="J313" s="627"/>
      <c r="K313" s="1706">
        <f>'Revenues 9-14'!H275-'Expenditures 15-22'!K312</f>
        <v>7828</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v>0</v>
      </c>
      <c r="D319" s="467">
        <v>0</v>
      </c>
      <c r="E319" s="467">
        <v>0</v>
      </c>
      <c r="F319" s="467">
        <v>0</v>
      </c>
      <c r="G319" s="467">
        <v>0</v>
      </c>
      <c r="H319" s="467">
        <v>0</v>
      </c>
      <c r="I319" s="467">
        <v>0</v>
      </c>
      <c r="J319" s="467">
        <v>0</v>
      </c>
      <c r="K319" s="1692">
        <f>SUM(C319:J319)</f>
        <v>0</v>
      </c>
      <c r="L319" s="467">
        <v>0</v>
      </c>
      <c r="M319" s="666"/>
      <c r="N319" s="666"/>
    </row>
    <row r="320" spans="1:14" s="675" customFormat="1" x14ac:dyDescent="0.2">
      <c r="A320" s="1544" t="s">
        <v>1908</v>
      </c>
      <c r="B320" s="699" t="s">
        <v>300</v>
      </c>
      <c r="C320" s="467">
        <v>0</v>
      </c>
      <c r="D320" s="467">
        <v>0</v>
      </c>
      <c r="E320" s="467">
        <v>0</v>
      </c>
      <c r="F320" s="467">
        <v>0</v>
      </c>
      <c r="G320" s="467">
        <v>0</v>
      </c>
      <c r="H320" s="467">
        <v>0</v>
      </c>
      <c r="I320" s="467">
        <v>0</v>
      </c>
      <c r="J320" s="467">
        <v>0</v>
      </c>
      <c r="K320" s="1692">
        <f t="shared" ref="K320:K327" si="24">SUM(C320:J320)</f>
        <v>0</v>
      </c>
      <c r="L320" s="467">
        <v>0</v>
      </c>
      <c r="M320" s="666"/>
      <c r="N320" s="666"/>
    </row>
    <row r="321" spans="1:14" s="675" customFormat="1" x14ac:dyDescent="0.2">
      <c r="A321" s="1540" t="s">
        <v>318</v>
      </c>
      <c r="B321" s="698" t="s">
        <v>301</v>
      </c>
      <c r="C321" s="467">
        <v>0</v>
      </c>
      <c r="D321" s="467">
        <v>0</v>
      </c>
      <c r="E321" s="467">
        <v>0</v>
      </c>
      <c r="F321" s="467">
        <v>0</v>
      </c>
      <c r="G321" s="467">
        <v>0</v>
      </c>
      <c r="H321" s="467">
        <v>0</v>
      </c>
      <c r="I321" s="467">
        <v>0</v>
      </c>
      <c r="J321" s="467">
        <v>0</v>
      </c>
      <c r="K321" s="1692">
        <f t="shared" si="24"/>
        <v>0</v>
      </c>
      <c r="L321" s="467">
        <v>0</v>
      </c>
      <c r="M321" s="666"/>
      <c r="N321" s="666"/>
    </row>
    <row r="322" spans="1:14" s="675" customFormat="1" x14ac:dyDescent="0.2">
      <c r="A322" s="1540" t="s">
        <v>256</v>
      </c>
      <c r="B322" s="698" t="s">
        <v>302</v>
      </c>
      <c r="C322" s="467">
        <v>0</v>
      </c>
      <c r="D322" s="467">
        <v>0</v>
      </c>
      <c r="E322" s="467">
        <v>91913</v>
      </c>
      <c r="F322" s="467">
        <v>0</v>
      </c>
      <c r="G322" s="467">
        <v>0</v>
      </c>
      <c r="H322" s="467">
        <v>0</v>
      </c>
      <c r="I322" s="467">
        <v>0</v>
      </c>
      <c r="J322" s="467">
        <v>0</v>
      </c>
      <c r="K322" s="1692">
        <f t="shared" si="24"/>
        <v>91913</v>
      </c>
      <c r="L322" s="467">
        <v>100000</v>
      </c>
      <c r="M322" s="666"/>
      <c r="N322" s="666"/>
    </row>
    <row r="323" spans="1:14" s="675" customFormat="1" x14ac:dyDescent="0.2">
      <c r="A323" s="1540" t="s">
        <v>726</v>
      </c>
      <c r="B323" s="698" t="s">
        <v>303</v>
      </c>
      <c r="C323" s="467">
        <v>0</v>
      </c>
      <c r="D323" s="467">
        <v>0</v>
      </c>
      <c r="E323" s="467">
        <v>0</v>
      </c>
      <c r="F323" s="467">
        <v>0</v>
      </c>
      <c r="G323" s="467">
        <v>0</v>
      </c>
      <c r="H323" s="467">
        <v>0</v>
      </c>
      <c r="I323" s="467">
        <v>0</v>
      </c>
      <c r="J323" s="467">
        <v>0</v>
      </c>
      <c r="K323" s="1692">
        <f t="shared" si="24"/>
        <v>0</v>
      </c>
      <c r="L323" s="467">
        <v>0</v>
      </c>
      <c r="M323" s="666"/>
      <c r="N323" s="666"/>
    </row>
    <row r="324" spans="1:14" s="675" customFormat="1" x14ac:dyDescent="0.2">
      <c r="A324" s="1540" t="s">
        <v>257</v>
      </c>
      <c r="B324" s="698" t="s">
        <v>304</v>
      </c>
      <c r="C324" s="467">
        <v>0</v>
      </c>
      <c r="D324" s="467">
        <v>0</v>
      </c>
      <c r="E324" s="467">
        <v>0</v>
      </c>
      <c r="F324" s="467">
        <v>0</v>
      </c>
      <c r="G324" s="467">
        <v>0</v>
      </c>
      <c r="H324" s="467">
        <v>0</v>
      </c>
      <c r="I324" s="467">
        <v>0</v>
      </c>
      <c r="J324" s="467">
        <v>0</v>
      </c>
      <c r="K324" s="1692">
        <f t="shared" si="24"/>
        <v>0</v>
      </c>
      <c r="L324" s="467">
        <v>0</v>
      </c>
      <c r="M324" s="666"/>
      <c r="N324" s="666"/>
    </row>
    <row r="325" spans="1:14" s="675" customFormat="1" ht="22.5" x14ac:dyDescent="0.2">
      <c r="A325" s="1540" t="s">
        <v>1087</v>
      </c>
      <c r="B325" s="699" t="s">
        <v>305</v>
      </c>
      <c r="C325" s="467">
        <v>0</v>
      </c>
      <c r="D325" s="467">
        <v>0</v>
      </c>
      <c r="E325" s="467">
        <v>0</v>
      </c>
      <c r="F325" s="467">
        <v>0</v>
      </c>
      <c r="G325" s="467">
        <v>0</v>
      </c>
      <c r="H325" s="467">
        <v>0</v>
      </c>
      <c r="I325" s="467">
        <v>0</v>
      </c>
      <c r="J325" s="467">
        <v>0</v>
      </c>
      <c r="K325" s="1692">
        <f t="shared" si="24"/>
        <v>0</v>
      </c>
      <c r="L325" s="467">
        <v>0</v>
      </c>
      <c r="M325" s="666"/>
      <c r="N325" s="666"/>
    </row>
    <row r="326" spans="1:14" s="675" customFormat="1" x14ac:dyDescent="0.2">
      <c r="A326" s="1540" t="s">
        <v>1088</v>
      </c>
      <c r="B326" s="698" t="s">
        <v>306</v>
      </c>
      <c r="C326" s="467">
        <v>0</v>
      </c>
      <c r="D326" s="467">
        <v>0</v>
      </c>
      <c r="E326" s="467">
        <v>0</v>
      </c>
      <c r="F326" s="467">
        <v>0</v>
      </c>
      <c r="G326" s="467">
        <v>0</v>
      </c>
      <c r="H326" s="467">
        <v>0</v>
      </c>
      <c r="I326" s="467">
        <v>0</v>
      </c>
      <c r="J326" s="467">
        <v>0</v>
      </c>
      <c r="K326" s="1692">
        <f t="shared" si="24"/>
        <v>0</v>
      </c>
      <c r="L326" s="467">
        <v>0</v>
      </c>
      <c r="M326" s="666"/>
      <c r="N326" s="666"/>
    </row>
    <row r="327" spans="1:14" s="675" customFormat="1" x14ac:dyDescent="0.2">
      <c r="A327" s="1540" t="s">
        <v>1028</v>
      </c>
      <c r="B327" s="698" t="s">
        <v>307</v>
      </c>
      <c r="C327" s="467">
        <v>0</v>
      </c>
      <c r="D327" s="467">
        <v>0</v>
      </c>
      <c r="E327" s="467">
        <v>0</v>
      </c>
      <c r="F327" s="467">
        <v>0</v>
      </c>
      <c r="G327" s="467">
        <v>0</v>
      </c>
      <c r="H327" s="467">
        <v>0</v>
      </c>
      <c r="I327" s="467">
        <v>0</v>
      </c>
      <c r="J327" s="467">
        <v>0</v>
      </c>
      <c r="K327" s="1692">
        <f t="shared" si="24"/>
        <v>0</v>
      </c>
      <c r="L327" s="467">
        <v>0</v>
      </c>
      <c r="M327" s="666"/>
      <c r="N327" s="666"/>
    </row>
    <row r="328" spans="1:14" s="675" customFormat="1" x14ac:dyDescent="0.2">
      <c r="A328" s="1541" t="s">
        <v>492</v>
      </c>
      <c r="B328" s="691" t="s">
        <v>1194</v>
      </c>
      <c r="C328" s="474">
        <v>0</v>
      </c>
      <c r="D328" s="474">
        <v>0</v>
      </c>
      <c r="E328" s="474">
        <v>0</v>
      </c>
      <c r="F328" s="474">
        <v>0</v>
      </c>
      <c r="G328" s="474">
        <v>0</v>
      </c>
      <c r="H328" s="474">
        <v>0</v>
      </c>
      <c r="I328" s="474">
        <v>0</v>
      </c>
      <c r="J328" s="474">
        <v>0</v>
      </c>
      <c r="K328" s="1720">
        <f>SUM(C328:J328)</f>
        <v>0</v>
      </c>
      <c r="L328" s="474">
        <v>0</v>
      </c>
      <c r="M328" s="666"/>
      <c r="N328" s="666"/>
    </row>
    <row r="329" spans="1:14" s="675" customFormat="1" x14ac:dyDescent="0.2">
      <c r="A329" s="1541" t="s">
        <v>1195</v>
      </c>
      <c r="B329" s="691" t="s">
        <v>1196</v>
      </c>
      <c r="C329" s="474">
        <v>0</v>
      </c>
      <c r="D329" s="474">
        <v>0</v>
      </c>
      <c r="E329" s="474">
        <v>0</v>
      </c>
      <c r="F329" s="474">
        <v>0</v>
      </c>
      <c r="G329" s="474">
        <v>0</v>
      </c>
      <c r="H329" s="474">
        <v>0</v>
      </c>
      <c r="I329" s="474">
        <v>0</v>
      </c>
      <c r="J329" s="474">
        <v>0</v>
      </c>
      <c r="K329" s="1720">
        <f>SUM(C329:J329)</f>
        <v>0</v>
      </c>
      <c r="L329" s="474">
        <v>0</v>
      </c>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91913</v>
      </c>
      <c r="F330" s="1691">
        <f t="shared" si="25"/>
        <v>0</v>
      </c>
      <c r="G330" s="1691">
        <f t="shared" si="25"/>
        <v>0</v>
      </c>
      <c r="H330" s="1691">
        <f t="shared" si="25"/>
        <v>0</v>
      </c>
      <c r="I330" s="1691">
        <f t="shared" si="25"/>
        <v>0</v>
      </c>
      <c r="J330" s="1691">
        <f t="shared" si="25"/>
        <v>0</v>
      </c>
      <c r="K330" s="1691">
        <f>SUM(K319:K329)</f>
        <v>91913</v>
      </c>
      <c r="L330" s="1691">
        <f>SUM(L319:L329)</f>
        <v>100000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v>0</v>
      </c>
      <c r="I332" s="1855"/>
      <c r="J332" s="1855"/>
      <c r="K332" s="1692">
        <f>H332</f>
        <v>0</v>
      </c>
      <c r="L332" s="467">
        <v>0</v>
      </c>
      <c r="M332" s="666"/>
      <c r="N332" s="666"/>
    </row>
    <row r="333" spans="1:14" s="675" customFormat="1" ht="12.75" customHeight="1" x14ac:dyDescent="0.2">
      <c r="A333" s="1854" t="s">
        <v>322</v>
      </c>
      <c r="B333" s="1849" t="s">
        <v>1959</v>
      </c>
      <c r="C333" s="1855"/>
      <c r="D333" s="1855"/>
      <c r="E333" s="1855"/>
      <c r="F333" s="1855"/>
      <c r="G333" s="1855"/>
      <c r="H333" s="467">
        <v>0</v>
      </c>
      <c r="I333" s="1855"/>
      <c r="J333" s="1855"/>
      <c r="K333" s="1692">
        <f>H333</f>
        <v>0</v>
      </c>
      <c r="L333" s="467">
        <v>0</v>
      </c>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v>0</v>
      </c>
      <c r="I337" s="639"/>
      <c r="J337" s="639"/>
      <c r="K337" s="1692">
        <f>H337</f>
        <v>0</v>
      </c>
      <c r="L337" s="478">
        <v>0</v>
      </c>
    </row>
    <row r="338" spans="1:14" ht="12.75" customHeight="1" x14ac:dyDescent="0.2">
      <c r="A338" s="1539" t="s">
        <v>1232</v>
      </c>
      <c r="B338" s="691" t="s">
        <v>638</v>
      </c>
      <c r="C338" s="639"/>
      <c r="D338" s="639"/>
      <c r="E338" s="639"/>
      <c r="F338" s="639"/>
      <c r="G338" s="639"/>
      <c r="H338" s="478">
        <v>0</v>
      </c>
      <c r="I338" s="639"/>
      <c r="J338" s="639"/>
      <c r="K338" s="1692">
        <f>H338</f>
        <v>0</v>
      </c>
      <c r="L338" s="478">
        <v>0</v>
      </c>
    </row>
    <row r="339" spans="1:14" x14ac:dyDescent="0.2">
      <c r="A339" s="1525" t="s">
        <v>957</v>
      </c>
      <c r="B339" s="629">
        <v>5150</v>
      </c>
      <c r="C339" s="639"/>
      <c r="D339" s="639"/>
      <c r="E339" s="639"/>
      <c r="F339" s="639"/>
      <c r="G339" s="639"/>
      <c r="H339" s="467">
        <v>0</v>
      </c>
      <c r="I339" s="639"/>
      <c r="J339" s="639"/>
      <c r="K339" s="1692">
        <f>H339</f>
        <v>0</v>
      </c>
      <c r="L339" s="467">
        <v>0</v>
      </c>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7" t="s">
        <v>526</v>
      </c>
      <c r="B342" s="1722"/>
      <c r="C342" s="1691">
        <f>SUM(C330)</f>
        <v>0</v>
      </c>
      <c r="D342" s="1691">
        <f>SUM(D330)</f>
        <v>0</v>
      </c>
      <c r="E342" s="1691">
        <f>SUM(E330)</f>
        <v>91913</v>
      </c>
      <c r="F342" s="1691">
        <f>SUM(F330)</f>
        <v>0</v>
      </c>
      <c r="G342" s="1691">
        <f>SUM(G330)</f>
        <v>0</v>
      </c>
      <c r="H342" s="1691">
        <f>SUM(H330,H334,H340)</f>
        <v>0</v>
      </c>
      <c r="I342" s="1691">
        <f>SUM(I330)</f>
        <v>0</v>
      </c>
      <c r="J342" s="1691">
        <f>SUM(J330)</f>
        <v>0</v>
      </c>
      <c r="K342" s="1691">
        <f>SUM(K330,K334,K340)</f>
        <v>91913</v>
      </c>
      <c r="L342" s="1698">
        <f>SUM(L330,L340,L341)</f>
        <v>100000</v>
      </c>
    </row>
    <row r="343" spans="1:14" ht="12.75" customHeight="1" thickTop="1" x14ac:dyDescent="0.2">
      <c r="A343" s="2187" t="s">
        <v>1053</v>
      </c>
      <c r="B343" s="2188"/>
      <c r="C343" s="617"/>
      <c r="D343" s="617"/>
      <c r="E343" s="617"/>
      <c r="F343" s="617"/>
      <c r="G343" s="617"/>
      <c r="H343" s="617"/>
      <c r="I343" s="617"/>
      <c r="J343" s="617"/>
      <c r="K343" s="1705">
        <f>'Revenues 9-14'!J275-'Expenditures 15-22'!K342</f>
        <v>28862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7">
        <v>0</v>
      </c>
      <c r="J348" s="467">
        <v>0</v>
      </c>
      <c r="K348" s="1692">
        <f>SUM(C348:J348)</f>
        <v>0</v>
      </c>
      <c r="L348" s="466">
        <v>0</v>
      </c>
    </row>
    <row r="349" spans="1:14" x14ac:dyDescent="0.2">
      <c r="A349" s="1525" t="s">
        <v>206</v>
      </c>
      <c r="B349" s="615">
        <v>2540</v>
      </c>
      <c r="C349" s="466">
        <v>0</v>
      </c>
      <c r="D349" s="466">
        <v>0</v>
      </c>
      <c r="E349" s="466">
        <v>0</v>
      </c>
      <c r="F349" s="466">
        <v>0</v>
      </c>
      <c r="G349" s="466">
        <v>0</v>
      </c>
      <c r="H349" s="466">
        <v>0</v>
      </c>
      <c r="I349" s="467">
        <v>0</v>
      </c>
      <c r="J349" s="467">
        <v>0</v>
      </c>
      <c r="K349" s="1692">
        <f>SUM(C349:J349)</f>
        <v>0</v>
      </c>
      <c r="L349" s="466">
        <v>0</v>
      </c>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1"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v>0</v>
      </c>
      <c r="I354" s="702"/>
      <c r="J354" s="617"/>
      <c r="K354" s="1720">
        <f>H354</f>
        <v>0</v>
      </c>
      <c r="L354" s="471">
        <v>0</v>
      </c>
    </row>
    <row r="355" spans="1:14" ht="12.75" customHeight="1" x14ac:dyDescent="0.2">
      <c r="A355" s="1534" t="s">
        <v>1966</v>
      </c>
      <c r="B355" s="691" t="s">
        <v>1959</v>
      </c>
      <c r="C355" s="617"/>
      <c r="D355" s="617"/>
      <c r="E355" s="617"/>
      <c r="F355" s="617"/>
      <c r="G355" s="617"/>
      <c r="H355" s="467">
        <v>0</v>
      </c>
      <c r="I355" s="702"/>
      <c r="J355" s="617"/>
      <c r="K355" s="1764">
        <f>H355</f>
        <v>0</v>
      </c>
      <c r="L355" s="467">
        <v>0</v>
      </c>
    </row>
    <row r="356" spans="1:14" ht="12.75" customHeight="1" x14ac:dyDescent="0.2">
      <c r="A356" s="1856" t="s">
        <v>722</v>
      </c>
      <c r="B356" s="684" t="s">
        <v>579</v>
      </c>
      <c r="C356" s="617"/>
      <c r="D356" s="617"/>
      <c r="E356" s="617"/>
      <c r="F356" s="617"/>
      <c r="G356" s="617"/>
      <c r="H356" s="479">
        <v>0</v>
      </c>
      <c r="I356" s="702"/>
      <c r="J356" s="617"/>
      <c r="K356" s="1761">
        <f>H356</f>
        <v>0</v>
      </c>
      <c r="L356" s="479">
        <v>0</v>
      </c>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v>0</v>
      </c>
    </row>
    <row r="361" spans="1:14" ht="12.75" customHeight="1" x14ac:dyDescent="0.2">
      <c r="A361" s="1526" t="s">
        <v>640</v>
      </c>
      <c r="B361" s="603" t="s">
        <v>639</v>
      </c>
      <c r="C361" s="617"/>
      <c r="D361" s="617"/>
      <c r="E361" s="617"/>
      <c r="F361" s="617"/>
      <c r="G361" s="617"/>
      <c r="H361" s="467">
        <v>0</v>
      </c>
      <c r="I361" s="617"/>
      <c r="J361" s="617"/>
      <c r="K361" s="1692">
        <f>SUM(C361:J361)</f>
        <v>0</v>
      </c>
      <c r="L361" s="466">
        <v>0</v>
      </c>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v>0</v>
      </c>
      <c r="I363" s="639"/>
      <c r="J363" s="639"/>
      <c r="K363" s="1720">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2">
        <f>SUM(C364:J364)</f>
        <v>0</v>
      </c>
      <c r="L364" s="708">
        <v>0</v>
      </c>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74" t="s">
        <v>1053</v>
      </c>
      <c r="B368" s="2175"/>
      <c r="C368" s="655"/>
      <c r="D368" s="655"/>
      <c r="E368" s="627"/>
      <c r="F368" s="627"/>
      <c r="G368" s="627"/>
      <c r="H368" s="627"/>
      <c r="I368" s="627"/>
      <c r="J368" s="624"/>
      <c r="K368" s="1692">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F36"/>
  <sheetViews>
    <sheetView showGridLines="0" defaultGridColor="0" colorId="8" zoomScale="110" zoomScaleNormal="110" workbookViewId="0">
      <selection activeCell="N20" sqref="N20"/>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1" t="s">
        <v>1905</v>
      </c>
      <c r="B2" s="1549" t="s">
        <v>2037</v>
      </c>
      <c r="C2" s="715" t="s">
        <v>1910</v>
      </c>
      <c r="D2" s="715" t="s">
        <v>1911</v>
      </c>
      <c r="E2" s="715" t="s">
        <v>1912</v>
      </c>
      <c r="F2" s="715" t="s">
        <v>1913</v>
      </c>
    </row>
    <row r="3" spans="1:6" ht="12" customHeight="1" x14ac:dyDescent="0.2">
      <c r="A3" s="2202"/>
      <c r="B3" s="1546"/>
      <c r="C3" s="1547"/>
      <c r="D3" s="1548" t="s">
        <v>274</v>
      </c>
      <c r="E3" s="1547"/>
      <c r="F3" s="1548" t="s">
        <v>275</v>
      </c>
    </row>
    <row r="4" spans="1:6" ht="13.7" customHeight="1" x14ac:dyDescent="0.2">
      <c r="A4" s="716" t="s">
        <v>1217</v>
      </c>
      <c r="B4" s="1770">
        <f>'Revenues 9-14'!C5</f>
        <v>6408366</v>
      </c>
      <c r="C4" s="1545">
        <v>3513146</v>
      </c>
      <c r="D4" s="1773">
        <f>B4-C4</f>
        <v>2895220</v>
      </c>
      <c r="E4" s="1545">
        <v>6447706</v>
      </c>
      <c r="F4" s="1773">
        <f>E4-C4</f>
        <v>2934560</v>
      </c>
    </row>
    <row r="5" spans="1:6" ht="13.7" customHeight="1" x14ac:dyDescent="0.2">
      <c r="A5" s="716" t="s">
        <v>925</v>
      </c>
      <c r="B5" s="1771">
        <f>'Revenues 9-14'!D5</f>
        <v>921939</v>
      </c>
      <c r="C5" s="585">
        <v>504963</v>
      </c>
      <c r="D5" s="1774">
        <f t="shared" ref="D5:D18" si="0">B5-C5</f>
        <v>416976</v>
      </c>
      <c r="E5" s="585">
        <v>926762</v>
      </c>
      <c r="F5" s="1774">
        <f>E5-C5</f>
        <v>421799</v>
      </c>
    </row>
    <row r="6" spans="1:6" ht="13.7" customHeight="1" x14ac:dyDescent="0.2">
      <c r="A6" s="716" t="s">
        <v>431</v>
      </c>
      <c r="B6" s="1771">
        <f>'Revenues 9-14'!E5</f>
        <v>2533881</v>
      </c>
      <c r="C6" s="585">
        <v>1397586</v>
      </c>
      <c r="D6" s="1774">
        <f t="shared" si="0"/>
        <v>1136295</v>
      </c>
      <c r="E6" s="585">
        <v>2565001</v>
      </c>
      <c r="F6" s="1774">
        <f t="shared" ref="F6:F18" si="1">E6-C6</f>
        <v>1167415</v>
      </c>
    </row>
    <row r="7" spans="1:6" ht="13.7" customHeight="1" x14ac:dyDescent="0.2">
      <c r="A7" s="716" t="s">
        <v>157</v>
      </c>
      <c r="B7" s="1771">
        <f>'Revenues 9-14'!F5</f>
        <v>102530</v>
      </c>
      <c r="C7" s="585">
        <v>56135</v>
      </c>
      <c r="D7" s="1774">
        <f t="shared" si="0"/>
        <v>46395</v>
      </c>
      <c r="E7" s="585">
        <v>103026</v>
      </c>
      <c r="F7" s="1774">
        <f t="shared" si="1"/>
        <v>46891</v>
      </c>
    </row>
    <row r="8" spans="1:6" ht="13.7" customHeight="1" x14ac:dyDescent="0.2">
      <c r="A8" s="716" t="s">
        <v>1241</v>
      </c>
      <c r="B8" s="1771">
        <f>'Revenues 9-14'!G5</f>
        <v>110815</v>
      </c>
      <c r="C8" s="585">
        <v>60559</v>
      </c>
      <c r="D8" s="1774">
        <f t="shared" si="0"/>
        <v>50256</v>
      </c>
      <c r="E8" s="585">
        <v>111145</v>
      </c>
      <c r="F8" s="1774">
        <f t="shared" si="1"/>
        <v>50586</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0</v>
      </c>
      <c r="C10" s="585"/>
      <c r="D10" s="1774">
        <f t="shared" si="0"/>
        <v>0</v>
      </c>
      <c r="E10" s="585"/>
      <c r="F10" s="1774">
        <f t="shared" si="1"/>
        <v>0</v>
      </c>
    </row>
    <row r="11" spans="1:6" x14ac:dyDescent="0.2">
      <c r="A11" s="716" t="s">
        <v>429</v>
      </c>
      <c r="B11" s="1771">
        <f>'Revenues 9-14'!J5</f>
        <v>114945</v>
      </c>
      <c r="C11" s="585">
        <v>53270</v>
      </c>
      <c r="D11" s="1774">
        <f t="shared" si="0"/>
        <v>61675</v>
      </c>
      <c r="E11" s="585">
        <v>97768</v>
      </c>
      <c r="F11" s="1774">
        <f t="shared" si="1"/>
        <v>44498</v>
      </c>
    </row>
    <row r="12" spans="1:6" ht="13.7" customHeight="1" x14ac:dyDescent="0.2">
      <c r="A12" s="716" t="s">
        <v>159</v>
      </c>
      <c r="B12" s="1771">
        <f>'Revenues 9-14'!K5</f>
        <v>0</v>
      </c>
      <c r="C12" s="585"/>
      <c r="D12" s="1774">
        <f t="shared" si="0"/>
        <v>0</v>
      </c>
      <c r="E12" s="585"/>
      <c r="F12" s="1774">
        <f t="shared" si="1"/>
        <v>0</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75557</v>
      </c>
      <c r="C14" s="585">
        <v>41293</v>
      </c>
      <c r="D14" s="1774">
        <f t="shared" si="0"/>
        <v>34264</v>
      </c>
      <c r="E14" s="585">
        <v>75785</v>
      </c>
      <c r="F14" s="1774">
        <f t="shared" si="1"/>
        <v>34492</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160476</v>
      </c>
      <c r="C16" s="585">
        <v>81903</v>
      </c>
      <c r="D16" s="1774">
        <f t="shared" si="0"/>
        <v>78573</v>
      </c>
      <c r="E16" s="585">
        <v>150317</v>
      </c>
      <c r="F16" s="1774">
        <f t="shared" si="1"/>
        <v>68414</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10428509</v>
      </c>
      <c r="C19" s="1772">
        <f>SUM(C4:C18)</f>
        <v>5708855</v>
      </c>
      <c r="D19" s="1772">
        <f>SUM(D4:D18)</f>
        <v>4719654</v>
      </c>
      <c r="E19" s="1772">
        <f>SUM(E4:E18)</f>
        <v>10477510</v>
      </c>
      <c r="F19" s="1772">
        <f>SUM(F4:F18)</f>
        <v>4768655</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K59"/>
  <sheetViews>
    <sheetView showGridLines="0" defaultGridColor="0" topLeftCell="A10" colorId="8" zoomScale="110" zoomScaleNormal="110" workbookViewId="0">
      <selection activeCell="N20" sqref="N2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8" t="s">
        <v>2038</v>
      </c>
      <c r="D2" s="724" t="s">
        <v>2045</v>
      </c>
      <c r="E2" s="724" t="s">
        <v>2046</v>
      </c>
      <c r="F2" s="1908" t="s">
        <v>2039</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6">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4" t="s">
        <v>652</v>
      </c>
      <c r="B15" s="2215"/>
      <c r="C15" s="1776">
        <f>SUM(C6:C14)</f>
        <v>0</v>
      </c>
      <c r="D15" s="1776">
        <f>SUM(D6:D14)</f>
        <v>0</v>
      </c>
      <c r="E15" s="1776">
        <f>SUM(E6:E14)</f>
        <v>0</v>
      </c>
      <c r="F15" s="1776">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6">
        <f>SUM(C17+D17)-E17</f>
        <v>0</v>
      </c>
    </row>
    <row r="18" spans="1:11" ht="12.75" customHeight="1" thickTop="1" thickBot="1" x14ac:dyDescent="0.25">
      <c r="A18" s="2209" t="s">
        <v>6</v>
      </c>
      <c r="B18" s="2210"/>
      <c r="C18" s="727"/>
      <c r="D18" s="585"/>
      <c r="E18" s="727"/>
      <c r="F18" s="1776">
        <f>SUM(C18+D18)-E18</f>
        <v>0</v>
      </c>
    </row>
    <row r="19" spans="1:11" ht="12.75" customHeight="1" thickTop="1" thickBot="1" x14ac:dyDescent="0.25">
      <c r="A19" s="2209" t="s">
        <v>406</v>
      </c>
      <c r="B19" s="2210"/>
      <c r="C19" s="727"/>
      <c r="D19" s="585"/>
      <c r="E19" s="727"/>
      <c r="F19" s="1776">
        <f>SUM(C19+D19)-E19</f>
        <v>0</v>
      </c>
    </row>
    <row r="20" spans="1:11" ht="12.75" customHeight="1" thickTop="1" thickBot="1" x14ac:dyDescent="0.25">
      <c r="A20" s="2209" t="s">
        <v>468</v>
      </c>
      <c r="B20" s="2210"/>
      <c r="C20" s="727"/>
      <c r="D20" s="585"/>
      <c r="E20" s="727"/>
      <c r="F20" s="1776">
        <f>SUM(C20+D20)-E20</f>
        <v>0</v>
      </c>
    </row>
    <row r="21" spans="1:11" ht="14.25" thickTop="1" thickBot="1" x14ac:dyDescent="0.25">
      <c r="A21" s="2214" t="s">
        <v>653</v>
      </c>
      <c r="B21" s="2215"/>
      <c r="C21" s="1776">
        <f>SUM(C17:C20)</f>
        <v>0</v>
      </c>
      <c r="D21" s="1776">
        <f>SUM(D17:D20)</f>
        <v>0</v>
      </c>
      <c r="E21" s="1776">
        <f>SUM(E17:E20)</f>
        <v>0</v>
      </c>
      <c r="F21" s="1776">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6">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6">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6">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0"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t="s">
        <v>2091</v>
      </c>
      <c r="B31" s="734">
        <v>37147</v>
      </c>
      <c r="C31" s="735">
        <v>15441479</v>
      </c>
      <c r="D31" s="736">
        <v>6</v>
      </c>
      <c r="E31" s="735">
        <v>2274350</v>
      </c>
      <c r="F31" s="735">
        <v>0</v>
      </c>
      <c r="G31" s="735">
        <v>0</v>
      </c>
      <c r="H31" s="735">
        <v>606015</v>
      </c>
      <c r="I31" s="1777">
        <f>((E31+F31)-H31)+G31</f>
        <v>1668335</v>
      </c>
      <c r="J31" s="735">
        <v>200019</v>
      </c>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15441479</v>
      </c>
      <c r="D49" s="746"/>
      <c r="E49" s="1777">
        <f t="shared" ref="E49:J49" si="2">SUM(E31:E48)</f>
        <v>2274350</v>
      </c>
      <c r="F49" s="1777">
        <f t="shared" si="2"/>
        <v>0</v>
      </c>
      <c r="G49" s="1777">
        <f t="shared" si="2"/>
        <v>0</v>
      </c>
      <c r="H49" s="1777">
        <f t="shared" si="2"/>
        <v>606015</v>
      </c>
      <c r="I49" s="1777">
        <f t="shared" si="2"/>
        <v>1668335</v>
      </c>
      <c r="J49" s="1777">
        <f t="shared" si="2"/>
        <v>200019</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pageSetUpPr fitToPage="1"/>
  </sheetPr>
  <dimension ref="A1:K48"/>
  <sheetViews>
    <sheetView showGridLines="0" defaultGridColor="0" topLeftCell="A7" colorId="8" zoomScale="110" zoomScaleNormal="110" workbookViewId="0">
      <selection activeCell="N20" sqref="N2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1"/>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75557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8286</v>
      </c>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v>31801</v>
      </c>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8"/>
      <c r="G12" s="1779">
        <f>SUM(G5:G11)</f>
        <v>0</v>
      </c>
      <c r="H12" s="1779">
        <f>SUM(H5:H11)</f>
        <v>75557</v>
      </c>
      <c r="I12" s="1779">
        <f>SUM(I5:I11)</f>
        <v>0</v>
      </c>
      <c r="J12" s="1779">
        <f>SUM(J5:J11)</f>
        <v>0</v>
      </c>
      <c r="K12" s="1779">
        <f>SUM(K5:K11)</f>
        <v>40087</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0"/>
      <c r="G21" s="793"/>
      <c r="H21" s="797"/>
      <c r="I21" s="797"/>
      <c r="J21" s="1781">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2"/>
      <c r="G23" s="1779">
        <f>SUM(G14:G16,G21,G22)</f>
        <v>0</v>
      </c>
      <c r="H23" s="1779">
        <f>SUM(H14:H16,H21,H22)</f>
        <v>0</v>
      </c>
      <c r="I23" s="1779">
        <f>SUM(I14:I16,I21,I22)</f>
        <v>0</v>
      </c>
      <c r="J23" s="1779">
        <f>SUM(J14:J16,J21,J22)</f>
        <v>0</v>
      </c>
      <c r="K23" s="1779">
        <f>SUM(K14:K16,K21,K22)</f>
        <v>0</v>
      </c>
    </row>
    <row r="24" spans="1:11" ht="14.25" thickTop="1" thickBot="1" x14ac:dyDescent="0.25">
      <c r="A24" s="2266" t="s">
        <v>2026</v>
      </c>
      <c r="B24" s="2265"/>
      <c r="C24" s="2265"/>
      <c r="D24" s="2265"/>
      <c r="E24" s="2265"/>
      <c r="F24" s="1783"/>
      <c r="G24" s="1784">
        <f>SUM(G3,G12)-G23</f>
        <v>0</v>
      </c>
      <c r="H24" s="1784">
        <f>SUM(H3,H12)-H23</f>
        <v>75557</v>
      </c>
      <c r="I24" s="1784">
        <f>SUM(I3,I12)-I23</f>
        <v>0</v>
      </c>
      <c r="J24" s="1784">
        <f>SUM(J3,J12)-J23</f>
        <v>0</v>
      </c>
      <c r="K24" s="1784">
        <f>SUM(K3,K12)-K23</f>
        <v>40087</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75557</v>
      </c>
      <c r="I26" s="1779">
        <f>I24-I25</f>
        <v>0</v>
      </c>
      <c r="J26" s="1779">
        <f>J24-J25</f>
        <v>0</v>
      </c>
      <c r="K26" s="1779">
        <f>K24-K25</f>
        <v>40087</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sheetPr>
  <dimension ref="A1:N27"/>
  <sheetViews>
    <sheetView showGridLines="0" defaultGridColor="0" colorId="8" zoomScale="110" zoomScaleNormal="110" workbookViewId="0">
      <selection activeCell="N20" sqref="N20"/>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7"/>
      <c r="E1" s="828"/>
      <c r="F1" s="828"/>
      <c r="G1" s="829"/>
      <c r="H1" s="830"/>
      <c r="I1" s="831"/>
      <c r="J1" s="2269"/>
      <c r="K1" s="2270"/>
      <c r="L1" s="2270"/>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1174836</v>
      </c>
      <c r="D5" s="842"/>
      <c r="E5" s="842"/>
      <c r="F5" s="1781">
        <f>(C5+D5)-E5</f>
        <v>1174836</v>
      </c>
      <c r="G5" s="838"/>
      <c r="H5" s="843"/>
      <c r="I5" s="843"/>
      <c r="J5" s="843"/>
      <c r="K5" s="794"/>
      <c r="L5" s="1790">
        <f>F5-K5</f>
        <v>1174836</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31122012</v>
      </c>
      <c r="D8" s="845"/>
      <c r="E8" s="845"/>
      <c r="F8" s="1781">
        <f>(C8+D8)-E8</f>
        <v>31122012</v>
      </c>
      <c r="G8" s="844">
        <v>50</v>
      </c>
      <c r="H8" s="766">
        <v>8633805</v>
      </c>
      <c r="I8" s="766">
        <v>646035</v>
      </c>
      <c r="J8" s="766"/>
      <c r="K8" s="1790">
        <f>(H8+I8)-J8</f>
        <v>9279840</v>
      </c>
      <c r="L8" s="1790">
        <f>F8-K8</f>
        <v>21842172</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2770446</v>
      </c>
      <c r="D10" s="847">
        <v>147900</v>
      </c>
      <c r="E10" s="847"/>
      <c r="F10" s="1785">
        <f>(C10+D10)-E10</f>
        <v>2918346</v>
      </c>
      <c r="G10" s="844">
        <v>20</v>
      </c>
      <c r="H10" s="848">
        <v>1993954</v>
      </c>
      <c r="I10" s="848">
        <v>111414</v>
      </c>
      <c r="J10" s="848"/>
      <c r="K10" s="1790">
        <f>(H10+I10)-J10</f>
        <v>2105368</v>
      </c>
      <c r="L10" s="1790">
        <f>F10-K10</f>
        <v>812978</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1838865</v>
      </c>
      <c r="D12" s="845">
        <v>151395</v>
      </c>
      <c r="E12" s="845"/>
      <c r="F12" s="1781">
        <f>(C12+D12)-E12</f>
        <v>1990260</v>
      </c>
      <c r="G12" s="844">
        <v>10</v>
      </c>
      <c r="H12" s="766">
        <v>1431441</v>
      </c>
      <c r="I12" s="766">
        <v>81149</v>
      </c>
      <c r="J12" s="766"/>
      <c r="K12" s="1790">
        <f>(H12+I12)-J12</f>
        <v>1512590</v>
      </c>
      <c r="L12" s="1790">
        <f>F12-K12</f>
        <v>477670</v>
      </c>
    </row>
    <row r="13" spans="1:14" ht="14.25" thickTop="1" thickBot="1" x14ac:dyDescent="0.25">
      <c r="A13" s="849" t="s">
        <v>1184</v>
      </c>
      <c r="B13" s="841">
        <v>252</v>
      </c>
      <c r="C13" s="845">
        <v>1239353</v>
      </c>
      <c r="D13" s="845"/>
      <c r="E13" s="845"/>
      <c r="F13" s="1781">
        <f>(C13+D13)-E13</f>
        <v>1239353</v>
      </c>
      <c r="G13" s="844">
        <v>5</v>
      </c>
      <c r="H13" s="766">
        <v>1026372</v>
      </c>
      <c r="I13" s="766">
        <v>66261</v>
      </c>
      <c r="J13" s="766"/>
      <c r="K13" s="1790">
        <f>(H13+I13)-J13</f>
        <v>1092633</v>
      </c>
      <c r="L13" s="1790">
        <f>F13-K13</f>
        <v>146720</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38145512</v>
      </c>
      <c r="D16" s="1781">
        <f>SUM(D3,D5:D6,D8:D10,D12:D15)</f>
        <v>299295</v>
      </c>
      <c r="E16" s="1781">
        <f>SUM(E3,E5:E6,E8:E10,E12:E15)</f>
        <v>0</v>
      </c>
      <c r="F16" s="1781">
        <f>SUM(F3,F5:F6,F8:F10,F12:F15)</f>
        <v>38444807</v>
      </c>
      <c r="G16" s="844"/>
      <c r="H16" s="1781">
        <f>SUM(H3,H6,H8:H10,H12:H14,)</f>
        <v>13085572</v>
      </c>
      <c r="I16" s="1781">
        <f>SUM(I3,I6,I8:I10,I12:I14,)</f>
        <v>904859</v>
      </c>
      <c r="J16" s="1781">
        <f>SUM(J3,J6,J8:J10,J12:J14,)</f>
        <v>0</v>
      </c>
      <c r="K16" s="1781">
        <f>(H16+I16)-J16</f>
        <v>13990431</v>
      </c>
      <c r="L16" s="1781">
        <f>F16-K16</f>
        <v>24454376</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107464</v>
      </c>
      <c r="G17" s="838">
        <v>10</v>
      </c>
      <c r="H17" s="770"/>
      <c r="I17" s="1790">
        <f>F17/G17</f>
        <v>10746.4</v>
      </c>
      <c r="J17" s="770"/>
      <c r="K17" s="796"/>
      <c r="L17" s="796"/>
    </row>
    <row r="18" spans="1:12" ht="14.25" thickTop="1" thickBot="1" x14ac:dyDescent="0.25">
      <c r="A18" s="1788" t="s">
        <v>706</v>
      </c>
      <c r="B18" s="1789"/>
      <c r="C18" s="772"/>
      <c r="D18" s="772"/>
      <c r="E18" s="772"/>
      <c r="F18" s="851"/>
      <c r="G18" s="852"/>
      <c r="H18" s="774"/>
      <c r="I18" s="1781">
        <f>SUM(I16,I17)</f>
        <v>915605.4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1"/>
  </sheetPr>
  <dimension ref="A1:H206"/>
  <sheetViews>
    <sheetView showGridLines="0" defaultGridColor="0" colorId="8" zoomScale="110" zoomScaleNormal="110" workbookViewId="0">
      <pane ySplit="5" topLeftCell="A130" activePane="bottomLeft" state="frozen"/>
      <selection activeCell="N20" sqref="N20"/>
      <selection pane="bottomLeft" activeCell="F177" sqref="F17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8993053</v>
      </c>
      <c r="G8" s="866"/>
    </row>
    <row r="9" spans="1:7" x14ac:dyDescent="0.2">
      <c r="A9" s="870" t="s">
        <v>480</v>
      </c>
      <c r="B9" s="871" t="s">
        <v>1989</v>
      </c>
      <c r="C9" s="872"/>
      <c r="D9" s="870" t="s">
        <v>522</v>
      </c>
      <c r="E9" s="869"/>
      <c r="F9" s="1934">
        <f>'Expenditures 15-22'!K151</f>
        <v>1209297</v>
      </c>
      <c r="G9" s="873"/>
    </row>
    <row r="10" spans="1:7" x14ac:dyDescent="0.2">
      <c r="A10" s="870" t="s">
        <v>520</v>
      </c>
      <c r="B10" s="871" t="s">
        <v>1990</v>
      </c>
      <c r="C10" s="872"/>
      <c r="D10" s="870" t="s">
        <v>522</v>
      </c>
      <c r="E10" s="869"/>
      <c r="F10" s="1934">
        <f>'Expenditures 15-22'!K174</f>
        <v>2545000</v>
      </c>
      <c r="G10" s="873"/>
    </row>
    <row r="11" spans="1:7" x14ac:dyDescent="0.2">
      <c r="A11" s="870" t="s">
        <v>481</v>
      </c>
      <c r="B11" s="871" t="s">
        <v>1991</v>
      </c>
      <c r="C11" s="872"/>
      <c r="D11" s="870" t="s">
        <v>522</v>
      </c>
      <c r="E11" s="869"/>
      <c r="F11" s="1934">
        <f>'Expenditures 15-22'!K210</f>
        <v>549238</v>
      </c>
      <c r="G11" s="873"/>
    </row>
    <row r="12" spans="1:7" x14ac:dyDescent="0.2">
      <c r="A12" s="870" t="s">
        <v>482</v>
      </c>
      <c r="B12" s="871" t="s">
        <v>1992</v>
      </c>
      <c r="C12" s="872"/>
      <c r="D12" s="870" t="s">
        <v>522</v>
      </c>
      <c r="E12" s="869"/>
      <c r="F12" s="1934">
        <f>'Expenditures 15-22'!K295</f>
        <v>294542</v>
      </c>
      <c r="G12" s="873"/>
    </row>
    <row r="13" spans="1:7" x14ac:dyDescent="0.2">
      <c r="A13" s="870" t="s">
        <v>108</v>
      </c>
      <c r="B13" s="871" t="s">
        <v>1993</v>
      </c>
      <c r="C13" s="872"/>
      <c r="D13" s="870" t="s">
        <v>522</v>
      </c>
      <c r="E13" s="869"/>
      <c r="F13" s="1934">
        <f>'Expenditures 15-22'!K342</f>
        <v>91913</v>
      </c>
      <c r="G13" s="874"/>
    </row>
    <row r="14" spans="1:7" ht="12" customHeight="1" thickBot="1" x14ac:dyDescent="0.25">
      <c r="A14" s="1791"/>
      <c r="B14" s="1792"/>
      <c r="C14" s="1793"/>
      <c r="D14" s="1794" t="s">
        <v>522</v>
      </c>
      <c r="E14" s="1795" t="s">
        <v>1015</v>
      </c>
      <c r="F14" s="1796">
        <f>SUM(F8:F13)</f>
        <v>13683043</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65415</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24343</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1400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719197</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108808</v>
      </c>
      <c r="G53" s="866"/>
    </row>
    <row r="54" spans="1:7" x14ac:dyDescent="0.2">
      <c r="A54" s="870" t="s">
        <v>479</v>
      </c>
      <c r="B54" s="870" t="s">
        <v>1552</v>
      </c>
      <c r="C54" s="890" t="s">
        <v>1039</v>
      </c>
      <c r="D54" s="886" t="s">
        <v>1157</v>
      </c>
      <c r="E54" s="869"/>
      <c r="F54" s="1938">
        <f>'Expenditures 15-22'!G114</f>
        <v>107716</v>
      </c>
      <c r="G54" s="866"/>
    </row>
    <row r="55" spans="1:7" x14ac:dyDescent="0.2">
      <c r="A55" s="870" t="s">
        <v>479</v>
      </c>
      <c r="B55" s="870" t="s">
        <v>1553</v>
      </c>
      <c r="C55" s="890" t="s">
        <v>1039</v>
      </c>
      <c r="D55" s="886" t="s">
        <v>309</v>
      </c>
      <c r="E55" s="869"/>
      <c r="F55" s="1938">
        <f>'Expenditures 15-22'!I114</f>
        <v>80664</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0</v>
      </c>
      <c r="G57" s="866"/>
    </row>
    <row r="58" spans="1:7" x14ac:dyDescent="0.2">
      <c r="A58" s="870" t="s">
        <v>480</v>
      </c>
      <c r="B58" s="870" t="s">
        <v>1995</v>
      </c>
      <c r="C58" s="887" t="s">
        <v>1039</v>
      </c>
      <c r="D58" s="886" t="s">
        <v>1157</v>
      </c>
      <c r="E58" s="869"/>
      <c r="F58" s="1940">
        <f>'Expenditures 15-22'!G151</f>
        <v>175987</v>
      </c>
      <c r="G58" s="866"/>
    </row>
    <row r="59" spans="1:7" x14ac:dyDescent="0.2">
      <c r="A59" s="894" t="s">
        <v>480</v>
      </c>
      <c r="B59" s="857" t="s">
        <v>1996</v>
      </c>
      <c r="C59" s="895" t="s">
        <v>1039</v>
      </c>
      <c r="D59" s="857" t="s">
        <v>309</v>
      </c>
      <c r="F59" s="1941">
        <f>'Expenditures 15-22'!I151</f>
        <v>6402</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606015</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0</v>
      </c>
      <c r="G65" s="866"/>
    </row>
    <row r="66" spans="1:8" x14ac:dyDescent="0.2">
      <c r="A66" s="870" t="s">
        <v>481</v>
      </c>
      <c r="B66" s="870" t="s">
        <v>2003</v>
      </c>
      <c r="C66" s="887" t="s">
        <v>1039</v>
      </c>
      <c r="D66" s="886" t="s">
        <v>309</v>
      </c>
      <c r="E66" s="869"/>
      <c r="F66" s="1938">
        <f>'Expenditures 15-22'!I210</f>
        <v>20398</v>
      </c>
      <c r="G66" s="866"/>
    </row>
    <row r="67" spans="1:8" x14ac:dyDescent="0.2">
      <c r="A67" s="870" t="s">
        <v>482</v>
      </c>
      <c r="B67" s="870" t="s">
        <v>2004</v>
      </c>
      <c r="C67" s="887" t="str">
        <f>'Expenditures 15-22'!B216</f>
        <v>1125</v>
      </c>
      <c r="D67" s="893" t="str">
        <f>'Expenditures 15-22'!A216</f>
        <v>Pre-K Programs</v>
      </c>
      <c r="E67" s="869"/>
      <c r="F67" s="1938">
        <f>'Expenditures 15-22'!K216</f>
        <v>0</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317</v>
      </c>
      <c r="G71" s="866"/>
    </row>
    <row r="72" spans="1:8" x14ac:dyDescent="0.2">
      <c r="A72" s="870" t="s">
        <v>482</v>
      </c>
      <c r="B72" s="870" t="s">
        <v>2008</v>
      </c>
      <c r="C72" s="887">
        <f>'Expenditures 15-22'!B280</f>
        <v>3000</v>
      </c>
      <c r="D72" s="877" t="s">
        <v>469</v>
      </c>
      <c r="E72" s="869"/>
      <c r="F72" s="1938">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1916662</v>
      </c>
      <c r="G76" s="866"/>
    </row>
    <row r="77" spans="1:8" s="894" customFormat="1" ht="12" customHeight="1" thickTop="1" thickBot="1" x14ac:dyDescent="0.25">
      <c r="A77" s="1800"/>
      <c r="B77" s="1797"/>
      <c r="C77" s="1793"/>
      <c r="D77" s="1798" t="s">
        <v>2012</v>
      </c>
      <c r="E77" s="1795"/>
      <c r="F77" s="1801">
        <f>(F14-F76)</f>
        <v>11766381</v>
      </c>
      <c r="G77" s="870"/>
    </row>
    <row r="78" spans="1:8" s="894" customFormat="1" ht="12" customHeight="1" thickTop="1" x14ac:dyDescent="0.2">
      <c r="A78" s="1802"/>
      <c r="B78" s="1797"/>
      <c r="C78" s="1793"/>
      <c r="D78" s="1798" t="s">
        <v>2059</v>
      </c>
      <c r="E78" s="1795"/>
      <c r="F78" s="899">
        <v>604.12</v>
      </c>
      <c r="G78" s="900"/>
      <c r="H78" s="870"/>
    </row>
    <row r="79" spans="1:8" s="894" customFormat="1" ht="12" customHeight="1" thickBot="1" x14ac:dyDescent="0.25">
      <c r="A79" s="1803"/>
      <c r="B79" s="1797"/>
      <c r="C79" s="1793"/>
      <c r="D79" s="1798" t="s">
        <v>2013</v>
      </c>
      <c r="E79" s="1795" t="s">
        <v>1015</v>
      </c>
      <c r="F79" s="1804">
        <f>IF(F78&gt;0,F77/F78," Complete Line 78")</f>
        <v>19476.89366351056</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10145</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277102</v>
      </c>
      <c r="G94" s="913"/>
    </row>
    <row r="95" spans="1:7" x14ac:dyDescent="0.2">
      <c r="A95" s="909" t="s">
        <v>142</v>
      </c>
      <c r="B95" s="909" t="s">
        <v>177</v>
      </c>
      <c r="C95" s="911">
        <v>1700</v>
      </c>
      <c r="D95" s="919" t="str">
        <f>'Revenues 9-14'!A82</f>
        <v>Total District/School Activity Income</v>
      </c>
      <c r="E95" s="907"/>
      <c r="F95" s="1810">
        <f>SUM('Revenues 9-14'!C82,'Revenues 9-14'!D82)</f>
        <v>155297</v>
      </c>
      <c r="G95" s="913"/>
    </row>
    <row r="96" spans="1:7" x14ac:dyDescent="0.2">
      <c r="A96" s="909" t="s">
        <v>479</v>
      </c>
      <c r="B96" s="909" t="s">
        <v>178</v>
      </c>
      <c r="C96" s="911">
        <f>'Revenues 9-14'!B84</f>
        <v>1811</v>
      </c>
      <c r="D96" s="912" t="str">
        <f>'Revenues 9-14'!A84</f>
        <v>Rentals - Regular Textbooks</v>
      </c>
      <c r="E96" s="907"/>
      <c r="F96" s="1810">
        <f>'Revenues 9-14'!C84</f>
        <v>60235</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3016</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17159</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237678</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43775</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1361</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31801</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450116</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60588</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108172</v>
      </c>
      <c r="G129" s="931"/>
    </row>
    <row r="130" spans="1:7" x14ac:dyDescent="0.2">
      <c r="A130" s="928" t="s">
        <v>689</v>
      </c>
      <c r="B130" s="928" t="s">
        <v>804</v>
      </c>
      <c r="C130" s="933">
        <v>4300</v>
      </c>
      <c r="D130" s="934" t="str">
        <f>'Revenues 9-14'!A211</f>
        <v>Total Title I</v>
      </c>
      <c r="E130" s="907"/>
      <c r="F130" s="1810">
        <f>SUM('Revenues 9-14'!C211,'Revenues 9-14'!D211,'Revenues 9-14'!F211,'Revenues 9-14'!G211)</f>
        <v>70111</v>
      </c>
      <c r="G130" s="931"/>
    </row>
    <row r="131" spans="1:7" x14ac:dyDescent="0.2">
      <c r="A131" s="928" t="s">
        <v>689</v>
      </c>
      <c r="B131" s="928" t="s">
        <v>805</v>
      </c>
      <c r="C131" s="933">
        <v>4400</v>
      </c>
      <c r="D131" s="934" t="str">
        <f>'Revenues 9-14'!A216</f>
        <v>Total Title IV</v>
      </c>
      <c r="E131" s="907"/>
      <c r="F131" s="1810">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125738</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120120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18477</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19265</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9480</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17930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34261</v>
      </c>
      <c r="G174" s="928"/>
    </row>
    <row r="175" spans="1:7" x14ac:dyDescent="0.2">
      <c r="A175" s="1943" t="s">
        <v>5</v>
      </c>
      <c r="B175" s="1944" t="s">
        <v>2058</v>
      </c>
      <c r="C175" s="1945">
        <v>3100</v>
      </c>
      <c r="D175" s="1946" t="s">
        <v>2061</v>
      </c>
      <c r="E175" s="907"/>
      <c r="F175" s="1930">
        <v>203133.05</v>
      </c>
      <c r="G175" s="928"/>
    </row>
    <row r="176" spans="1:7" x14ac:dyDescent="0.2">
      <c r="A176" s="1943" t="s">
        <v>685</v>
      </c>
      <c r="B176" s="1944" t="s">
        <v>2058</v>
      </c>
      <c r="C176" s="1945">
        <v>3300</v>
      </c>
      <c r="D176" s="1946" t="s">
        <v>2062</v>
      </c>
      <c r="E176" s="907"/>
      <c r="F176" s="1930">
        <v>580</v>
      </c>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2085540.05</v>
      </c>
    </row>
    <row r="179" spans="1:7" ht="12" customHeight="1" x14ac:dyDescent="0.2">
      <c r="A179" s="1791"/>
      <c r="B179" s="1805"/>
      <c r="C179" s="1806"/>
      <c r="D179" s="1807" t="s">
        <v>2015</v>
      </c>
      <c r="E179" s="1808"/>
      <c r="F179" s="1810">
        <f>'PCTC-OEPP 27-28'!F77-F178</f>
        <v>9680840.9499999993</v>
      </c>
    </row>
    <row r="180" spans="1:7" ht="12" customHeight="1" x14ac:dyDescent="0.2">
      <c r="A180" s="1791"/>
      <c r="B180" s="1805"/>
      <c r="C180" s="1806"/>
      <c r="D180" s="1807" t="s">
        <v>1924</v>
      </c>
      <c r="E180" s="1808"/>
      <c r="F180" s="1810">
        <f>'Cap Outlay Deprec 26'!I18</f>
        <v>915605.4</v>
      </c>
    </row>
    <row r="181" spans="1:7" ht="12" customHeight="1" x14ac:dyDescent="0.2">
      <c r="A181" s="1791"/>
      <c r="B181" s="1805"/>
      <c r="C181" s="1806"/>
      <c r="D181" s="1807" t="s">
        <v>2016</v>
      </c>
      <c r="E181" s="1808"/>
      <c r="F181" s="1810">
        <f>F179+F180</f>
        <v>10596446.35</v>
      </c>
    </row>
    <row r="182" spans="1:7" ht="12" customHeight="1" x14ac:dyDescent="0.2">
      <c r="A182" s="1791"/>
      <c r="B182" s="1811"/>
      <c r="C182" s="1806"/>
      <c r="D182" s="1807" t="str">
        <f>D78</f>
        <v>9 Month ADA from District Average Daily Attendance/Prior General State Aid Inquiry 2017-2018</v>
      </c>
      <c r="E182" s="1808"/>
      <c r="F182" s="1812">
        <f>'PCTC-OEPP 27-28'!F78</f>
        <v>604.12</v>
      </c>
      <c r="G182" s="931"/>
    </row>
    <row r="183" spans="1:7" ht="12" customHeight="1" thickBot="1" x14ac:dyDescent="0.25">
      <c r="A183" s="1791"/>
      <c r="B183" s="1811"/>
      <c r="C183" s="1806"/>
      <c r="D183" s="1807" t="s">
        <v>2017</v>
      </c>
      <c r="E183" s="1808" t="s">
        <v>1626</v>
      </c>
      <c r="F183" s="1813">
        <f>F181/F182</f>
        <v>17540.300519764285</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H141"/>
  <sheetViews>
    <sheetView showGridLines="0" workbookViewId="0">
      <pane ySplit="16" topLeftCell="A17" activePane="bottomLeft" state="frozen"/>
      <selection activeCell="N20" sqref="N20"/>
      <selection pane="bottomLeft" activeCell="B22" sqref="B22"/>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5" t="s">
        <v>1926</v>
      </c>
      <c r="B6" s="1556"/>
      <c r="C6" s="1556"/>
      <c r="D6" s="1556"/>
      <c r="E6" s="1556"/>
      <c r="F6" s="1556"/>
      <c r="G6" s="1557"/>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8" t="s">
        <v>1927</v>
      </c>
      <c r="B10" s="1559"/>
      <c r="C10" s="1559"/>
      <c r="D10" s="1559"/>
      <c r="E10" s="1559"/>
      <c r="F10" s="1559"/>
      <c r="G10" s="1560"/>
    </row>
    <row r="11" spans="1:7" ht="17.25" customHeight="1" x14ac:dyDescent="0.25">
      <c r="A11" s="2294" t="s">
        <v>1941</v>
      </c>
      <c r="B11" s="2295"/>
      <c r="C11" s="2295"/>
      <c r="D11" s="2295"/>
      <c r="E11" s="2295"/>
      <c r="F11" s="2295"/>
      <c r="G11" s="2296"/>
    </row>
    <row r="12" spans="1:7" ht="15" customHeight="1" x14ac:dyDescent="0.25">
      <c r="A12" s="1558" t="s">
        <v>1932</v>
      </c>
      <c r="B12" s="1559"/>
      <c r="C12" s="1559"/>
      <c r="D12" s="1559"/>
      <c r="E12" s="1559"/>
      <c r="F12" s="1559"/>
      <c r="G12" s="1560"/>
    </row>
    <row r="13" spans="1:7" ht="32.25" customHeight="1" x14ac:dyDescent="0.25">
      <c r="A13" s="2285" t="s">
        <v>1933</v>
      </c>
      <c r="B13" s="2286"/>
      <c r="C13" s="2286"/>
      <c r="D13" s="2286"/>
      <c r="E13" s="2286"/>
      <c r="F13" s="2286"/>
      <c r="G13" s="2287"/>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6" t="s">
        <v>2111</v>
      </c>
      <c r="B17" s="2505" t="s">
        <v>2134</v>
      </c>
      <c r="C17" s="1958" t="s">
        <v>2112</v>
      </c>
      <c r="D17" s="1866">
        <v>44794</v>
      </c>
      <c r="E17" s="1561">
        <f t="shared" ref="E17:E141" si="1">IF(D17&lt;=25000,D17,IF(D17&gt;25000,25000,0))</f>
        <v>25000</v>
      </c>
      <c r="F17" s="1814">
        <f t="shared" si="0"/>
        <v>25000</v>
      </c>
      <c r="G17" s="1815">
        <f>IF(F17=0,0,D17-F17)</f>
        <v>19794</v>
      </c>
      <c r="H17" s="1668"/>
    </row>
    <row r="18" spans="1:8" x14ac:dyDescent="0.25">
      <c r="A18" s="1956" t="s">
        <v>2113</v>
      </c>
      <c r="B18" s="1957" t="s">
        <v>2114</v>
      </c>
      <c r="C18" s="1958" t="s">
        <v>2115</v>
      </c>
      <c r="D18" s="1866">
        <v>65900</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40900</v>
      </c>
    </row>
    <row r="19" spans="1:8" x14ac:dyDescent="0.25">
      <c r="A19" s="1956" t="s">
        <v>2116</v>
      </c>
      <c r="B19" s="1957" t="s">
        <v>2114</v>
      </c>
      <c r="C19" s="1958" t="s">
        <v>2115</v>
      </c>
      <c r="D19" s="1866">
        <v>137198</v>
      </c>
      <c r="E19" s="1561">
        <f t="shared" si="2"/>
        <v>25000</v>
      </c>
      <c r="F19" s="1814">
        <f t="shared" si="3"/>
        <v>25000</v>
      </c>
      <c r="G19" s="1815">
        <f t="shared" si="4"/>
        <v>112198</v>
      </c>
    </row>
    <row r="20" spans="1:8" ht="30" x14ac:dyDescent="0.25">
      <c r="A20" s="1956" t="s">
        <v>2117</v>
      </c>
      <c r="B20" s="2505" t="s">
        <v>2135</v>
      </c>
      <c r="C20" s="1958" t="s">
        <v>2118</v>
      </c>
      <c r="D20" s="1866">
        <v>32289</v>
      </c>
      <c r="E20" s="1561">
        <f t="shared" si="2"/>
        <v>25000</v>
      </c>
      <c r="F20" s="1814">
        <f t="shared" si="3"/>
        <v>25000</v>
      </c>
      <c r="G20" s="1815">
        <f t="shared" si="4"/>
        <v>7289</v>
      </c>
    </row>
    <row r="21" spans="1:8" x14ac:dyDescent="0.25">
      <c r="A21" s="1956" t="s">
        <v>2119</v>
      </c>
      <c r="B21" s="2505" t="s">
        <v>2135</v>
      </c>
      <c r="C21" s="1958" t="s">
        <v>2120</v>
      </c>
      <c r="D21" s="1866">
        <v>116472</v>
      </c>
      <c r="E21" s="1561">
        <f t="shared" si="2"/>
        <v>25000</v>
      </c>
      <c r="F21" s="1814">
        <f t="shared" si="3"/>
        <v>25000</v>
      </c>
      <c r="G21" s="1815">
        <f t="shared" si="4"/>
        <v>91472</v>
      </c>
    </row>
    <row r="22" spans="1:8" x14ac:dyDescent="0.25">
      <c r="A22" s="1956" t="s">
        <v>2121</v>
      </c>
      <c r="B22" s="1957" t="s">
        <v>2122</v>
      </c>
      <c r="C22" s="1958" t="s">
        <v>2123</v>
      </c>
      <c r="D22" s="1866">
        <v>28279</v>
      </c>
      <c r="E22" s="1561">
        <f t="shared" si="2"/>
        <v>25000</v>
      </c>
      <c r="F22" s="1814">
        <f t="shared" si="3"/>
        <v>25000</v>
      </c>
      <c r="G22" s="1815">
        <f t="shared" si="4"/>
        <v>3279</v>
      </c>
    </row>
    <row r="23" spans="1:8" x14ac:dyDescent="0.25">
      <c r="A23" s="1956" t="s">
        <v>2124</v>
      </c>
      <c r="B23" s="1957" t="s">
        <v>2125</v>
      </c>
      <c r="C23" s="1958" t="s">
        <v>2123</v>
      </c>
      <c r="D23" s="1866">
        <v>162</v>
      </c>
      <c r="E23" s="1561">
        <f t="shared" si="2"/>
        <v>162</v>
      </c>
      <c r="F23" s="1814">
        <f t="shared" si="3"/>
        <v>0</v>
      </c>
      <c r="G23" s="1815">
        <f t="shared" si="4"/>
        <v>0</v>
      </c>
    </row>
    <row r="24" spans="1:8" ht="30" x14ac:dyDescent="0.25">
      <c r="A24" s="1956" t="s">
        <v>2126</v>
      </c>
      <c r="B24" s="1957" t="s">
        <v>2127</v>
      </c>
      <c r="C24" s="1958" t="s">
        <v>2128</v>
      </c>
      <c r="D24" s="1866">
        <v>30548</v>
      </c>
      <c r="E24" s="1561">
        <f t="shared" si="2"/>
        <v>25000</v>
      </c>
      <c r="F24" s="1814">
        <f t="shared" si="3"/>
        <v>25000</v>
      </c>
      <c r="G24" s="1815">
        <f t="shared" si="4"/>
        <v>5548</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455642</v>
      </c>
      <c r="E141" s="1562">
        <f t="shared" si="1"/>
        <v>25000</v>
      </c>
      <c r="F141" s="1816">
        <f>SUM(F17:F140)</f>
        <v>175000</v>
      </c>
      <c r="G141" s="1817">
        <f>SUM(G17:G140)</f>
        <v>280480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213083</v>
      </c>
      <c r="F10" s="975"/>
      <c r="G10" s="976"/>
      <c r="H10" s="162"/>
      <c r="I10" s="162"/>
    </row>
    <row r="11" spans="1:9" s="669" customFormat="1" ht="22.5" customHeight="1" x14ac:dyDescent="0.2">
      <c r="A11" s="2305" t="s">
        <v>1945</v>
      </c>
      <c r="B11" s="2306"/>
      <c r="C11" s="2306"/>
      <c r="D11" s="2307"/>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6213294</v>
      </c>
      <c r="F19" s="1821"/>
      <c r="G19" s="1823">
        <f>'Expenditures 15-22'!K33-SUM('Expenditures 15-22'!G33,'Expenditures 15-22'!I33)+'Expenditures 15-22'!D229</f>
        <v>6213294</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690627</v>
      </c>
      <c r="F21" s="1824"/>
      <c r="G21" s="1827">
        <f>'Expenditures 15-22'!K42-SUM('Expenditures 15-22'!G42,'Expenditures 15-22'!I42)+'Expenditures 15-22'!K120-SUM('Expenditures 15-22'!G120,'Expenditures 15-22'!I120)+'Expenditures 15-22'!K180-SUM('Expenditures 15-22'!G180,'Expenditures 15-22'!I180)+'Expenditures 15-22'!D238</f>
        <v>690627</v>
      </c>
      <c r="H21" s="988"/>
      <c r="I21" s="162"/>
    </row>
    <row r="22" spans="1:9" s="669" customFormat="1" ht="12" customHeight="1" x14ac:dyDescent="0.2">
      <c r="A22" s="995" t="s">
        <v>585</v>
      </c>
      <c r="B22" s="996"/>
      <c r="C22" s="994">
        <v>2200</v>
      </c>
      <c r="D22" s="1824"/>
      <c r="E22" s="1826">
        <f>'Expenditures 15-22'!K47-SUM('Expenditures 15-22'!G47,'Expenditures 15-22'!I47)+'Expenditures 15-22'!D243</f>
        <v>632087</v>
      </c>
      <c r="F22" s="1824"/>
      <c r="G22" s="1827">
        <f>'Expenditures 15-22'!K47-SUM('Expenditures 15-22'!G47,'Expenditures 15-22'!I47)+'Expenditures 15-22'!D243</f>
        <v>632087</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499008</v>
      </c>
      <c r="F23" s="1824"/>
      <c r="G23" s="1826">
        <f>'Expenditures 15-22'!K53-SUM('Expenditures 15-22'!G53,'Expenditures 15-22'!I53)+'Expenditures 15-22'!D257+'Expenditures 15-22'!K330-SUM('Expenditures 15-22'!G330,'Expenditures 15-22'!I330)</f>
        <v>499008</v>
      </c>
      <c r="H23" s="988"/>
      <c r="I23" s="162"/>
    </row>
    <row r="24" spans="1:9" s="669" customFormat="1" ht="12" customHeight="1" x14ac:dyDescent="0.2">
      <c r="A24" s="995" t="s">
        <v>587</v>
      </c>
      <c r="B24" s="996"/>
      <c r="C24" s="994">
        <v>2400</v>
      </c>
      <c r="D24" s="1824"/>
      <c r="E24" s="1826">
        <f>'Expenditures 15-22'!K57-SUM('Expenditures 15-22'!G57,'Expenditures 15-22'!I57)+'Expenditures 15-22'!D261</f>
        <v>363943</v>
      </c>
      <c r="F24" s="1824"/>
      <c r="G24" s="1827">
        <f>'Expenditures 15-22'!K57-SUM('Expenditures 15-22'!G57,'Expenditures 15-22'!I57)+'Expenditures 15-22'!D261</f>
        <v>363943</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97588</v>
      </c>
      <c r="E26" s="1826">
        <f>'Expenditures 15-22'!K122-SUM('Expenditures 15-22'!G122,'Expenditures 15-22'!I122)+E7</f>
        <v>0</v>
      </c>
      <c r="F26" s="1826">
        <f>'Expenditures 15-22'!K59-SUM('Expenditures 15-22'!G59,'Expenditures 15-22'!I59)+'Expenditures 15-22'!D263-E7</f>
        <v>97588</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140374</v>
      </c>
      <c r="E27" s="1826">
        <f>E8</f>
        <v>0</v>
      </c>
      <c r="F27" s="1826">
        <f>'Expenditures 15-22'!K60-SUM('Expenditures 15-22'!G60,'Expenditures 15-22'!I60)+'Expenditures 15-22'!D264-E8</f>
        <v>140374</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1081235</v>
      </c>
      <c r="F28" s="1828">
        <f>'Expenditures 15-22'!K61-SUM('Expenditures 15-22'!G61,'Expenditures 15-22'!I61)+'Expenditures 15-22'!K124-SUM('Expenditures 15-22'!G124,'Expenditures 15-22'!I124)+'Expenditures 15-22'!D266-E9</f>
        <v>1081235</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577564</v>
      </c>
      <c r="F29" s="1824"/>
      <c r="G29" s="1827">
        <f>'Expenditures 15-22'!K62-SUM('Expenditures 15-22'!G62,'Expenditures 15-22'!I62)+'Expenditures 15-22'!K125-SUM('Expenditures 15-22'!G125,'Expenditures 15-22'!I125)+'Expenditures 15-22'!K182-SUM('Expenditures 15-22'!G182,'Expenditures 15-22'!I182)+'Expenditures 15-22'!D267</f>
        <v>577564</v>
      </c>
      <c r="H29" s="986"/>
    </row>
    <row r="30" spans="1:9" ht="12" customHeight="1" x14ac:dyDescent="0.2">
      <c r="A30" s="995" t="s">
        <v>102</v>
      </c>
      <c r="B30" s="998"/>
      <c r="C30" s="994">
        <v>2560</v>
      </c>
      <c r="D30" s="1824"/>
      <c r="E30" s="1826">
        <f>'Expenditures 15-22'!K63-SUM('Expenditures 15-22'!G63,'Expenditures 15-22'!I63)+'Expenditures 15-22'!D268-E10</f>
        <v>104224</v>
      </c>
      <c r="F30" s="1824"/>
      <c r="G30" s="1826">
        <f>'Expenditures 15-22'!K63-SUM('Expenditures 15-22'!G63,'Expenditures 15-22'!I63)+'Expenditures 15-22'!D268-E10</f>
        <v>104224</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24598</v>
      </c>
      <c r="E37" s="1826">
        <f>E14</f>
        <v>0</v>
      </c>
      <c r="F37" s="1826">
        <f>'Expenditures 15-22'!K71-SUM('Expenditures 15-22'!G71,'Expenditures 15-22'!I71)+'Expenditures 15-22'!D276-E14</f>
        <v>24598</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443</v>
      </c>
      <c r="F38" s="1824"/>
      <c r="G38" s="1826">
        <f>'Expenditures 15-22'!K73-SUM('Expenditures 15-22'!G73,'Expenditures 15-22'!I73)+'Expenditures 15-22'!K128-SUM('Expenditures 15-22'!G128,'Expenditures 15-22'!I128)+'Expenditures 15-22'!K183-SUM('Expenditures 15-22'!G183,'Expenditures 15-22'!I183)+'Expenditures 15-22'!D278</f>
        <v>443</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29'!G141</f>
        <v>-280480</v>
      </c>
      <c r="F40" s="1824"/>
      <c r="G40" s="1828">
        <f>-'Contracts Paid in CY 29'!G141</f>
        <v>-280480</v>
      </c>
    </row>
    <row r="41" spans="1:7" ht="12" customHeight="1" x14ac:dyDescent="0.2">
      <c r="A41" s="999" t="s">
        <v>158</v>
      </c>
      <c r="B41" s="1000"/>
      <c r="C41" s="1001"/>
      <c r="D41" s="1828">
        <f>SUM(D19:D39)</f>
        <v>262560</v>
      </c>
      <c r="E41" s="1828">
        <f>SUM(E19:E40)</f>
        <v>9881945</v>
      </c>
      <c r="F41" s="1828">
        <f>SUM(F19:F39)</f>
        <v>1343795</v>
      </c>
      <c r="G41" s="1828">
        <f>SUM(G19:G40)</f>
        <v>8800710</v>
      </c>
    </row>
    <row r="42" spans="1:7" x14ac:dyDescent="0.2">
      <c r="A42" s="988"/>
      <c r="B42" s="162"/>
      <c r="C42" s="1002"/>
      <c r="D42" s="2303" t="s">
        <v>543</v>
      </c>
      <c r="E42" s="2304"/>
      <c r="F42" s="1003" t="s">
        <v>544</v>
      </c>
      <c r="G42" s="1004"/>
    </row>
    <row r="43" spans="1:7" ht="12" customHeight="1" x14ac:dyDescent="0.2">
      <c r="A43" s="988"/>
      <c r="B43" s="162"/>
      <c r="C43" s="1002"/>
      <c r="D43" s="1829" t="s">
        <v>493</v>
      </c>
      <c r="E43" s="1830">
        <f>D41</f>
        <v>262560</v>
      </c>
      <c r="F43" s="1829" t="s">
        <v>495</v>
      </c>
      <c r="G43" s="1830">
        <f>F41</f>
        <v>1343795</v>
      </c>
    </row>
    <row r="44" spans="1:7" ht="12" customHeight="1" x14ac:dyDescent="0.2">
      <c r="A44" s="988"/>
      <c r="B44" s="162"/>
      <c r="C44" s="1002"/>
      <c r="D44" s="1829" t="s">
        <v>494</v>
      </c>
      <c r="E44" s="1830">
        <f>E41</f>
        <v>9881945</v>
      </c>
      <c r="F44" s="1829" t="s">
        <v>494</v>
      </c>
      <c r="G44" s="1830">
        <f>G41</f>
        <v>8800710</v>
      </c>
    </row>
    <row r="45" spans="1:7" ht="12" customHeight="1" x14ac:dyDescent="0.2">
      <c r="A45" s="988"/>
      <c r="B45" s="162"/>
      <c r="C45" s="162"/>
      <c r="D45" s="1831" t="s">
        <v>1063</v>
      </c>
      <c r="E45" s="1832">
        <f>(E43/E44)</f>
        <v>2.6569668218149361E-2</v>
      </c>
      <c r="F45" s="1831" t="s">
        <v>1063</v>
      </c>
      <c r="G45" s="1832">
        <f>(G43/G44)</f>
        <v>0.15269165783215219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sheetPr>
  <dimension ref="A1:L97"/>
  <sheetViews>
    <sheetView showGridLines="0" zoomScale="110" zoomScaleNormal="110" workbookViewId="0">
      <pane ySplit="4" topLeftCell="A14" activePane="bottomLeft" state="frozen"/>
      <selection activeCell="N20" sqref="N20"/>
      <selection pane="bottomLeft" activeCell="N20" sqref="N20"/>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2" t="s">
        <v>1446</v>
      </c>
      <c r="B1" s="2322"/>
      <c r="C1" s="2322"/>
      <c r="D1" s="2322"/>
      <c r="E1" s="2322"/>
      <c r="F1" s="2322"/>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3" t="s">
        <v>1627</v>
      </c>
      <c r="B5" s="2324"/>
      <c r="C5" s="2325"/>
      <c r="D5" s="2325"/>
      <c r="E5" s="2325"/>
      <c r="F5" s="2325"/>
    </row>
    <row r="6" spans="1:10" ht="12" customHeight="1" x14ac:dyDescent="0.25">
      <c r="A6" s="1874"/>
      <c r="B6" s="1875"/>
      <c r="C6" s="2326" t="str">
        <f>COVER!A17</f>
        <v>Marengo CHSD 154</v>
      </c>
      <c r="D6" s="2326"/>
      <c r="E6" s="2326"/>
      <c r="F6" s="1876"/>
    </row>
    <row r="7" spans="1:10" ht="11.25" customHeight="1" thickBot="1" x14ac:dyDescent="0.3">
      <c r="A7" s="1874"/>
      <c r="B7" s="1875"/>
      <c r="C7" s="2327">
        <f>COVER!A13</f>
        <v>44063154016</v>
      </c>
      <c r="D7" s="2327"/>
      <c r="E7" s="2327"/>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t="s">
        <v>2082</v>
      </c>
      <c r="D11" s="1889" t="s">
        <v>2082</v>
      </c>
      <c r="E11" s="1890"/>
      <c r="F11" s="1955" t="s">
        <v>2092</v>
      </c>
      <c r="H11" s="1902">
        <f>IF(C11="X",5,0)</f>
        <v>5</v>
      </c>
      <c r="I11" s="1902">
        <f>IF(D11="X",5,0)</f>
        <v>5</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t="s">
        <v>2082</v>
      </c>
      <c r="D13" s="1889" t="s">
        <v>2082</v>
      </c>
      <c r="E13" s="1892"/>
      <c r="F13" s="1955" t="s">
        <v>2092</v>
      </c>
      <c r="H13" s="1902">
        <f t="shared" si="0"/>
        <v>5</v>
      </c>
      <c r="I13" s="1902">
        <f t="shared" si="1"/>
        <v>5</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t="s">
        <v>2082</v>
      </c>
      <c r="D16" s="1889" t="s">
        <v>2082</v>
      </c>
      <c r="E16" s="1892"/>
      <c r="F16" s="1891" t="s">
        <v>2093</v>
      </c>
      <c r="H16" s="1902">
        <f t="shared" si="0"/>
        <v>5</v>
      </c>
      <c r="I16" s="1902">
        <f t="shared" si="1"/>
        <v>5</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t="s">
        <v>2082</v>
      </c>
      <c r="D19" s="1889" t="s">
        <v>2082</v>
      </c>
      <c r="E19" s="1892"/>
      <c r="F19" s="1891" t="s">
        <v>2094</v>
      </c>
      <c r="H19" s="1902">
        <f t="shared" si="0"/>
        <v>5</v>
      </c>
      <c r="I19" s="1902">
        <f t="shared" si="1"/>
        <v>5</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t="s">
        <v>2082</v>
      </c>
      <c r="D24" s="1889" t="s">
        <v>2082</v>
      </c>
      <c r="E24" s="1892"/>
      <c r="F24" s="1955" t="s">
        <v>2092</v>
      </c>
      <c r="H24" s="1902">
        <f t="shared" si="0"/>
        <v>5</v>
      </c>
      <c r="I24" s="1902">
        <f t="shared" si="1"/>
        <v>5</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2082</v>
      </c>
      <c r="D26" s="1889" t="s">
        <v>2082</v>
      </c>
      <c r="E26" s="1892"/>
      <c r="F26" s="1891" t="s">
        <v>2095</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t="s">
        <v>2082</v>
      </c>
      <c r="D30" s="1889"/>
      <c r="E30" s="1892"/>
      <c r="F30" s="1955" t="s">
        <v>2099</v>
      </c>
      <c r="H30" s="1902">
        <f t="shared" si="0"/>
        <v>5</v>
      </c>
      <c r="I30" s="1902">
        <f t="shared" si="1"/>
        <v>0</v>
      </c>
      <c r="J30" s="1902">
        <f t="shared" si="2"/>
        <v>0</v>
      </c>
    </row>
    <row r="31" spans="1:12" ht="12" customHeight="1" x14ac:dyDescent="0.2">
      <c r="A31" s="1887" t="s">
        <v>1620</v>
      </c>
      <c r="B31" s="1888"/>
      <c r="C31" s="1889" t="s">
        <v>2082</v>
      </c>
      <c r="D31" s="1889" t="s">
        <v>2082</v>
      </c>
      <c r="E31" s="1892"/>
      <c r="F31" s="1891" t="s">
        <v>2096</v>
      </c>
      <c r="H31" s="1902">
        <f t="shared" si="0"/>
        <v>5</v>
      </c>
      <c r="I31" s="1902">
        <f t="shared" si="1"/>
        <v>5</v>
      </c>
      <c r="J31" s="1902">
        <f t="shared" si="2"/>
        <v>0</v>
      </c>
      <c r="L31" s="1893"/>
    </row>
    <row r="32" spans="1:12" ht="12" customHeight="1" x14ac:dyDescent="0.2">
      <c r="A32" s="1887" t="s">
        <v>1621</v>
      </c>
      <c r="B32" s="1888"/>
      <c r="C32" s="1889" t="s">
        <v>2082</v>
      </c>
      <c r="D32" s="1889" t="s">
        <v>2082</v>
      </c>
      <c r="E32" s="1892"/>
      <c r="F32" s="1891" t="s">
        <v>2097</v>
      </c>
      <c r="H32" s="1902">
        <f t="shared" si="0"/>
        <v>5</v>
      </c>
      <c r="I32" s="1902">
        <f t="shared" si="1"/>
        <v>5</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45</v>
      </c>
      <c r="I34" s="1902">
        <f>SUM(I11:I32)</f>
        <v>40</v>
      </c>
      <c r="J34" s="1902">
        <f>SUM(J11:J32)</f>
        <v>0</v>
      </c>
      <c r="K34" s="1902">
        <f>SUM(H34:J34)</f>
        <v>85</v>
      </c>
    </row>
    <row r="35" spans="1:11" ht="12" customHeight="1" x14ac:dyDescent="0.2">
      <c r="A35" s="1895" t="s">
        <v>1459</v>
      </c>
      <c r="B35" s="1896"/>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7"/>
      <c r="B39" s="1897"/>
      <c r="C39" s="1897"/>
      <c r="D39" s="1897"/>
      <c r="E39" s="1897"/>
      <c r="F39" s="1897"/>
    </row>
    <row r="40" spans="1:11" s="1894" customFormat="1" ht="12" customHeight="1" x14ac:dyDescent="0.25">
      <c r="A40" s="1898" t="s">
        <v>1458</v>
      </c>
      <c r="B40" s="1899"/>
      <c r="C40" s="2317"/>
      <c r="D40" s="2317"/>
      <c r="E40" s="2317"/>
      <c r="F40" s="2318"/>
      <c r="H40" s="1903"/>
      <c r="I40" s="1903"/>
      <c r="J40" s="1903"/>
      <c r="K40" s="1903"/>
    </row>
    <row r="41" spans="1:11" s="1894" customFormat="1" ht="12" customHeight="1" x14ac:dyDescent="0.25">
      <c r="A41" s="2319" t="s">
        <v>2098</v>
      </c>
      <c r="B41" s="2320"/>
      <c r="C41" s="2320"/>
      <c r="D41" s="2320"/>
      <c r="E41" s="2320"/>
      <c r="F41" s="2321"/>
      <c r="H41" s="1903"/>
      <c r="I41" s="1903"/>
      <c r="J41" s="1903"/>
      <c r="K41" s="1903"/>
    </row>
    <row r="42" spans="1:11" s="1894" customFormat="1" ht="12" customHeight="1" x14ac:dyDescent="0.25">
      <c r="A42" s="2319" t="s">
        <v>2100</v>
      </c>
      <c r="B42" s="2320"/>
      <c r="C42" s="2320"/>
      <c r="D42" s="2320"/>
      <c r="E42" s="2320"/>
      <c r="F42" s="2321"/>
      <c r="H42" s="1903"/>
      <c r="I42" s="1903"/>
      <c r="J42" s="1903"/>
      <c r="K42" s="1903"/>
    </row>
    <row r="43" spans="1:11" s="1894" customFormat="1" ht="15" x14ac:dyDescent="0.25">
      <c r="A43" s="2308"/>
      <c r="B43" s="2309"/>
      <c r="C43" s="2309"/>
      <c r="D43" s="2309"/>
      <c r="E43" s="2309"/>
      <c r="F43" s="2310"/>
      <c r="H43" s="1903"/>
      <c r="I43" s="1903"/>
      <c r="J43" s="1903"/>
      <c r="K43" s="1903"/>
    </row>
    <row r="44" spans="1:11" s="1894" customFormat="1" ht="12" hidden="1" customHeight="1" x14ac:dyDescent="0.25">
      <c r="A44" s="2308"/>
      <c r="B44" s="2309"/>
      <c r="C44" s="2309"/>
      <c r="D44" s="2309"/>
      <c r="E44" s="2309"/>
      <c r="F44" s="231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1"/>
  </sheetPr>
  <dimension ref="A1:Q40"/>
  <sheetViews>
    <sheetView showGridLines="0" defaultGridColor="0" colorId="8" zoomScale="110" zoomScaleNormal="110" workbookViewId="0">
      <selection activeCell="N20" sqref="N2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35" t="str">
        <f>COVER!A17</f>
        <v>Marengo CHSD 154</v>
      </c>
      <c r="J6" s="2336"/>
      <c r="Q6" s="1685"/>
    </row>
    <row r="7" spans="1:17" x14ac:dyDescent="0.2">
      <c r="A7" s="2337" t="s">
        <v>924</v>
      </c>
      <c r="B7" s="2338"/>
      <c r="C7" s="2338"/>
      <c r="D7" s="2338"/>
      <c r="E7" s="2339"/>
      <c r="F7" s="1018"/>
      <c r="G7" s="1010"/>
      <c r="H7" s="1017" t="s">
        <v>390</v>
      </c>
      <c r="I7" s="2340">
        <f>COVER!A13</f>
        <v>44063154016</v>
      </c>
      <c r="J7" s="2340"/>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112816</v>
      </c>
      <c r="F12" s="1040"/>
      <c r="G12" s="1833">
        <f t="shared" ref="G12:G18" si="0">SUM(E12:F12)</f>
        <v>112816</v>
      </c>
      <c r="H12" s="1041">
        <v>118354</v>
      </c>
      <c r="I12" s="1040"/>
      <c r="J12" s="1833">
        <f t="shared" ref="J12:J18" si="1">SUM(H12:I12)</f>
        <v>118354</v>
      </c>
    </row>
    <row r="13" spans="1:17" ht="15" customHeight="1" x14ac:dyDescent="0.2">
      <c r="A13" s="1036">
        <v>2</v>
      </c>
      <c r="B13" s="1037" t="s">
        <v>44</v>
      </c>
      <c r="C13" s="1038"/>
      <c r="D13" s="1039">
        <v>2330</v>
      </c>
      <c r="E13" s="1833">
        <f>'Expenditures 15-22'!K51</f>
        <v>124556</v>
      </c>
      <c r="F13" s="1040"/>
      <c r="G13" s="1833">
        <f t="shared" si="0"/>
        <v>124556</v>
      </c>
      <c r="H13" s="1041">
        <v>128847</v>
      </c>
      <c r="I13" s="1040"/>
      <c r="J13" s="1833">
        <f t="shared" si="1"/>
        <v>128847</v>
      </c>
    </row>
    <row r="14" spans="1:17" ht="15" customHeight="1" x14ac:dyDescent="0.2">
      <c r="A14" s="1036">
        <v>3</v>
      </c>
      <c r="B14" s="1037" t="s">
        <v>45</v>
      </c>
      <c r="C14" s="1038"/>
      <c r="D14" s="1042">
        <v>2490</v>
      </c>
      <c r="E14" s="1833">
        <f>'Expenditures 15-22'!K56</f>
        <v>18576</v>
      </c>
      <c r="F14" s="1040"/>
      <c r="G14" s="1833">
        <f t="shared" si="0"/>
        <v>18576</v>
      </c>
      <c r="H14" s="1041">
        <v>19505</v>
      </c>
      <c r="I14" s="1040"/>
      <c r="J14" s="1833">
        <f t="shared" si="1"/>
        <v>19505</v>
      </c>
    </row>
    <row r="15" spans="1:17" ht="15" customHeight="1" x14ac:dyDescent="0.2">
      <c r="A15" s="1036">
        <v>4</v>
      </c>
      <c r="B15" s="1037" t="s">
        <v>1128</v>
      </c>
      <c r="C15" s="1038"/>
      <c r="D15" s="1039">
        <v>2510</v>
      </c>
      <c r="E15" s="1833">
        <f>'Expenditures 15-22'!K59</f>
        <v>96525</v>
      </c>
      <c r="F15" s="1833">
        <f>'Expenditures 15-22'!K122</f>
        <v>0</v>
      </c>
      <c r="G15" s="1833">
        <f t="shared" si="0"/>
        <v>96525</v>
      </c>
      <c r="H15" s="1041">
        <v>99309</v>
      </c>
      <c r="I15" s="1041"/>
      <c r="J15" s="1833">
        <f t="shared" si="1"/>
        <v>99309</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4" t="s">
        <v>7</v>
      </c>
      <c r="C18" s="2345"/>
      <c r="D18" s="2346"/>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352473</v>
      </c>
      <c r="F19" s="1835">
        <f t="shared" si="2"/>
        <v>0</v>
      </c>
      <c r="G19" s="1835">
        <f t="shared" si="2"/>
        <v>352473</v>
      </c>
      <c r="H19" s="1835">
        <f t="shared" si="2"/>
        <v>366015</v>
      </c>
      <c r="I19" s="1835">
        <f t="shared" si="2"/>
        <v>0</v>
      </c>
      <c r="J19" s="1835">
        <f t="shared" si="2"/>
        <v>366015</v>
      </c>
    </row>
    <row r="20" spans="1:10" ht="13.5" thickTop="1" x14ac:dyDescent="0.2">
      <c r="A20" s="1036">
        <v>9</v>
      </c>
      <c r="B20" s="2347" t="s">
        <v>1703</v>
      </c>
      <c r="C20" s="2347"/>
      <c r="D20" s="2348"/>
      <c r="E20" s="1047"/>
      <c r="F20" s="1047"/>
      <c r="G20" s="1047"/>
      <c r="H20" s="1047"/>
      <c r="I20" s="1047"/>
      <c r="J20" s="1836">
        <f>IF(AND(G19&gt;0,J19&gt;0),(((J19-G19)/G19)),"Enter Budget Data")</f>
        <v>3.8419964082355242E-2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1944</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sheetPr>
  <dimension ref="A2:B65"/>
  <sheetViews>
    <sheetView showGridLines="0" topLeftCell="A2" zoomScale="110" zoomScaleNormal="110" workbookViewId="0">
      <selection activeCell="B9" sqref="B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2101</v>
      </c>
    </row>
    <row r="6" spans="1:2" x14ac:dyDescent="0.2">
      <c r="A6" s="1069">
        <v>2</v>
      </c>
      <c r="B6" s="329" t="s">
        <v>2102</v>
      </c>
    </row>
    <row r="7" spans="1:2" x14ac:dyDescent="0.2">
      <c r="A7" s="1069">
        <v>3</v>
      </c>
      <c r="B7" s="329" t="s">
        <v>2103</v>
      </c>
    </row>
    <row r="8" spans="1:2" x14ac:dyDescent="0.2">
      <c r="A8" s="1069">
        <v>4</v>
      </c>
      <c r="B8" s="329" t="s">
        <v>2104</v>
      </c>
    </row>
    <row r="9" spans="1:2" x14ac:dyDescent="0.2">
      <c r="A9" s="1069">
        <v>5</v>
      </c>
      <c r="B9" s="329" t="s">
        <v>2105</v>
      </c>
    </row>
    <row r="10" spans="1:2" x14ac:dyDescent="0.2">
      <c r="A10" s="1069">
        <v>6</v>
      </c>
      <c r="B10" s="329" t="s">
        <v>2106</v>
      </c>
    </row>
    <row r="11" spans="1:2" x14ac:dyDescent="0.2">
      <c r="A11" s="1069">
        <v>7</v>
      </c>
      <c r="B11" s="329" t="s">
        <v>2107</v>
      </c>
    </row>
    <row r="12" spans="1:2" x14ac:dyDescent="0.2">
      <c r="A12" s="1069">
        <v>8</v>
      </c>
      <c r="B12" s="329" t="s">
        <v>2108</v>
      </c>
    </row>
    <row r="13" spans="1:2" x14ac:dyDescent="0.2">
      <c r="A13" s="1069">
        <v>9</v>
      </c>
      <c r="B13" s="329" t="s">
        <v>2109</v>
      </c>
    </row>
    <row r="14" spans="1:2" x14ac:dyDescent="0.2">
      <c r="A14" s="1069">
        <v>10</v>
      </c>
      <c r="B14" s="329" t="s">
        <v>2110</v>
      </c>
    </row>
    <row r="15" spans="1:2" x14ac:dyDescent="0.2">
      <c r="A15" s="1069">
        <v>11</v>
      </c>
      <c r="B15" s="329" t="s">
        <v>2129</v>
      </c>
    </row>
    <row r="16" spans="1:2" x14ac:dyDescent="0.2">
      <c r="A16" s="1069">
        <v>12</v>
      </c>
      <c r="B16" s="329" t="s">
        <v>2130</v>
      </c>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Marengo CHSD 154</v>
      </c>
    </row>
    <row r="65" spans="2:2" x14ac:dyDescent="0.2">
      <c r="B65" s="1070">
        <f>COVER!A13</f>
        <v>44063154016</v>
      </c>
    </row>
  </sheetData>
  <phoneticPr fontId="15"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N20" sqref="N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6" sqref="E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4" t="s">
        <v>1784</v>
      </c>
      <c r="B18" s="235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8"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5017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N20" sqref="N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4"/>
      <c r="H2" s="1074"/>
    </row>
    <row r="3" spans="1:8" ht="57" customHeight="1" x14ac:dyDescent="0.2">
      <c r="A3" s="2368" t="s">
        <v>1786</v>
      </c>
      <c r="B3" s="2369"/>
      <c r="C3" s="2369"/>
      <c r="D3" s="2369"/>
      <c r="E3" s="2369"/>
      <c r="F3" s="2370"/>
      <c r="G3" s="1074"/>
      <c r="H3" s="1074"/>
    </row>
    <row r="4" spans="1:8" ht="14.25" customHeight="1" x14ac:dyDescent="0.2">
      <c r="A4" s="2374" t="s">
        <v>2056</v>
      </c>
      <c r="B4" s="2375"/>
      <c r="C4" s="2375"/>
      <c r="D4" s="2375"/>
      <c r="E4" s="2375"/>
      <c r="F4" s="2376"/>
      <c r="G4" s="1074"/>
      <c r="H4" s="1074"/>
    </row>
    <row r="5" spans="1:8" ht="14.25" customHeight="1" x14ac:dyDescent="0.2">
      <c r="A5" s="2377" t="s">
        <v>2057</v>
      </c>
      <c r="B5" s="2378"/>
      <c r="C5" s="2378"/>
      <c r="D5" s="2378"/>
      <c r="E5" s="2378"/>
      <c r="F5" s="2379"/>
      <c r="G5" s="1074"/>
      <c r="H5" s="1074"/>
    </row>
    <row r="6" spans="1:8" s="1075" customFormat="1" ht="41.25" customHeight="1" x14ac:dyDescent="0.2">
      <c r="A6" s="2371" t="s">
        <v>1792</v>
      </c>
      <c r="B6" s="2372"/>
      <c r="C6" s="2372"/>
      <c r="D6" s="2372"/>
      <c r="E6" s="2372"/>
      <c r="F6" s="2373"/>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9476070</v>
      </c>
      <c r="C8" s="1837">
        <f>'Acct Summary 7-8'!D8</f>
        <v>957182</v>
      </c>
      <c r="D8" s="1837">
        <f>'Acct Summary 7-8'!F8</f>
        <v>650688</v>
      </c>
      <c r="E8" s="1837">
        <f>'Acct Summary 7-8'!I8</f>
        <v>0</v>
      </c>
      <c r="F8" s="1837">
        <f>SUM(B8:E8)</f>
        <v>11083940</v>
      </c>
    </row>
    <row r="9" spans="1:8" s="1079" customFormat="1" ht="14.25" customHeight="1" thickBot="1" x14ac:dyDescent="0.25">
      <c r="A9" s="1078" t="s">
        <v>1436</v>
      </c>
      <c r="B9" s="1838">
        <f>'Acct Summary 7-8'!C17</f>
        <v>8993053</v>
      </c>
      <c r="C9" s="1838">
        <f>'Acct Summary 7-8'!D17</f>
        <v>1209297</v>
      </c>
      <c r="D9" s="1838">
        <f>'Acct Summary 7-8'!F17</f>
        <v>549238</v>
      </c>
      <c r="E9" s="1837"/>
      <c r="F9" s="1837">
        <f>SUM(B9:E9)</f>
        <v>10751588</v>
      </c>
    </row>
    <row r="10" spans="1:8" s="1079" customFormat="1" ht="14.25" thickTop="1" thickBot="1" x14ac:dyDescent="0.25">
      <c r="A10" s="1080" t="s">
        <v>1437</v>
      </c>
      <c r="B10" s="1839">
        <f>(B8-B9)</f>
        <v>483017</v>
      </c>
      <c r="C10" s="1839">
        <f>(C8-C9)</f>
        <v>-252115</v>
      </c>
      <c r="D10" s="1839">
        <f>(D8-D9)</f>
        <v>101450</v>
      </c>
      <c r="E10" s="1838">
        <f>(E8-E9)</f>
        <v>0</v>
      </c>
      <c r="F10" s="1840">
        <f>SUM(F8-F9)</f>
        <v>332352</v>
      </c>
    </row>
    <row r="11" spans="1:8" s="1079" customFormat="1" ht="14.25" thickTop="1" thickBot="1" x14ac:dyDescent="0.25">
      <c r="A11" s="1081" t="s">
        <v>1785</v>
      </c>
      <c r="B11" s="1841">
        <f>'Acct Summary 7-8'!C81</f>
        <v>11238689</v>
      </c>
      <c r="C11" s="1841">
        <f>'Acct Summary 7-8'!D81</f>
        <v>927289</v>
      </c>
      <c r="D11" s="1841">
        <f>'Acct Summary 7-8'!F81</f>
        <v>1504246</v>
      </c>
      <c r="E11" s="1841">
        <f>'Acct Summary 7-8'!I81</f>
        <v>0</v>
      </c>
      <c r="F11" s="1842">
        <f>SUM(B11:E11)</f>
        <v>13670224</v>
      </c>
    </row>
    <row r="12" spans="1:8" ht="16.5" customHeight="1" thickTop="1" x14ac:dyDescent="0.2">
      <c r="A12" s="1082"/>
      <c r="B12" s="1083"/>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4"/>
      <c r="B13" s="1085"/>
      <c r="C13" s="2359"/>
      <c r="D13" s="2360"/>
      <c r="E13" s="2360"/>
      <c r="F13" s="2361"/>
      <c r="H13" s="1074"/>
    </row>
    <row r="14" spans="1:8" ht="19.5" customHeight="1" x14ac:dyDescent="0.2">
      <c r="A14" s="1084"/>
      <c r="B14" s="1085"/>
      <c r="C14" s="2359"/>
      <c r="D14" s="2360"/>
      <c r="E14" s="2360"/>
      <c r="F14" s="2361"/>
      <c r="H14" s="1074"/>
    </row>
    <row r="15" spans="1:8" ht="17.25" customHeight="1" x14ac:dyDescent="0.2">
      <c r="A15" s="1084"/>
      <c r="B15" s="1085"/>
      <c r="C15" s="2362"/>
      <c r="D15" s="2363"/>
      <c r="E15" s="2363"/>
      <c r="F15" s="2364"/>
      <c r="H15" s="1074"/>
    </row>
    <row r="16" spans="1:8" s="310" customFormat="1" ht="51.75" hidden="1" customHeight="1" x14ac:dyDescent="0.2">
      <c r="A16" s="2358" t="s">
        <v>1787</v>
      </c>
      <c r="B16" s="2358"/>
      <c r="C16" s="2358"/>
      <c r="D16" s="2358"/>
      <c r="E16" s="2358"/>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colorId="8" zoomScale="110" zoomScaleNormal="110" workbookViewId="0">
      <selection activeCell="N20" sqref="N2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0" t="s">
        <v>686</v>
      </c>
      <c r="B3" s="2381"/>
      <c r="C3" s="2381"/>
      <c r="D3" s="2382"/>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391" t="s">
        <v>1584</v>
      </c>
      <c r="D7" s="2392"/>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5" t="s">
        <v>332</v>
      </c>
      <c r="D21" s="2396"/>
    </row>
    <row r="22" spans="1:10" ht="12.75" x14ac:dyDescent="0.2">
      <c r="A22" s="1139"/>
      <c r="B22" s="1140">
        <v>2</v>
      </c>
      <c r="C22" s="2393" t="s">
        <v>1605</v>
      </c>
      <c r="D22" s="2394"/>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str">
        <f>IF('Aud Quest 2'!B53="X",IF('Aud Quest 2'!F53&gt;"00/00/00 ","Enter Effective Date","ok"))</f>
        <v>ok</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7" t="s">
        <v>557</v>
      </c>
      <c r="D43" s="2398"/>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9" t="s">
        <v>817</v>
      </c>
      <c r="D56" s="2390"/>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9" t="s">
        <v>1797</v>
      </c>
      <c r="D70" s="2390"/>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44063154016</v>
      </c>
    </row>
    <row r="3" spans="1:2" x14ac:dyDescent="0.2">
      <c r="A3" t="s">
        <v>1013</v>
      </c>
      <c r="B3" s="138" t="str">
        <f>COVER!A15</f>
        <v>MCHENRY</v>
      </c>
    </row>
    <row r="4" spans="1:2" x14ac:dyDescent="0.2">
      <c r="A4" t="s">
        <v>1064</v>
      </c>
      <c r="B4" s="138" t="str">
        <f>COVER!A17</f>
        <v>Marengo CHSD 154</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CHERYDEN JUERGENSEN</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33512</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5408077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11237441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-1248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-1248</v>
      </c>
      <c r="C91" s="2" t="s">
        <v>594</v>
      </c>
      <c r="D91" s="2" t="str">
        <f t="shared" si="0"/>
        <v>Error?</v>
      </c>
    </row>
    <row r="92" spans="1:4" x14ac:dyDescent="0.2">
      <c r="A92" s="5">
        <v>31</v>
      </c>
      <c r="B92" s="138">
        <f>'Assets-Liab 5-6'!C39</f>
        <v>11238689</v>
      </c>
      <c r="D92" s="2" t="str">
        <f t="shared" si="0"/>
        <v>Error?</v>
      </c>
    </row>
    <row r="93" spans="1:4" x14ac:dyDescent="0.2">
      <c r="A93" s="5">
        <v>32</v>
      </c>
      <c r="B93" s="138">
        <f>'Assets-Liab 5-6'!C41</f>
        <v>11237441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927289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927289</v>
      </c>
      <c r="D123" s="2" t="str">
        <f t="shared" si="0"/>
        <v>Error?</v>
      </c>
    </row>
    <row r="124" spans="1:4" x14ac:dyDescent="0.2">
      <c r="A124" s="5">
        <v>63</v>
      </c>
      <c r="B124" s="138">
        <f>'Assets-Liab 5-6'!D41</f>
        <v>927289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1468316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1468316</v>
      </c>
      <c r="D140" s="2" t="str">
        <f t="shared" si="1"/>
        <v>Error?</v>
      </c>
    </row>
    <row r="141" spans="1:4" x14ac:dyDescent="0.2">
      <c r="A141" s="5">
        <v>80</v>
      </c>
      <c r="B141" s="138">
        <f>'Assets-Liab 5-6'!E41</f>
        <v>1468316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496523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1504240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-6</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v>
      </c>
      <c r="C169" s="2" t="s">
        <v>594</v>
      </c>
      <c r="D169" s="2" t="str">
        <f t="shared" si="1"/>
        <v>Error?</v>
      </c>
    </row>
    <row r="170" spans="1:4" x14ac:dyDescent="0.2">
      <c r="A170" s="5">
        <v>109</v>
      </c>
      <c r="B170" s="138">
        <f>'Assets-Liab 5-6'!F39</f>
        <v>1504246</v>
      </c>
      <c r="D170" s="2" t="str">
        <f t="shared" si="1"/>
        <v>Error?</v>
      </c>
    </row>
    <row r="171" spans="1:4" x14ac:dyDescent="0.2">
      <c r="A171" s="5">
        <v>110</v>
      </c>
      <c r="B171" s="138">
        <f>'Assets-Liab 5-6'!F41</f>
        <v>1504240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113135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41296</v>
      </c>
      <c r="D189" s="2" t="str">
        <f t="shared" si="1"/>
        <v>Error?</v>
      </c>
    </row>
    <row r="190" spans="1:4" x14ac:dyDescent="0.2">
      <c r="A190" s="5">
        <v>129</v>
      </c>
      <c r="B190" s="138">
        <f>'Assets-Liab 5-6'!G41</f>
        <v>113135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8675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8675</v>
      </c>
      <c r="D212" s="2" t="str">
        <f t="shared" si="2"/>
        <v>Error?</v>
      </c>
    </row>
    <row r="213" spans="1:4" x14ac:dyDescent="0.2">
      <c r="A213" s="12">
        <v>152</v>
      </c>
      <c r="B213" s="138">
        <f>'Assets-Liab 5-6'!H41</f>
        <v>8675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1174836</v>
      </c>
      <c r="D273" s="2" t="str">
        <f t="shared" si="3"/>
        <v>Error?</v>
      </c>
    </row>
    <row r="274" spans="1:4" x14ac:dyDescent="0.2">
      <c r="A274" s="5">
        <v>213</v>
      </c>
      <c r="B274" s="138">
        <f>'Assets-Liab 5-6'!M17</f>
        <v>31122012</v>
      </c>
      <c r="D274" s="2" t="str">
        <f t="shared" si="3"/>
        <v>Error?</v>
      </c>
    </row>
    <row r="275" spans="1:4" x14ac:dyDescent="0.2">
      <c r="A275" s="5">
        <v>214</v>
      </c>
      <c r="B275" s="138">
        <f>'Assets-Liab 5-6'!M18</f>
        <v>2918346</v>
      </c>
      <c r="D275" s="2" t="str">
        <f t="shared" si="3"/>
        <v>Error?</v>
      </c>
    </row>
    <row r="276" spans="1:4" x14ac:dyDescent="0.2">
      <c r="A276" s="5">
        <v>215</v>
      </c>
      <c r="B276" s="138">
        <f>'Assets-Liab 5-6'!M19</f>
        <v>3229613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38444807</v>
      </c>
      <c r="C279" s="2" t="s">
        <v>594</v>
      </c>
      <c r="D279" s="2" t="str">
        <f t="shared" si="3"/>
        <v>Error?</v>
      </c>
    </row>
    <row r="280" spans="1:4" x14ac:dyDescent="0.2">
      <c r="A280" s="5">
        <v>219</v>
      </c>
      <c r="B280" s="138">
        <f>'Assets-Liab 5-6'!M40</f>
        <v>38444807</v>
      </c>
      <c r="D280" s="2" t="str">
        <f t="shared" si="3"/>
        <v>Error?</v>
      </c>
    </row>
    <row r="281" spans="1:4" x14ac:dyDescent="0.2">
      <c r="A281" s="5">
        <v>220</v>
      </c>
      <c r="B281" s="138">
        <f>'Assets-Liab 5-6'!M41</f>
        <v>38444807</v>
      </c>
      <c r="C281" s="2" t="s">
        <v>594</v>
      </c>
      <c r="D281" s="2" t="str">
        <f t="shared" si="3"/>
        <v>Error?</v>
      </c>
    </row>
    <row r="282" spans="1:4" x14ac:dyDescent="0.2">
      <c r="A282" s="5">
        <v>221</v>
      </c>
      <c r="B282" s="138">
        <f>'Assets-Liab 5-6'!N21</f>
        <v>1468316</v>
      </c>
      <c r="D282" s="2" t="str">
        <f t="shared" si="3"/>
        <v>Error?</v>
      </c>
    </row>
    <row r="283" spans="1:4" x14ac:dyDescent="0.2">
      <c r="A283" s="5">
        <v>222</v>
      </c>
      <c r="B283" s="138">
        <f>'Assets-Liab 5-6'!N22</f>
        <v>200019</v>
      </c>
      <c r="D283" s="2" t="str">
        <f t="shared" si="3"/>
        <v>Error?</v>
      </c>
    </row>
    <row r="284" spans="1:4" x14ac:dyDescent="0.2">
      <c r="A284" s="5">
        <v>223</v>
      </c>
      <c r="B284" s="138">
        <f>'Assets-Liab 5-6'!N23</f>
        <v>1668335</v>
      </c>
      <c r="C284" s="2" t="s">
        <v>594</v>
      </c>
      <c r="D284" s="2" t="str">
        <f t="shared" si="3"/>
        <v>Error?</v>
      </c>
    </row>
    <row r="285" spans="1:4" x14ac:dyDescent="0.2">
      <c r="A285" s="5">
        <v>224</v>
      </c>
      <c r="B285" s="138">
        <f>'Assets-Liab 5-6'!N36</f>
        <v>1668335</v>
      </c>
      <c r="D285" s="2" t="str">
        <f t="shared" si="3"/>
        <v>Error?</v>
      </c>
    </row>
    <row r="286" spans="1:4" x14ac:dyDescent="0.2">
      <c r="A286" s="10">
        <v>225</v>
      </c>
      <c r="D286" s="2" t="str">
        <f t="shared" si="3"/>
        <v>OK</v>
      </c>
    </row>
    <row r="287" spans="1:4" x14ac:dyDescent="0.2">
      <c r="A287" s="5">
        <v>226</v>
      </c>
      <c r="B287" s="138">
        <f>'Assets-Liab 5-6'!N37</f>
        <v>1668335</v>
      </c>
      <c r="C287" s="2" t="s">
        <v>594</v>
      </c>
      <c r="D287" s="2" t="str">
        <f t="shared" si="3"/>
        <v>Error?</v>
      </c>
    </row>
    <row r="288" spans="1:4" x14ac:dyDescent="0.2">
      <c r="A288" s="5">
        <v>227</v>
      </c>
      <c r="B288" s="138">
        <f>'Assets-Liab 5-6'!N41</f>
        <v>1668335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2485134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593449</v>
      </c>
      <c r="D717" s="2" t="str">
        <f t="shared" si="10"/>
        <v>Error?</v>
      </c>
    </row>
    <row r="718" spans="1:4" x14ac:dyDescent="0.2">
      <c r="A718" s="5">
        <v>657</v>
      </c>
      <c r="B718" s="138">
        <f>'Expenditures 15-22'!C14</f>
        <v>479967</v>
      </c>
      <c r="D718" s="2" t="str">
        <f t="shared" si="10"/>
        <v>Error?</v>
      </c>
    </row>
    <row r="719" spans="1:4" x14ac:dyDescent="0.2">
      <c r="A719" s="5">
        <v>658</v>
      </c>
      <c r="B719" s="138">
        <f>'Expenditures 15-22'!C15</f>
        <v>23487</v>
      </c>
      <c r="D719" s="2" t="str">
        <f t="shared" si="10"/>
        <v>Error?</v>
      </c>
    </row>
    <row r="720" spans="1:4" x14ac:dyDescent="0.2">
      <c r="A720" s="5">
        <v>659</v>
      </c>
      <c r="B720" s="138">
        <f>'Expenditures 15-22'!C33</f>
        <v>4169601</v>
      </c>
      <c r="C720" s="2" t="s">
        <v>594</v>
      </c>
      <c r="D720" s="2" t="str">
        <f t="shared" si="10"/>
        <v>Error?</v>
      </c>
    </row>
    <row r="721" spans="1:4" x14ac:dyDescent="0.2">
      <c r="A721" s="5">
        <v>660</v>
      </c>
      <c r="B721" s="138">
        <f>'Expenditures 15-22'!C36</f>
        <v>32646</v>
      </c>
      <c r="D721" s="2" t="str">
        <f t="shared" si="10"/>
        <v>Error?</v>
      </c>
    </row>
    <row r="722" spans="1:4" x14ac:dyDescent="0.2">
      <c r="A722" s="5">
        <v>661</v>
      </c>
      <c r="B722" s="138">
        <f>'Expenditures 15-22'!C37</f>
        <v>350418</v>
      </c>
      <c r="D722" s="2" t="str">
        <f t="shared" si="10"/>
        <v>Error?</v>
      </c>
    </row>
    <row r="723" spans="1:4" x14ac:dyDescent="0.2">
      <c r="A723" s="5">
        <v>662</v>
      </c>
      <c r="B723" s="138">
        <f>'Expenditures 15-22'!C38</f>
        <v>55385</v>
      </c>
      <c r="D723" s="2" t="str">
        <f t="shared" si="10"/>
        <v>Error?</v>
      </c>
    </row>
    <row r="724" spans="1:4" x14ac:dyDescent="0.2">
      <c r="A724" s="5">
        <v>663</v>
      </c>
      <c r="B724" s="138">
        <f>'Expenditures 15-22'!C39</f>
        <v>74597</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15623</v>
      </c>
      <c r="D726" s="2" t="str">
        <f t="shared" si="10"/>
        <v>Error?</v>
      </c>
    </row>
    <row r="727" spans="1:4" x14ac:dyDescent="0.2">
      <c r="A727" s="5">
        <v>666</v>
      </c>
      <c r="B727" s="138">
        <f>'Expenditures 15-22'!C42</f>
        <v>528669</v>
      </c>
      <c r="C727" s="2" t="s">
        <v>594</v>
      </c>
      <c r="D727" s="2" t="str">
        <f t="shared" si="10"/>
        <v>Error?</v>
      </c>
    </row>
    <row r="728" spans="1:4" x14ac:dyDescent="0.2">
      <c r="A728" s="5">
        <v>667</v>
      </c>
      <c r="B728" s="138">
        <f>'Expenditures 15-22'!C44</f>
        <v>16614</v>
      </c>
      <c r="D728" s="2" t="str">
        <f t="shared" si="10"/>
        <v>Error?</v>
      </c>
    </row>
    <row r="729" spans="1:4" x14ac:dyDescent="0.2">
      <c r="A729" s="5">
        <v>668</v>
      </c>
      <c r="B729" s="138">
        <f>'Expenditures 15-22'!C45</f>
        <v>227207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243821</v>
      </c>
      <c r="C731" s="2" t="s">
        <v>594</v>
      </c>
      <c r="D731" s="2" t="str">
        <f t="shared" si="10"/>
        <v>Error?</v>
      </c>
    </row>
    <row r="732" spans="1:4" x14ac:dyDescent="0.2">
      <c r="A732" s="5">
        <v>671</v>
      </c>
      <c r="B732" s="138">
        <f>'Expenditures 15-22'!C49</f>
        <v>53545</v>
      </c>
      <c r="D732" s="2" t="str">
        <f t="shared" si="10"/>
        <v>Error?</v>
      </c>
    </row>
    <row r="733" spans="1:4" x14ac:dyDescent="0.2">
      <c r="A733" s="5">
        <v>672</v>
      </c>
      <c r="B733" s="138">
        <f>'Expenditures 15-22'!C50</f>
        <v>86912</v>
      </c>
      <c r="D733" s="2" t="str">
        <f t="shared" si="10"/>
        <v>Error?</v>
      </c>
    </row>
    <row r="734" spans="1:4" x14ac:dyDescent="0.2">
      <c r="A734" s="5">
        <v>673</v>
      </c>
      <c r="B734" s="138">
        <f>'Expenditures 15-22'!C53</f>
        <v>232105</v>
      </c>
      <c r="C734" s="2" t="s">
        <v>594</v>
      </c>
      <c r="D734" s="2" t="str">
        <f t="shared" si="10"/>
        <v>Error?</v>
      </c>
    </row>
    <row r="735" spans="1:4" x14ac:dyDescent="0.2">
      <c r="A735" s="5">
        <v>674</v>
      </c>
      <c r="B735" s="138">
        <f>'Expenditures 15-22'!C55</f>
        <v>235176</v>
      </c>
      <c r="D735" s="2" t="str">
        <f t="shared" si="10"/>
        <v>Error?</v>
      </c>
    </row>
    <row r="736" spans="1:4" x14ac:dyDescent="0.2">
      <c r="A736" s="5">
        <v>675</v>
      </c>
      <c r="B736" s="138">
        <f>'Expenditures 15-22'!C56</f>
        <v>17935</v>
      </c>
      <c r="D736" s="2" t="str">
        <f t="shared" si="10"/>
        <v>Error?</v>
      </c>
    </row>
    <row r="737" spans="1:4" x14ac:dyDescent="0.2">
      <c r="A737" s="5">
        <v>676</v>
      </c>
      <c r="B737" s="138">
        <f>'Expenditures 15-22'!C57</f>
        <v>253111</v>
      </c>
      <c r="C737" s="2" t="s">
        <v>594</v>
      </c>
      <c r="D737" s="2" t="str">
        <f t="shared" si="10"/>
        <v>Error?</v>
      </c>
    </row>
    <row r="738" spans="1:4" x14ac:dyDescent="0.2">
      <c r="A738" s="5">
        <v>677</v>
      </c>
      <c r="B738" s="138">
        <f>'Expenditures 15-22'!C59</f>
        <v>74250</v>
      </c>
      <c r="D738" s="2" t="str">
        <f t="shared" si="10"/>
        <v>Error?</v>
      </c>
    </row>
    <row r="739" spans="1:4" x14ac:dyDescent="0.2">
      <c r="A739" s="5">
        <v>678</v>
      </c>
      <c r="B739" s="138">
        <f>'Expenditures 15-22'!C60</f>
        <v>110682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81051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265983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1523689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5693290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496437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114891</v>
      </c>
      <c r="D775" s="2" t="str">
        <f t="shared" si="11"/>
        <v>Error?</v>
      </c>
    </row>
    <row r="776" spans="1:4" x14ac:dyDescent="0.2">
      <c r="A776" s="5">
        <v>715</v>
      </c>
      <c r="B776" s="138">
        <f>'Expenditures 15-22'!D14</f>
        <v>13214</v>
      </c>
      <c r="D776" s="2" t="str">
        <f t="shared" si="11"/>
        <v>Error?</v>
      </c>
    </row>
    <row r="777" spans="1:4" x14ac:dyDescent="0.2">
      <c r="A777" s="5">
        <v>716</v>
      </c>
      <c r="B777" s="138">
        <f>'Expenditures 15-22'!D15</f>
        <v>856</v>
      </c>
      <c r="D777" s="2" t="str">
        <f t="shared" si="11"/>
        <v>Error?</v>
      </c>
    </row>
    <row r="778" spans="1:4" x14ac:dyDescent="0.2">
      <c r="A778" s="5">
        <v>717</v>
      </c>
      <c r="B778" s="138">
        <f>'Expenditures 15-22'!D33</f>
        <v>746956</v>
      </c>
      <c r="C778" s="2" t="s">
        <v>594</v>
      </c>
      <c r="D778" s="2" t="str">
        <f t="shared" si="11"/>
        <v>Error?</v>
      </c>
    </row>
    <row r="779" spans="1:4" x14ac:dyDescent="0.2">
      <c r="A779" s="5">
        <v>718</v>
      </c>
      <c r="B779" s="138">
        <f>'Expenditures 15-22'!D36</f>
        <v>15033</v>
      </c>
      <c r="D779" s="2" t="str">
        <f t="shared" si="11"/>
        <v>Error?</v>
      </c>
    </row>
    <row r="780" spans="1:4" x14ac:dyDescent="0.2">
      <c r="A780" s="5">
        <v>719</v>
      </c>
      <c r="B780" s="138">
        <f>'Expenditures 15-22'!D37</f>
        <v>69940</v>
      </c>
      <c r="D780" s="2" t="str">
        <f t="shared" si="11"/>
        <v>Error?</v>
      </c>
    </row>
    <row r="781" spans="1:4" x14ac:dyDescent="0.2">
      <c r="A781" s="5">
        <v>720</v>
      </c>
      <c r="B781" s="138">
        <f>'Expenditures 15-22'!D38</f>
        <v>21861</v>
      </c>
      <c r="D781" s="2" t="str">
        <f t="shared" si="11"/>
        <v>Error?</v>
      </c>
    </row>
    <row r="782" spans="1:4" x14ac:dyDescent="0.2">
      <c r="A782" s="5">
        <v>721</v>
      </c>
      <c r="B782" s="138">
        <f>'Expenditures 15-22'!D39</f>
        <v>10497</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117331</v>
      </c>
      <c r="C785" s="2" t="s">
        <v>594</v>
      </c>
      <c r="D785" s="2" t="str">
        <f t="shared" si="11"/>
        <v>Error?</v>
      </c>
    </row>
    <row r="786" spans="1:4" x14ac:dyDescent="0.2">
      <c r="A786" s="5">
        <v>725</v>
      </c>
      <c r="B786" s="138">
        <f>'Expenditures 15-22'!D44</f>
        <v>243</v>
      </c>
      <c r="D786" s="2" t="str">
        <f t="shared" si="11"/>
        <v>Error?</v>
      </c>
    </row>
    <row r="787" spans="1:4" x14ac:dyDescent="0.2">
      <c r="A787" s="5">
        <v>726</v>
      </c>
      <c r="B787" s="138">
        <f>'Expenditures 15-22'!D45</f>
        <v>43625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43868</v>
      </c>
      <c r="C789" s="2" t="s">
        <v>594</v>
      </c>
      <c r="D789" s="2" t="str">
        <f t="shared" si="11"/>
        <v>Error?</v>
      </c>
    </row>
    <row r="790" spans="1:4" x14ac:dyDescent="0.2">
      <c r="A790" s="5">
        <v>729</v>
      </c>
      <c r="B790" s="138">
        <f>'Expenditures 15-22'!D49</f>
        <v>35526</v>
      </c>
      <c r="D790" s="2" t="str">
        <f t="shared" si="11"/>
        <v>Error?</v>
      </c>
    </row>
    <row r="791" spans="1:4" x14ac:dyDescent="0.2">
      <c r="A791" s="5">
        <v>730</v>
      </c>
      <c r="B791" s="138">
        <f>'Expenditures 15-22'!D50</f>
        <v>18046</v>
      </c>
      <c r="D791" s="2" t="str">
        <f t="shared" si="11"/>
        <v>Error?</v>
      </c>
    </row>
    <row r="792" spans="1:4" x14ac:dyDescent="0.2">
      <c r="A792" s="5">
        <v>731</v>
      </c>
      <c r="B792" s="138">
        <f>'Expenditures 15-22'!D53</f>
        <v>82745</v>
      </c>
      <c r="C792" s="2" t="s">
        <v>594</v>
      </c>
      <c r="D792" s="2" t="str">
        <f t="shared" si="11"/>
        <v>Error?</v>
      </c>
    </row>
    <row r="793" spans="1:4" x14ac:dyDescent="0.2">
      <c r="A793" s="5">
        <v>732</v>
      </c>
      <c r="B793" s="138">
        <f>'Expenditures 15-22'!D55</f>
        <v>88244</v>
      </c>
      <c r="D793" s="2" t="str">
        <f t="shared" si="11"/>
        <v>Error?</v>
      </c>
    </row>
    <row r="794" spans="1:4" x14ac:dyDescent="0.2">
      <c r="A794" s="5">
        <v>733</v>
      </c>
      <c r="B794" s="138">
        <f>'Expenditures 15-22'!D56</f>
        <v>261</v>
      </c>
      <c r="D794" s="2" t="str">
        <f t="shared" si="11"/>
        <v>Error?</v>
      </c>
    </row>
    <row r="795" spans="1:4" x14ac:dyDescent="0.2">
      <c r="A795" s="5">
        <v>734</v>
      </c>
      <c r="B795" s="138">
        <f>'Expenditures 15-22'!D57</f>
        <v>88505</v>
      </c>
      <c r="C795" s="2" t="s">
        <v>594</v>
      </c>
      <c r="D795" s="2" t="str">
        <f t="shared" si="11"/>
        <v>Error?</v>
      </c>
    </row>
    <row r="796" spans="1:4" x14ac:dyDescent="0.2">
      <c r="A796" s="5">
        <v>735</v>
      </c>
      <c r="B796" s="138">
        <f>'Expenditures 15-22'!D59</f>
        <v>18027</v>
      </c>
      <c r="D796" s="2" t="str">
        <f t="shared" si="11"/>
        <v>Error?</v>
      </c>
    </row>
    <row r="797" spans="1:4" x14ac:dyDescent="0.2">
      <c r="A797" s="5">
        <v>736</v>
      </c>
      <c r="B797" s="138">
        <f>'Expenditures 15-22'!D60</f>
        <v>9492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9045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36564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369013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1115969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1431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6975</v>
      </c>
      <c r="D833" s="2" t="str">
        <f t="shared" si="12"/>
        <v>Error?</v>
      </c>
    </row>
    <row r="834" spans="1:4" x14ac:dyDescent="0.2">
      <c r="A834" s="5">
        <v>773</v>
      </c>
      <c r="B834" s="138">
        <f>'Expenditures 15-22'!E14</f>
        <v>103559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274713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9376</v>
      </c>
      <c r="D838" s="2" t="str">
        <f t="shared" si="12"/>
        <v>Error?</v>
      </c>
    </row>
    <row r="839" spans="1:4" x14ac:dyDescent="0.2">
      <c r="A839" s="5">
        <v>778</v>
      </c>
      <c r="B839" s="138">
        <f>'Expenditures 15-22'!E38</f>
        <v>112</v>
      </c>
      <c r="D839" s="2" t="str">
        <f t="shared" si="12"/>
        <v>Error?</v>
      </c>
    </row>
    <row r="840" spans="1:4" x14ac:dyDescent="0.2">
      <c r="A840" s="5">
        <v>779</v>
      </c>
      <c r="B840" s="138">
        <f>'Expenditures 15-22'!E39</f>
        <v>9000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18488</v>
      </c>
      <c r="C843" s="2" t="s">
        <v>594</v>
      </c>
      <c r="D843" s="2" t="str">
        <f t="shared" si="12"/>
        <v>Error?</v>
      </c>
    </row>
    <row r="844" spans="1:4" x14ac:dyDescent="0.2">
      <c r="A844" s="5">
        <v>783</v>
      </c>
      <c r="B844" s="138">
        <f>'Expenditures 15-22'!E44</f>
        <v>77683</v>
      </c>
      <c r="D844" s="2" t="str">
        <f t="shared" si="12"/>
        <v>Error?</v>
      </c>
    </row>
    <row r="845" spans="1:4" x14ac:dyDescent="0.2">
      <c r="A845" s="5">
        <v>784</v>
      </c>
      <c r="B845" s="138">
        <f>'Expenditures 15-22'!E45</f>
        <v>24694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102377</v>
      </c>
      <c r="C847" s="2" t="s">
        <v>594</v>
      </c>
      <c r="D847" s="2" t="str">
        <f t="shared" si="12"/>
        <v>Error?</v>
      </c>
    </row>
    <row r="848" spans="1:4" x14ac:dyDescent="0.2">
      <c r="A848" s="5">
        <v>787</v>
      </c>
      <c r="B848" s="138">
        <f>'Expenditures 15-22'!E49</f>
        <v>35960</v>
      </c>
      <c r="D848" s="2" t="str">
        <f t="shared" si="12"/>
        <v>Error?</v>
      </c>
    </row>
    <row r="849" spans="1:4" x14ac:dyDescent="0.2">
      <c r="A849" s="5">
        <v>788</v>
      </c>
      <c r="B849" s="138">
        <f>'Expenditures 15-22'!E50</f>
        <v>3172</v>
      </c>
      <c r="D849" s="2" t="str">
        <f t="shared" si="12"/>
        <v>Error?</v>
      </c>
    </row>
    <row r="850" spans="1:4" x14ac:dyDescent="0.2">
      <c r="A850" s="5">
        <v>789</v>
      </c>
      <c r="B850" s="138">
        <f>'Expenditures 15-22'!E53</f>
        <v>40767</v>
      </c>
      <c r="C850" s="2" t="s">
        <v>594</v>
      </c>
      <c r="D850" s="2" t="str">
        <f t="shared" si="12"/>
        <v>Error?</v>
      </c>
    </row>
    <row r="851" spans="1:4" x14ac:dyDescent="0.2">
      <c r="A851" s="5">
        <v>790</v>
      </c>
      <c r="B851" s="138">
        <f>'Expenditures 15-22'!E55</f>
        <v>13301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13301</v>
      </c>
      <c r="C853" s="2" t="s">
        <v>594</v>
      </c>
      <c r="D853" s="2" t="str">
        <f t="shared" si="12"/>
        <v>Error?</v>
      </c>
    </row>
    <row r="854" spans="1:4" x14ac:dyDescent="0.2">
      <c r="A854" s="5">
        <v>793</v>
      </c>
      <c r="B854" s="138">
        <f>'Expenditures 15-22'!E59</f>
        <v>3438</v>
      </c>
      <c r="D854" s="2" t="str">
        <f t="shared" si="12"/>
        <v>Error?</v>
      </c>
    </row>
    <row r="855" spans="1:4" x14ac:dyDescent="0.2">
      <c r="A855" s="5">
        <v>794</v>
      </c>
      <c r="B855" s="138">
        <f>'Expenditures 15-22'!E60</f>
        <v>1745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5410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24598</v>
      </c>
      <c r="D867" s="2" t="str">
        <f t="shared" si="12"/>
        <v>Error?</v>
      </c>
    </row>
    <row r="868" spans="1:4" x14ac:dyDescent="0.2">
      <c r="A868" s="10">
        <v>807</v>
      </c>
      <c r="D868" s="2" t="str">
        <f t="shared" si="12"/>
        <v>OK</v>
      </c>
    </row>
    <row r="869" spans="1:4" x14ac:dyDescent="0.2">
      <c r="A869" s="5">
        <v>808</v>
      </c>
      <c r="B869" s="138">
        <f>'Expenditures 15-22'!E72</f>
        <v>24598</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204941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499854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46840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81452</v>
      </c>
      <c r="D891" s="2" t="str">
        <f t="shared" si="12"/>
        <v>Error?</v>
      </c>
    </row>
    <row r="892" spans="1:4" x14ac:dyDescent="0.2">
      <c r="A892" s="5">
        <v>831</v>
      </c>
      <c r="B892" s="138">
        <f>'Expenditures 15-22'!F14</f>
        <v>65949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211341</v>
      </c>
      <c r="C894" s="2" t="s">
        <v>594</v>
      </c>
      <c r="D894" s="2" t="str">
        <f t="shared" si="12"/>
        <v>Error?</v>
      </c>
    </row>
    <row r="895" spans="1:4" x14ac:dyDescent="0.2">
      <c r="A895" s="5">
        <v>834</v>
      </c>
      <c r="B895" s="138">
        <f>'Expenditures 15-22'!F36</f>
        <v>124</v>
      </c>
      <c r="D895" s="2" t="str">
        <f t="shared" ref="D895:D958" si="13">IF(ISBLANK(B895),"OK",IF(A895-B895=0,"OK","Error?"))</f>
        <v>Error?</v>
      </c>
    </row>
    <row r="896" spans="1:4" x14ac:dyDescent="0.2">
      <c r="A896" s="5">
        <v>835</v>
      </c>
      <c r="B896" s="138">
        <f>'Expenditures 15-22'!F37</f>
        <v>1853</v>
      </c>
      <c r="D896" s="2" t="str">
        <f t="shared" si="13"/>
        <v>Error?</v>
      </c>
    </row>
    <row r="897" spans="1:4" x14ac:dyDescent="0.2">
      <c r="A897" s="5">
        <v>836</v>
      </c>
      <c r="B897" s="138">
        <f>'Expenditures 15-22'!F38</f>
        <v>1392</v>
      </c>
      <c r="D897" s="2" t="str">
        <f t="shared" si="13"/>
        <v>Error?</v>
      </c>
    </row>
    <row r="898" spans="1:4" x14ac:dyDescent="0.2">
      <c r="A898" s="5">
        <v>837</v>
      </c>
      <c r="B898" s="138">
        <f>'Expenditures 15-22'!F39</f>
        <v>612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523</v>
      </c>
      <c r="D900" s="2" t="str">
        <f t="shared" si="13"/>
        <v>Error?</v>
      </c>
    </row>
    <row r="901" spans="1:4" x14ac:dyDescent="0.2">
      <c r="A901" s="5">
        <v>840</v>
      </c>
      <c r="B901" s="138">
        <f>'Expenditures 15-22'!F42</f>
        <v>4504</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175263</v>
      </c>
      <c r="D903" s="2" t="str">
        <f t="shared" si="13"/>
        <v>Error?</v>
      </c>
    </row>
    <row r="904" spans="1:4" x14ac:dyDescent="0.2">
      <c r="A904" s="5">
        <v>843</v>
      </c>
      <c r="B904" s="138">
        <f>'Expenditures 15-22'!F46</f>
        <v>41322</v>
      </c>
      <c r="D904" s="2" t="str">
        <f t="shared" si="13"/>
        <v>Error?</v>
      </c>
    </row>
    <row r="905" spans="1:4" x14ac:dyDescent="0.2">
      <c r="A905" s="5">
        <v>844</v>
      </c>
      <c r="B905" s="138">
        <f>'Expenditures 15-22'!F47</f>
        <v>216585</v>
      </c>
      <c r="C905" s="2" t="s">
        <v>594</v>
      </c>
      <c r="D905" s="2" t="str">
        <f t="shared" si="13"/>
        <v>Error?</v>
      </c>
    </row>
    <row r="906" spans="1:4" x14ac:dyDescent="0.2">
      <c r="A906" s="5">
        <v>845</v>
      </c>
      <c r="B906" s="138">
        <f>'Expenditures 15-22'!F49</f>
        <v>25001</v>
      </c>
      <c r="D906" s="2" t="str">
        <f t="shared" si="13"/>
        <v>Error?</v>
      </c>
    </row>
    <row r="907" spans="1:4" x14ac:dyDescent="0.2">
      <c r="A907" s="5">
        <v>846</v>
      </c>
      <c r="B907" s="138">
        <f>'Expenditures 15-22'!F50</f>
        <v>2292</v>
      </c>
      <c r="D907" s="2" t="str">
        <f t="shared" si="13"/>
        <v>Error?</v>
      </c>
    </row>
    <row r="908" spans="1:4" x14ac:dyDescent="0.2">
      <c r="A908" s="5">
        <v>847</v>
      </c>
      <c r="B908" s="138">
        <f>'Expenditures 15-22'!F53</f>
        <v>29393</v>
      </c>
      <c r="C908" s="2" t="s">
        <v>594</v>
      </c>
      <c r="D908" s="2" t="str">
        <f t="shared" si="13"/>
        <v>Error?</v>
      </c>
    </row>
    <row r="909" spans="1:4" x14ac:dyDescent="0.2">
      <c r="A909" s="5">
        <v>848</v>
      </c>
      <c r="B909" s="138">
        <f>'Expenditures 15-22'!F55</f>
        <v>370</v>
      </c>
      <c r="D909" s="2" t="str">
        <f t="shared" si="13"/>
        <v>Error?</v>
      </c>
    </row>
    <row r="910" spans="1:4" x14ac:dyDescent="0.2">
      <c r="A910" s="5">
        <v>849</v>
      </c>
      <c r="B910" s="138">
        <f>'Expenditures 15-22'!F56</f>
        <v>380</v>
      </c>
      <c r="D910" s="2" t="str">
        <f t="shared" si="13"/>
        <v>Error?</v>
      </c>
    </row>
    <row r="911" spans="1:4" x14ac:dyDescent="0.2">
      <c r="A911" s="5">
        <v>850</v>
      </c>
      <c r="B911" s="138">
        <f>'Expenditures 15-22'!F57</f>
        <v>750</v>
      </c>
      <c r="C911" s="2" t="s">
        <v>594</v>
      </c>
      <c r="D911" s="2" t="str">
        <f t="shared" si="13"/>
        <v>Error?</v>
      </c>
    </row>
    <row r="912" spans="1:4" x14ac:dyDescent="0.2">
      <c r="A912" s="5">
        <v>851</v>
      </c>
      <c r="B912" s="138">
        <f>'Expenditures 15-22'!F59</f>
        <v>810</v>
      </c>
      <c r="D912" s="2" t="str">
        <f t="shared" si="13"/>
        <v>Error?</v>
      </c>
    </row>
    <row r="913" spans="1:4" x14ac:dyDescent="0.2">
      <c r="A913" s="5">
        <v>852</v>
      </c>
      <c r="B913" s="138">
        <f>'Expenditures 15-22'!F60</f>
        <v>287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212856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213953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443</v>
      </c>
      <c r="D928" s="2" t="str">
        <f t="shared" si="13"/>
        <v>Error?</v>
      </c>
    </row>
    <row r="929" spans="1:4" x14ac:dyDescent="0.2">
      <c r="A929" s="5">
        <v>868</v>
      </c>
      <c r="B929" s="138">
        <f>'Expenditures 15-22'!F74</f>
        <v>465628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676969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36357</v>
      </c>
      <c r="D949" s="2" t="str">
        <f t="shared" si="13"/>
        <v>Error?</v>
      </c>
    </row>
    <row r="950" spans="1:4" x14ac:dyDescent="0.2">
      <c r="A950" s="5">
        <v>889</v>
      </c>
      <c r="B950" s="138">
        <f>'Expenditures 15-22'!G14</f>
        <v>15592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51949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11186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11186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44581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44581</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55767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107716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720597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379</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379</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5184</v>
      </c>
      <c r="D1022" s="2" t="str">
        <f t="shared" si="14"/>
        <v>Error?</v>
      </c>
    </row>
    <row r="1023" spans="1:4" x14ac:dyDescent="0.2">
      <c r="A1023" s="5">
        <v>962</v>
      </c>
      <c r="B1023" s="138">
        <f>'Expenditures 15-22'!H50</f>
        <v>2394</v>
      </c>
      <c r="D1023" s="2" t="str">
        <f t="shared" ref="D1023:D1086" si="15">IF(ISBLANK(B1023),"OK",IF(A1023-B1023=0,"OK","Error?"))</f>
        <v>Error?</v>
      </c>
    </row>
    <row r="1024" spans="1:4" x14ac:dyDescent="0.2">
      <c r="A1024" s="5">
        <v>963</v>
      </c>
      <c r="B1024" s="138">
        <f>'Expenditures 15-22'!H53</f>
        <v>7578</v>
      </c>
      <c r="C1024" s="2" t="s">
        <v>594</v>
      </c>
      <c r="D1024" s="2" t="str">
        <f t="shared" si="15"/>
        <v>Error?</v>
      </c>
    </row>
    <row r="1025" spans="1:4" x14ac:dyDescent="0.2">
      <c r="A1025" s="5">
        <v>964</v>
      </c>
      <c r="B1025" s="138">
        <f>'Expenditures 15-22'!H55</f>
        <v>829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829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600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600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9386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88608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818591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3029842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839171</v>
      </c>
      <c r="C1105" s="2" t="s">
        <v>594</v>
      </c>
      <c r="D1105" s="2" t="str">
        <f t="shared" si="16"/>
        <v>Error?</v>
      </c>
    </row>
    <row r="1106" spans="1:4" x14ac:dyDescent="0.2">
      <c r="A1106" s="5">
        <v>1045</v>
      </c>
      <c r="B1106" s="138">
        <f>'Expenditures 15-22'!K14</f>
        <v>708278</v>
      </c>
      <c r="C1106" s="2" t="s">
        <v>594</v>
      </c>
      <c r="D1106" s="2" t="str">
        <f t="shared" si="16"/>
        <v>Error?</v>
      </c>
    </row>
    <row r="1107" spans="1:4" x14ac:dyDescent="0.2">
      <c r="A1107" s="5">
        <v>1046</v>
      </c>
      <c r="B1107" s="138">
        <f>'Expenditures 15-22'!K15</f>
        <v>24343</v>
      </c>
      <c r="C1107" s="2" t="s">
        <v>594</v>
      </c>
      <c r="D1107" s="2" t="str">
        <f t="shared" si="16"/>
        <v>Error?</v>
      </c>
    </row>
    <row r="1108" spans="1:4" x14ac:dyDescent="0.2">
      <c r="A1108" s="5">
        <v>1047</v>
      </c>
      <c r="B1108" s="138">
        <f>'Expenditures 15-22'!K33</f>
        <v>6212446</v>
      </c>
      <c r="C1108" s="2" t="s">
        <v>594</v>
      </c>
      <c r="D1108" s="2" t="str">
        <f t="shared" si="16"/>
        <v>Error?</v>
      </c>
    </row>
    <row r="1109" spans="1:4" x14ac:dyDescent="0.2">
      <c r="A1109" s="5">
        <v>1048</v>
      </c>
      <c r="B1109" s="138">
        <f>'Expenditures 15-22'!K36</f>
        <v>47803</v>
      </c>
      <c r="C1109" s="2" t="s">
        <v>594</v>
      </c>
      <c r="D1109" s="2" t="str">
        <f t="shared" si="16"/>
        <v>Error?</v>
      </c>
    </row>
    <row r="1110" spans="1:4" x14ac:dyDescent="0.2">
      <c r="A1110" s="5">
        <v>1049</v>
      </c>
      <c r="B1110" s="138">
        <f>'Expenditures 15-22'!K37</f>
        <v>431966</v>
      </c>
      <c r="C1110" s="2" t="s">
        <v>594</v>
      </c>
      <c r="D1110" s="2" t="str">
        <f t="shared" si="16"/>
        <v>Error?</v>
      </c>
    </row>
    <row r="1111" spans="1:4" x14ac:dyDescent="0.2">
      <c r="A1111" s="5">
        <v>1050</v>
      </c>
      <c r="B1111" s="138">
        <f>'Expenditures 15-22'!K38</f>
        <v>79995</v>
      </c>
      <c r="C1111" s="2" t="s">
        <v>594</v>
      </c>
      <c r="D1111" s="2" t="str">
        <f t="shared" si="16"/>
        <v>Error?</v>
      </c>
    </row>
    <row r="1112" spans="1:4" x14ac:dyDescent="0.2">
      <c r="A1112" s="5">
        <v>1051</v>
      </c>
      <c r="B1112" s="138">
        <f>'Expenditures 15-22'!K39</f>
        <v>94706</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16146</v>
      </c>
      <c r="C1114" s="2" t="s">
        <v>594</v>
      </c>
      <c r="D1114" s="2" t="str">
        <f t="shared" si="16"/>
        <v>Error?</v>
      </c>
    </row>
    <row r="1115" spans="1:4" x14ac:dyDescent="0.2">
      <c r="A1115" s="5">
        <v>1054</v>
      </c>
      <c r="B1115" s="138">
        <f>'Expenditures 15-22'!K42</f>
        <v>670616</v>
      </c>
      <c r="C1115" s="2" t="s">
        <v>594</v>
      </c>
      <c r="D1115" s="2" t="str">
        <f t="shared" si="16"/>
        <v>Error?</v>
      </c>
    </row>
    <row r="1116" spans="1:4" x14ac:dyDescent="0.2">
      <c r="A1116" s="5">
        <v>1055</v>
      </c>
      <c r="B1116" s="138">
        <f>'Expenditures 15-22'!K44</f>
        <v>94540</v>
      </c>
      <c r="C1116" s="2" t="s">
        <v>594</v>
      </c>
      <c r="D1116" s="2" t="str">
        <f t="shared" si="16"/>
        <v>Error?</v>
      </c>
    </row>
    <row r="1117" spans="1:4" x14ac:dyDescent="0.2">
      <c r="A1117" s="5">
        <v>1056</v>
      </c>
      <c r="B1117" s="138">
        <f>'Expenditures 15-22'!K45</f>
        <v>524105</v>
      </c>
      <c r="C1117" s="2" t="s">
        <v>594</v>
      </c>
      <c r="D1117" s="2" t="str">
        <f t="shared" si="16"/>
        <v>Error?</v>
      </c>
    </row>
    <row r="1118" spans="1:4" x14ac:dyDescent="0.2">
      <c r="A1118" s="5">
        <v>1057</v>
      </c>
      <c r="B1118" s="138">
        <f>'Expenditures 15-22'!K46</f>
        <v>41322</v>
      </c>
      <c r="C1118" s="2" t="s">
        <v>594</v>
      </c>
      <c r="D1118" s="2" t="str">
        <f t="shared" si="16"/>
        <v>Error?</v>
      </c>
    </row>
    <row r="1119" spans="1:4" x14ac:dyDescent="0.2">
      <c r="A1119" s="5">
        <v>1058</v>
      </c>
      <c r="B1119" s="138">
        <f>'Expenditures 15-22'!K47</f>
        <v>659967</v>
      </c>
      <c r="C1119" s="2" t="s">
        <v>594</v>
      </c>
      <c r="D1119" s="2" t="str">
        <f t="shared" si="16"/>
        <v>Error?</v>
      </c>
    </row>
    <row r="1120" spans="1:4" x14ac:dyDescent="0.2">
      <c r="A1120" s="5">
        <v>1059</v>
      </c>
      <c r="B1120" s="138">
        <f>'Expenditures 15-22'!K49</f>
        <v>155216</v>
      </c>
      <c r="C1120" s="2" t="s">
        <v>594</v>
      </c>
      <c r="D1120" s="2" t="str">
        <f t="shared" si="16"/>
        <v>Error?</v>
      </c>
    </row>
    <row r="1121" spans="1:4" x14ac:dyDescent="0.2">
      <c r="A1121" s="5">
        <v>1060</v>
      </c>
      <c r="B1121" s="138">
        <f>'Expenditures 15-22'!K50</f>
        <v>112816</v>
      </c>
      <c r="C1121" s="2" t="s">
        <v>594</v>
      </c>
      <c r="D1121" s="2" t="str">
        <f t="shared" si="16"/>
        <v>Error?</v>
      </c>
    </row>
    <row r="1122" spans="1:4" x14ac:dyDescent="0.2">
      <c r="A1122" s="5">
        <v>1061</v>
      </c>
      <c r="B1122" s="138">
        <f>'Expenditures 15-22'!K53</f>
        <v>392588</v>
      </c>
      <c r="C1122" s="2" t="s">
        <v>594</v>
      </c>
      <c r="D1122" s="2" t="str">
        <f t="shared" si="16"/>
        <v>Error?</v>
      </c>
    </row>
    <row r="1123" spans="1:4" x14ac:dyDescent="0.2">
      <c r="A1123" s="5">
        <v>1062</v>
      </c>
      <c r="B1123" s="138">
        <f>'Expenditures 15-22'!K55</f>
        <v>337920</v>
      </c>
      <c r="C1123" s="2" t="s">
        <v>594</v>
      </c>
      <c r="D1123" s="2" t="str">
        <f t="shared" si="16"/>
        <v>Error?</v>
      </c>
    </row>
    <row r="1124" spans="1:4" x14ac:dyDescent="0.2">
      <c r="A1124" s="5">
        <v>1063</v>
      </c>
      <c r="B1124" s="138">
        <f>'Expenditures 15-22'!K56</f>
        <v>18576</v>
      </c>
      <c r="C1124" s="2" t="s">
        <v>594</v>
      </c>
      <c r="D1124" s="2" t="str">
        <f t="shared" si="16"/>
        <v>Error?</v>
      </c>
    </row>
    <row r="1125" spans="1:4" x14ac:dyDescent="0.2">
      <c r="A1125" s="5">
        <v>1064</v>
      </c>
      <c r="B1125" s="138">
        <f>'Expenditures 15-22'!K57</f>
        <v>356496</v>
      </c>
      <c r="C1125" s="2" t="s">
        <v>594</v>
      </c>
      <c r="D1125" s="2" t="str">
        <f t="shared" si="16"/>
        <v>Error?</v>
      </c>
    </row>
    <row r="1126" spans="1:4" x14ac:dyDescent="0.2">
      <c r="A1126" s="5">
        <v>1065</v>
      </c>
      <c r="B1126" s="138">
        <f>'Expenditures 15-22'!K59</f>
        <v>96525</v>
      </c>
      <c r="C1126" s="2" t="s">
        <v>594</v>
      </c>
      <c r="D1126" s="2" t="str">
        <f t="shared" si="16"/>
        <v>Error?</v>
      </c>
    </row>
    <row r="1127" spans="1:4" x14ac:dyDescent="0.2">
      <c r="A1127" s="5">
        <v>1066</v>
      </c>
      <c r="B1127" s="138">
        <f>'Expenditures 15-22'!K60</f>
        <v>122206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348360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567091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24598</v>
      </c>
      <c r="C1139" s="2" t="s">
        <v>594</v>
      </c>
      <c r="D1139" s="2" t="str">
        <f t="shared" si="16"/>
        <v>Error?</v>
      </c>
    </row>
    <row r="1140" spans="1:4" x14ac:dyDescent="0.2">
      <c r="A1140" s="10">
        <v>1079</v>
      </c>
      <c r="D1140" s="2" t="str">
        <f t="shared" si="16"/>
        <v>OK</v>
      </c>
    </row>
    <row r="1141" spans="1:4" x14ac:dyDescent="0.2">
      <c r="A1141" s="5">
        <v>1080</v>
      </c>
      <c r="B1141" s="138">
        <f>'Expenditures 15-22'!K72</f>
        <v>24598</v>
      </c>
      <c r="C1141" s="2" t="s">
        <v>594</v>
      </c>
      <c r="D1141" s="2" t="str">
        <f t="shared" si="16"/>
        <v>Error?</v>
      </c>
    </row>
    <row r="1142" spans="1:4" x14ac:dyDescent="0.2">
      <c r="A1142" s="5">
        <v>1081</v>
      </c>
      <c r="B1142" s="138">
        <f>'Expenditures 15-22'!K73</f>
        <v>443</v>
      </c>
      <c r="C1142" s="2" t="s">
        <v>594</v>
      </c>
      <c r="D1142" s="2" t="str">
        <f t="shared" si="16"/>
        <v>Error?</v>
      </c>
    </row>
    <row r="1143" spans="1:4" x14ac:dyDescent="0.2">
      <c r="A1143" s="5">
        <v>1082</v>
      </c>
      <c r="B1143" s="138">
        <f>'Expenditures 15-22'!K74</f>
        <v>2671799</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108808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8993053</v>
      </c>
      <c r="C1152" s="2" t="s">
        <v>594</v>
      </c>
      <c r="D1152" s="2" t="str">
        <f t="shared" si="17"/>
        <v>Error?</v>
      </c>
    </row>
    <row r="1153" spans="1:4" x14ac:dyDescent="0.2">
      <c r="A1153" s="5">
        <v>1092</v>
      </c>
      <c r="B1153" s="138">
        <f>'Expenditures 15-22'!K115</f>
        <v>483017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315523</v>
      </c>
      <c r="D1221" s="2" t="str">
        <f t="shared" si="18"/>
        <v>Error?</v>
      </c>
    </row>
    <row r="1222" spans="1:4" x14ac:dyDescent="0.2">
      <c r="A1222" s="10">
        <v>1161</v>
      </c>
      <c r="D1222" s="2" t="str">
        <f t="shared" si="18"/>
        <v>OK</v>
      </c>
    </row>
    <row r="1223" spans="1:4" x14ac:dyDescent="0.2">
      <c r="A1223" s="5">
        <v>1162</v>
      </c>
      <c r="B1223" s="138">
        <f>'Expenditures 15-22'!C127</f>
        <v>315523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315523</v>
      </c>
      <c r="C1225" s="2" t="s">
        <v>594</v>
      </c>
      <c r="D1225" s="2" t="str">
        <f t="shared" si="18"/>
        <v>Error?</v>
      </c>
    </row>
    <row r="1226" spans="1:4" x14ac:dyDescent="0.2">
      <c r="A1226" s="5">
        <v>1165</v>
      </c>
      <c r="B1226" s="138">
        <f>'Expenditures 15-22'!C151</f>
        <v>315523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93160</v>
      </c>
      <c r="D1229" s="2" t="str">
        <f t="shared" si="18"/>
        <v>Error?</v>
      </c>
    </row>
    <row r="1230" spans="1:4" x14ac:dyDescent="0.2">
      <c r="A1230" s="10">
        <v>1169</v>
      </c>
      <c r="D1230" s="2" t="str">
        <f t="shared" si="18"/>
        <v>OK</v>
      </c>
    </row>
    <row r="1231" spans="1:4" x14ac:dyDescent="0.2">
      <c r="A1231" s="5">
        <v>1170</v>
      </c>
      <c r="B1231" s="138">
        <f>'Expenditures 15-22'!D127</f>
        <v>93160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93160</v>
      </c>
      <c r="C1233" s="2" t="s">
        <v>594</v>
      </c>
      <c r="D1233" s="2" t="str">
        <f t="shared" si="18"/>
        <v>Error?</v>
      </c>
    </row>
    <row r="1234" spans="1:4" x14ac:dyDescent="0.2">
      <c r="A1234" s="5">
        <v>1173</v>
      </c>
      <c r="B1234" s="138">
        <f>'Expenditures 15-22'!D151</f>
        <v>93160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192311</v>
      </c>
      <c r="D1237" s="2" t="str">
        <f t="shared" si="18"/>
        <v>Error?</v>
      </c>
    </row>
    <row r="1238" spans="1:4" x14ac:dyDescent="0.2">
      <c r="A1238" s="10">
        <v>1177</v>
      </c>
      <c r="D1238" s="2" t="str">
        <f t="shared" si="18"/>
        <v>OK</v>
      </c>
    </row>
    <row r="1239" spans="1:4" x14ac:dyDescent="0.2">
      <c r="A1239" s="5">
        <v>1178</v>
      </c>
      <c r="B1239" s="138">
        <f>'Expenditures 15-22'!E127</f>
        <v>192311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192311</v>
      </c>
      <c r="C1241" s="2" t="s">
        <v>594</v>
      </c>
      <c r="D1241" s="2" t="str">
        <f t="shared" si="18"/>
        <v>Error?</v>
      </c>
    </row>
    <row r="1242" spans="1:4" x14ac:dyDescent="0.2">
      <c r="A1242" s="5">
        <v>1181</v>
      </c>
      <c r="B1242" s="138">
        <f>'Expenditures 15-22'!E151</f>
        <v>192311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425914</v>
      </c>
      <c r="D1245" s="2" t="str">
        <f t="shared" si="18"/>
        <v>Error?</v>
      </c>
    </row>
    <row r="1246" spans="1:4" x14ac:dyDescent="0.2">
      <c r="A1246" s="10">
        <v>1185</v>
      </c>
      <c r="D1246" s="2" t="str">
        <f t="shared" si="18"/>
        <v>OK</v>
      </c>
    </row>
    <row r="1247" spans="1:4" x14ac:dyDescent="0.2">
      <c r="A1247" s="5">
        <v>1186</v>
      </c>
      <c r="B1247" s="138">
        <f>'Expenditures 15-22'!F127</f>
        <v>425914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425914</v>
      </c>
      <c r="C1249" s="2" t="s">
        <v>594</v>
      </c>
      <c r="D1249" s="2" t="str">
        <f t="shared" si="18"/>
        <v>Error?</v>
      </c>
    </row>
    <row r="1250" spans="1:4" x14ac:dyDescent="0.2">
      <c r="A1250" s="5">
        <v>1189</v>
      </c>
      <c r="B1250" s="138">
        <f>'Expenditures 15-22'!F151</f>
        <v>425914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175987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175987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175987</v>
      </c>
      <c r="C1258" s="2" t="s">
        <v>594</v>
      </c>
      <c r="D1258" s="2" t="str">
        <f t="shared" si="18"/>
        <v>Error?</v>
      </c>
    </row>
    <row r="1259" spans="1:4" x14ac:dyDescent="0.2">
      <c r="A1259" s="5">
        <v>1198</v>
      </c>
      <c r="B1259" s="138">
        <f>'Expenditures 15-22'!G151</f>
        <v>175987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1209297</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1209297</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1209297</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1209297</v>
      </c>
      <c r="C1288" s="2" t="s">
        <v>594</v>
      </c>
      <c r="D1288" s="2" t="str">
        <f t="shared" si="19"/>
        <v>Error?</v>
      </c>
    </row>
    <row r="1289" spans="1:4" x14ac:dyDescent="0.2">
      <c r="A1289" s="5">
        <v>1228</v>
      </c>
      <c r="B1289" s="138">
        <f>'Expenditures 15-22'!K152</f>
        <v>-252115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1938985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606015</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2545000</v>
      </c>
      <c r="C1317" s="2" t="s">
        <v>594</v>
      </c>
      <c r="D1317" s="2" t="str">
        <f t="shared" si="19"/>
        <v>Error?</v>
      </c>
    </row>
    <row r="1318" spans="1:4" x14ac:dyDescent="0.2">
      <c r="A1318" s="5">
        <v>1257</v>
      </c>
      <c r="B1318" s="138">
        <f>'Expenditures 15-22'!H174</f>
        <v>2545000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1938985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606015</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2545000</v>
      </c>
      <c r="C1331" s="2" t="s">
        <v>594</v>
      </c>
      <c r="D1331" s="2" t="str">
        <f t="shared" si="19"/>
        <v>Error?</v>
      </c>
    </row>
    <row r="1332" spans="1:4" x14ac:dyDescent="0.2">
      <c r="A1332" s="5">
        <v>1271</v>
      </c>
      <c r="B1332" s="138">
        <f>'Expenditures 15-22'!K174</f>
        <v>2545000</v>
      </c>
      <c r="C1332" s="2" t="s">
        <v>594</v>
      </c>
      <c r="D1332" s="2" t="str">
        <f t="shared" si="19"/>
        <v>Error?</v>
      </c>
    </row>
    <row r="1333" spans="1:4" x14ac:dyDescent="0.2">
      <c r="A1333" s="5">
        <v>1272</v>
      </c>
      <c r="B1333" s="138">
        <f>'Expenditures 15-22'!K175</f>
        <v>-7367</v>
      </c>
      <c r="C1333" s="2" t="s">
        <v>594</v>
      </c>
      <c r="D1333" s="2" t="str">
        <f t="shared" si="19"/>
        <v>Error?</v>
      </c>
    </row>
    <row r="1334" spans="1:4" x14ac:dyDescent="0.2">
      <c r="A1334" s="10">
        <v>1273</v>
      </c>
      <c r="D1334" s="2" t="str">
        <f t="shared" si="19"/>
        <v>OK</v>
      </c>
    </row>
    <row r="1335" spans="1:4" x14ac:dyDescent="0.2">
      <c r="A1335" s="5">
        <v>1274</v>
      </c>
      <c r="B1335" s="138">
        <f>'Expenditures 15-22'!C182</f>
        <v>311253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311253</v>
      </c>
      <c r="C1339" s="2" t="s">
        <v>594</v>
      </c>
      <c r="D1339" s="2" t="str">
        <f t="shared" si="19"/>
        <v>Error?</v>
      </c>
    </row>
    <row r="1340" spans="1:4" x14ac:dyDescent="0.2">
      <c r="A1340" s="5">
        <v>1279</v>
      </c>
      <c r="B1340" s="138">
        <f>'Expenditures 15-22'!C210</f>
        <v>311253</v>
      </c>
      <c r="C1340" s="2" t="s">
        <v>594</v>
      </c>
      <c r="D1340" s="2" t="str">
        <f t="shared" si="19"/>
        <v>Error?</v>
      </c>
    </row>
    <row r="1341" spans="1:4" x14ac:dyDescent="0.2">
      <c r="A1341" s="5">
        <v>1280</v>
      </c>
      <c r="B1341" s="138">
        <f>'Expenditures 15-22'!D182</f>
        <v>35193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35193</v>
      </c>
      <c r="C1345" s="2" t="s">
        <v>594</v>
      </c>
      <c r="D1345" s="2" t="str">
        <f t="shared" si="20"/>
        <v>Error?</v>
      </c>
    </row>
    <row r="1346" spans="1:4" x14ac:dyDescent="0.2">
      <c r="A1346" s="5">
        <v>1285</v>
      </c>
      <c r="B1346" s="138">
        <f>'Expenditures 15-22'!D210</f>
        <v>35193</v>
      </c>
      <c r="C1346" s="2" t="s">
        <v>594</v>
      </c>
      <c r="D1346" s="2" t="str">
        <f t="shared" si="20"/>
        <v>Error?</v>
      </c>
    </row>
    <row r="1347" spans="1:4" x14ac:dyDescent="0.2">
      <c r="A1347" s="5">
        <v>1286</v>
      </c>
      <c r="B1347" s="138">
        <f>'Expenditures 15-22'!E182</f>
        <v>74512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74512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74512</v>
      </c>
      <c r="C1353" s="2" t="s">
        <v>594</v>
      </c>
      <c r="D1353" s="2" t="str">
        <f t="shared" si="20"/>
        <v>Error?</v>
      </c>
    </row>
    <row r="1354" spans="1:4" x14ac:dyDescent="0.2">
      <c r="A1354" s="5">
        <v>1293</v>
      </c>
      <c r="B1354" s="138">
        <f>'Expenditures 15-22'!F182</f>
        <v>107882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107882</v>
      </c>
      <c r="C1358" s="2" t="s">
        <v>594</v>
      </c>
      <c r="D1358" s="2" t="str">
        <f t="shared" si="20"/>
        <v>Error?</v>
      </c>
    </row>
    <row r="1359" spans="1:4" x14ac:dyDescent="0.2">
      <c r="A1359" s="5">
        <v>1298</v>
      </c>
      <c r="B1359" s="138">
        <f>'Expenditures 15-22'!F210</f>
        <v>107882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549238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549238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549238</v>
      </c>
      <c r="C1388" s="2" t="s">
        <v>594</v>
      </c>
      <c r="D1388" s="2" t="str">
        <f t="shared" si="20"/>
        <v>Error?</v>
      </c>
    </row>
    <row r="1389" spans="1:4" x14ac:dyDescent="0.2">
      <c r="A1389" s="5">
        <v>1328</v>
      </c>
      <c r="B1389" s="138">
        <f>'Expenditures 15-22'!K211</f>
        <v>101450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6826</v>
      </c>
      <c r="D1407" s="2" t="str">
        <f t="shared" ref="D1407:D1470" si="21">IF(ISBLANK(B1407),"OK",IF(A1407-B1407=0,"OK","Error?"))</f>
        <v>Error?</v>
      </c>
    </row>
    <row r="1408" spans="1:4" x14ac:dyDescent="0.2">
      <c r="A1408" s="5">
        <v>1347</v>
      </c>
      <c r="B1408" s="138">
        <f>'Expenditures 15-22'!D223</f>
        <v>16478</v>
      </c>
      <c r="D1408" s="2" t="str">
        <f t="shared" si="21"/>
        <v>Error?</v>
      </c>
    </row>
    <row r="1409" spans="1:4" x14ac:dyDescent="0.2">
      <c r="A1409" s="5">
        <v>1348</v>
      </c>
      <c r="B1409" s="138">
        <f>'Expenditures 15-22'!D224</f>
        <v>317</v>
      </c>
      <c r="D1409" s="2" t="str">
        <f t="shared" si="21"/>
        <v>Error?</v>
      </c>
    </row>
    <row r="1410" spans="1:4" x14ac:dyDescent="0.2">
      <c r="A1410" s="5">
        <v>1349</v>
      </c>
      <c r="B1410" s="138">
        <f>'Expenditures 15-22'!D229</f>
        <v>90086</v>
      </c>
      <c r="C1410" s="2" t="s">
        <v>594</v>
      </c>
      <c r="D1410" s="2" t="str">
        <f t="shared" si="21"/>
        <v>Error?</v>
      </c>
    </row>
    <row r="1411" spans="1:4" x14ac:dyDescent="0.2">
      <c r="A1411" s="5">
        <v>1350</v>
      </c>
      <c r="B1411" s="138">
        <f>'Expenditures 15-22'!D232</f>
        <v>5860</v>
      </c>
      <c r="D1411" s="2" t="str">
        <f t="shared" si="21"/>
        <v>Error?</v>
      </c>
    </row>
    <row r="1412" spans="1:4" x14ac:dyDescent="0.2">
      <c r="A1412" s="5">
        <v>1351</v>
      </c>
      <c r="B1412" s="138">
        <f>'Expenditures 15-22'!D233</f>
        <v>10625</v>
      </c>
      <c r="D1412" s="2" t="str">
        <f t="shared" si="21"/>
        <v>Error?</v>
      </c>
    </row>
    <row r="1413" spans="1:4" x14ac:dyDescent="0.2">
      <c r="A1413" s="5">
        <v>1352</v>
      </c>
      <c r="B1413" s="138">
        <f>'Expenditures 15-22'!D234</f>
        <v>724</v>
      </c>
      <c r="D1413" s="2" t="str">
        <f t="shared" si="21"/>
        <v>Error?</v>
      </c>
    </row>
    <row r="1414" spans="1:4" x14ac:dyDescent="0.2">
      <c r="A1414" s="5">
        <v>1353</v>
      </c>
      <c r="B1414" s="138">
        <f>'Expenditures 15-22'!D235</f>
        <v>1082</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2965</v>
      </c>
      <c r="D1416" s="2" t="str">
        <f t="shared" si="21"/>
        <v>Error?</v>
      </c>
    </row>
    <row r="1417" spans="1:4" x14ac:dyDescent="0.2">
      <c r="A1417" s="5">
        <v>1356</v>
      </c>
      <c r="B1417" s="138">
        <f>'Expenditures 15-22'!D238</f>
        <v>21256</v>
      </c>
      <c r="C1417" s="2" t="s">
        <v>594</v>
      </c>
      <c r="D1417" s="2" t="str">
        <f t="shared" si="21"/>
        <v>Error?</v>
      </c>
    </row>
    <row r="1418" spans="1:4" x14ac:dyDescent="0.2">
      <c r="A1418" s="5">
        <v>1357</v>
      </c>
      <c r="B1418" s="138">
        <f>'Expenditures 15-22'!D240</f>
        <v>240</v>
      </c>
      <c r="D1418" s="2" t="str">
        <f t="shared" si="21"/>
        <v>Error?</v>
      </c>
    </row>
    <row r="1419" spans="1:4" x14ac:dyDescent="0.2">
      <c r="A1419" s="5">
        <v>1358</v>
      </c>
      <c r="B1419" s="138">
        <f>'Expenditures 15-22'!D241</f>
        <v>25196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25436</v>
      </c>
      <c r="C1421" s="2" t="s">
        <v>594</v>
      </c>
      <c r="D1421" s="2" t="str">
        <f t="shared" si="21"/>
        <v>Error?</v>
      </c>
    </row>
    <row r="1422" spans="1:4" x14ac:dyDescent="0.2">
      <c r="A1422" s="5">
        <v>1361</v>
      </c>
      <c r="B1422" s="138">
        <f>'Expenditures 15-22'!D245</f>
        <v>9826</v>
      </c>
      <c r="D1422" s="2" t="str">
        <f t="shared" si="21"/>
        <v>Error?</v>
      </c>
    </row>
    <row r="1423" spans="1:4" x14ac:dyDescent="0.2">
      <c r="A1423" s="5">
        <v>1362</v>
      </c>
      <c r="B1423" s="138">
        <f>'Expenditures 15-22'!D246</f>
        <v>3354</v>
      </c>
      <c r="D1423" s="2" t="str">
        <f t="shared" si="21"/>
        <v>Error?</v>
      </c>
    </row>
    <row r="1424" spans="1:4" x14ac:dyDescent="0.2">
      <c r="A1424" s="5">
        <v>1363</v>
      </c>
      <c r="B1424" s="138">
        <f>'Expenditures 15-22'!D257</f>
        <v>14507</v>
      </c>
      <c r="C1424" s="2" t="s">
        <v>594</v>
      </c>
      <c r="D1424" s="2" t="str">
        <f t="shared" si="21"/>
        <v>Error?</v>
      </c>
    </row>
    <row r="1425" spans="1:4" x14ac:dyDescent="0.2">
      <c r="A1425" s="5">
        <v>1364</v>
      </c>
      <c r="B1425" s="138">
        <f>'Expenditures 15-22'!D259</f>
        <v>7187</v>
      </c>
      <c r="D1425" s="2" t="str">
        <f t="shared" si="21"/>
        <v>Error?</v>
      </c>
    </row>
    <row r="1426" spans="1:4" x14ac:dyDescent="0.2">
      <c r="A1426" s="5">
        <v>1365</v>
      </c>
      <c r="B1426" s="138">
        <f>'Expenditures 15-22'!D260</f>
        <v>260</v>
      </c>
      <c r="D1426" s="2" t="str">
        <f t="shared" si="21"/>
        <v>Error?</v>
      </c>
    </row>
    <row r="1427" spans="1:4" x14ac:dyDescent="0.2">
      <c r="A1427" s="5">
        <v>1366</v>
      </c>
      <c r="B1427" s="138">
        <f>'Expenditures 15-22'!D261</f>
        <v>7447</v>
      </c>
      <c r="C1427" s="2" t="s">
        <v>594</v>
      </c>
      <c r="D1427" s="2" t="str">
        <f t="shared" si="21"/>
        <v>Error?</v>
      </c>
    </row>
    <row r="1428" spans="1:4" x14ac:dyDescent="0.2">
      <c r="A1428" s="5">
        <v>1367</v>
      </c>
      <c r="B1428" s="138">
        <f>'Expenditures 15-22'!D263</f>
        <v>1063</v>
      </c>
      <c r="D1428" s="2" t="str">
        <f t="shared" si="21"/>
        <v>Error?</v>
      </c>
    </row>
    <row r="1429" spans="1:4" x14ac:dyDescent="0.2">
      <c r="A1429" s="5">
        <v>1368</v>
      </c>
      <c r="B1429" s="138">
        <f>'Expenditures 15-22'!D264</f>
        <v>18168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54327</v>
      </c>
      <c r="D1431" s="2" t="str">
        <f t="shared" si="21"/>
        <v>Error?</v>
      </c>
    </row>
    <row r="1432" spans="1:4" x14ac:dyDescent="0.2">
      <c r="A1432" s="5">
        <v>1371</v>
      </c>
      <c r="B1432" s="138">
        <f>'Expenditures 15-22'!D267</f>
        <v>48724</v>
      </c>
      <c r="D1432" s="2" t="str">
        <f t="shared" si="21"/>
        <v>Error?</v>
      </c>
    </row>
    <row r="1433" spans="1:4" x14ac:dyDescent="0.2">
      <c r="A1433" s="5">
        <v>1372</v>
      </c>
      <c r="B1433" s="138">
        <f>'Expenditures 15-22'!D268</f>
        <v>13528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135810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204456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294542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6826</v>
      </c>
      <c r="C1471" s="2" t="s">
        <v>594</v>
      </c>
      <c r="D1471" s="2" t="str">
        <f t="shared" ref="D1471:D1534" si="22">IF(ISBLANK(B1471),"OK",IF(A1471-B1471=0,"OK","Error?"))</f>
        <v>Error?</v>
      </c>
    </row>
    <row r="1472" spans="1:4" x14ac:dyDescent="0.2">
      <c r="A1472" s="5">
        <v>1411</v>
      </c>
      <c r="B1472" s="138">
        <f>'Expenditures 15-22'!K223</f>
        <v>16478</v>
      </c>
      <c r="C1472" s="2" t="s">
        <v>594</v>
      </c>
      <c r="D1472" s="2" t="str">
        <f t="shared" si="22"/>
        <v>Error?</v>
      </c>
    </row>
    <row r="1473" spans="1:4" x14ac:dyDescent="0.2">
      <c r="A1473" s="5">
        <v>1412</v>
      </c>
      <c r="B1473" s="138">
        <f>'Expenditures 15-22'!K224</f>
        <v>317</v>
      </c>
      <c r="C1473" s="2" t="s">
        <v>594</v>
      </c>
      <c r="D1473" s="2" t="str">
        <f t="shared" si="22"/>
        <v>Error?</v>
      </c>
    </row>
    <row r="1474" spans="1:4" x14ac:dyDescent="0.2">
      <c r="A1474" s="5">
        <v>1413</v>
      </c>
      <c r="B1474" s="138">
        <f>'Expenditures 15-22'!K229</f>
        <v>90086</v>
      </c>
      <c r="C1474" s="2" t="s">
        <v>594</v>
      </c>
      <c r="D1474" s="2" t="str">
        <f t="shared" si="22"/>
        <v>Error?</v>
      </c>
    </row>
    <row r="1475" spans="1:4" x14ac:dyDescent="0.2">
      <c r="A1475" s="5">
        <v>1414</v>
      </c>
      <c r="B1475" s="138">
        <f>'Expenditures 15-22'!K232</f>
        <v>5860</v>
      </c>
      <c r="C1475" s="2" t="s">
        <v>594</v>
      </c>
      <c r="D1475" s="2" t="str">
        <f t="shared" si="22"/>
        <v>Error?</v>
      </c>
    </row>
    <row r="1476" spans="1:4" x14ac:dyDescent="0.2">
      <c r="A1476" s="5">
        <v>1415</v>
      </c>
      <c r="B1476" s="138">
        <f>'Expenditures 15-22'!K233</f>
        <v>10625</v>
      </c>
      <c r="C1476" s="2" t="s">
        <v>594</v>
      </c>
      <c r="D1476" s="2" t="str">
        <f t="shared" si="22"/>
        <v>Error?</v>
      </c>
    </row>
    <row r="1477" spans="1:4" x14ac:dyDescent="0.2">
      <c r="A1477" s="5">
        <v>1416</v>
      </c>
      <c r="B1477" s="138">
        <f>'Expenditures 15-22'!K234</f>
        <v>724</v>
      </c>
      <c r="C1477" s="2" t="s">
        <v>594</v>
      </c>
      <c r="D1477" s="2" t="str">
        <f t="shared" si="22"/>
        <v>Error?</v>
      </c>
    </row>
    <row r="1478" spans="1:4" x14ac:dyDescent="0.2">
      <c r="A1478" s="5">
        <v>1417</v>
      </c>
      <c r="B1478" s="138">
        <f>'Expenditures 15-22'!K235</f>
        <v>1082</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2965</v>
      </c>
      <c r="C1480" s="2" t="s">
        <v>594</v>
      </c>
      <c r="D1480" s="2" t="str">
        <f t="shared" si="22"/>
        <v>Error?</v>
      </c>
    </row>
    <row r="1481" spans="1:4" x14ac:dyDescent="0.2">
      <c r="A1481" s="5">
        <v>1420</v>
      </c>
      <c r="B1481" s="138">
        <f>'Expenditures 15-22'!K238</f>
        <v>21256</v>
      </c>
      <c r="C1481" s="2" t="s">
        <v>594</v>
      </c>
      <c r="D1481" s="2" t="str">
        <f t="shared" si="22"/>
        <v>Error?</v>
      </c>
    </row>
    <row r="1482" spans="1:4" x14ac:dyDescent="0.2">
      <c r="A1482" s="5">
        <v>1421</v>
      </c>
      <c r="B1482" s="138">
        <f>'Expenditures 15-22'!K240</f>
        <v>240</v>
      </c>
      <c r="C1482" s="2" t="s">
        <v>594</v>
      </c>
      <c r="D1482" s="2" t="str">
        <f t="shared" si="22"/>
        <v>Error?</v>
      </c>
    </row>
    <row r="1483" spans="1:4" x14ac:dyDescent="0.2">
      <c r="A1483" s="5">
        <v>1422</v>
      </c>
      <c r="B1483" s="138">
        <f>'Expenditures 15-22'!K241</f>
        <v>25196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25436</v>
      </c>
      <c r="C1485" s="2" t="s">
        <v>594</v>
      </c>
      <c r="D1485" s="2" t="str">
        <f t="shared" si="22"/>
        <v>Error?</v>
      </c>
    </row>
    <row r="1486" spans="1:4" x14ac:dyDescent="0.2">
      <c r="A1486" s="5">
        <v>1425</v>
      </c>
      <c r="B1486" s="138">
        <f>'Expenditures 15-22'!K245</f>
        <v>9826</v>
      </c>
      <c r="C1486" s="2" t="s">
        <v>594</v>
      </c>
      <c r="D1486" s="2" t="str">
        <f t="shared" si="22"/>
        <v>Error?</v>
      </c>
    </row>
    <row r="1487" spans="1:4" x14ac:dyDescent="0.2">
      <c r="A1487" s="5">
        <v>1426</v>
      </c>
      <c r="B1487" s="138">
        <f>'Expenditures 15-22'!K246</f>
        <v>3354</v>
      </c>
      <c r="C1487" s="2" t="s">
        <v>594</v>
      </c>
      <c r="D1487" s="2" t="str">
        <f t="shared" si="22"/>
        <v>Error?</v>
      </c>
    </row>
    <row r="1488" spans="1:4" x14ac:dyDescent="0.2">
      <c r="A1488" s="5">
        <v>1427</v>
      </c>
      <c r="B1488" s="138">
        <f>'Expenditures 15-22'!K257</f>
        <v>14507</v>
      </c>
      <c r="C1488" s="2" t="s">
        <v>594</v>
      </c>
      <c r="D1488" s="2" t="str">
        <f t="shared" si="22"/>
        <v>Error?</v>
      </c>
    </row>
    <row r="1489" spans="1:4" x14ac:dyDescent="0.2">
      <c r="A1489" s="5">
        <v>1428</v>
      </c>
      <c r="B1489" s="138">
        <f>'Expenditures 15-22'!K259</f>
        <v>7187</v>
      </c>
      <c r="C1489" s="2" t="s">
        <v>594</v>
      </c>
      <c r="D1489" s="2" t="str">
        <f t="shared" si="22"/>
        <v>Error?</v>
      </c>
    </row>
    <row r="1490" spans="1:4" x14ac:dyDescent="0.2">
      <c r="A1490" s="5">
        <v>1429</v>
      </c>
      <c r="B1490" s="138">
        <f>'Expenditures 15-22'!K260</f>
        <v>260</v>
      </c>
      <c r="C1490" s="2" t="s">
        <v>594</v>
      </c>
      <c r="D1490" s="2" t="str">
        <f t="shared" si="22"/>
        <v>Error?</v>
      </c>
    </row>
    <row r="1491" spans="1:4" x14ac:dyDescent="0.2">
      <c r="A1491" s="5">
        <v>1430</v>
      </c>
      <c r="B1491" s="138">
        <f>'Expenditures 15-22'!K261</f>
        <v>7447</v>
      </c>
      <c r="C1491" s="2" t="s">
        <v>594</v>
      </c>
      <c r="D1491" s="2" t="str">
        <f t="shared" si="22"/>
        <v>Error?</v>
      </c>
    </row>
    <row r="1492" spans="1:4" x14ac:dyDescent="0.2">
      <c r="A1492" s="5">
        <v>1431</v>
      </c>
      <c r="B1492" s="138">
        <f>'Expenditures 15-22'!K263</f>
        <v>1063</v>
      </c>
      <c r="C1492" s="2" t="s">
        <v>594</v>
      </c>
      <c r="D1492" s="2" t="str">
        <f t="shared" si="22"/>
        <v>Error?</v>
      </c>
    </row>
    <row r="1493" spans="1:4" x14ac:dyDescent="0.2">
      <c r="A1493" s="5">
        <v>1432</v>
      </c>
      <c r="B1493" s="138">
        <f>'Expenditures 15-22'!K264</f>
        <v>18168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54327</v>
      </c>
      <c r="C1495" s="2" t="s">
        <v>594</v>
      </c>
      <c r="D1495" s="2" t="str">
        <f t="shared" si="22"/>
        <v>Error?</v>
      </c>
    </row>
    <row r="1496" spans="1:4" x14ac:dyDescent="0.2">
      <c r="A1496" s="5">
        <v>1435</v>
      </c>
      <c r="B1496" s="138">
        <f>'Expenditures 15-22'!K267</f>
        <v>48724</v>
      </c>
      <c r="C1496" s="2" t="s">
        <v>594</v>
      </c>
      <c r="D1496" s="2" t="str">
        <f t="shared" si="22"/>
        <v>Error?</v>
      </c>
    </row>
    <row r="1497" spans="1:4" x14ac:dyDescent="0.2">
      <c r="A1497" s="5">
        <v>1436</v>
      </c>
      <c r="B1497" s="138">
        <f>'Expenditures 15-22'!K268</f>
        <v>13528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135810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204456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294542</v>
      </c>
      <c r="C1517" s="2" t="s">
        <v>594</v>
      </c>
      <c r="D1517" s="2" t="str">
        <f t="shared" si="22"/>
        <v>Error?</v>
      </c>
    </row>
    <row r="1518" spans="1:4" x14ac:dyDescent="0.2">
      <c r="A1518" s="5">
        <v>1457</v>
      </c>
      <c r="B1518" s="138">
        <f>'Expenditures 15-22'!K296</f>
        <v>19091</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7828</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10755672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11238689</v>
      </c>
      <c r="C1630" s="2" t="s">
        <v>594</v>
      </c>
      <c r="D1630" s="2" t="str">
        <f t="shared" si="24"/>
        <v>Error?</v>
      </c>
    </row>
    <row r="1631" spans="1:4" x14ac:dyDescent="0.2">
      <c r="A1631" s="5">
        <v>1570</v>
      </c>
      <c r="B1631" s="138">
        <f>'Acct Summary 7-8'!D79</f>
        <v>1274995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927289</v>
      </c>
      <c r="C1644" s="2" t="s">
        <v>594</v>
      </c>
      <c r="D1644" s="2" t="str">
        <f t="shared" si="24"/>
        <v>Error?</v>
      </c>
    </row>
    <row r="1645" spans="1:4" x14ac:dyDescent="0.2">
      <c r="A1645" s="5">
        <v>1584</v>
      </c>
      <c r="B1645" s="138">
        <f>'Acct Summary 7-8'!E79</f>
        <v>1375683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1468316</v>
      </c>
      <c r="C1658" s="2" t="s">
        <v>594</v>
      </c>
      <c r="D1658" s="2" t="str">
        <f t="shared" si="24"/>
        <v>Error?</v>
      </c>
    </row>
    <row r="1659" spans="1:4" x14ac:dyDescent="0.2">
      <c r="A1659" s="5">
        <v>1598</v>
      </c>
      <c r="B1659" s="138">
        <f>'Acct Summary 7-8'!F79</f>
        <v>1402796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1504246</v>
      </c>
      <c r="C1672" s="2" t="s">
        <v>594</v>
      </c>
      <c r="D1672" s="2" t="str">
        <f t="shared" si="25"/>
        <v>Error?</v>
      </c>
    </row>
    <row r="1673" spans="1:4" x14ac:dyDescent="0.2">
      <c r="A1673" s="5">
        <v>1612</v>
      </c>
      <c r="B1673" s="138">
        <f>'Acct Summary 7-8'!G79</f>
        <v>94044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113135</v>
      </c>
      <c r="C1686" s="2" t="s">
        <v>594</v>
      </c>
      <c r="D1686" s="2" t="str">
        <f t="shared" si="25"/>
        <v>Error?</v>
      </c>
    </row>
    <row r="1687" spans="1:4" x14ac:dyDescent="0.2">
      <c r="A1687" s="5">
        <v>1626</v>
      </c>
      <c r="B1687" s="138">
        <f>'Acct Summary 7-8'!H79</f>
        <v>5256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8675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6408366</v>
      </c>
      <c r="C1744" s="2" t="s">
        <v>594</v>
      </c>
      <c r="D1744" s="2" t="str">
        <f t="shared" si="26"/>
        <v>Error?</v>
      </c>
    </row>
    <row r="1745" spans="1:5" x14ac:dyDescent="0.2">
      <c r="A1745" s="5">
        <v>1684</v>
      </c>
      <c r="B1745" s="138">
        <f>'Tax Sched 23'!B5</f>
        <v>921939</v>
      </c>
      <c r="C1745" s="2" t="s">
        <v>594</v>
      </c>
      <c r="D1745" s="2" t="str">
        <f t="shared" si="26"/>
        <v>Error?</v>
      </c>
    </row>
    <row r="1746" spans="1:5" x14ac:dyDescent="0.2">
      <c r="A1746" s="5">
        <v>1685</v>
      </c>
      <c r="B1746" s="138">
        <f>'Tax Sched 23'!B6</f>
        <v>2533881</v>
      </c>
      <c r="C1746" s="2" t="s">
        <v>594</v>
      </c>
      <c r="D1746" s="2" t="str">
        <f t="shared" si="26"/>
        <v>Error?</v>
      </c>
    </row>
    <row r="1747" spans="1:5" x14ac:dyDescent="0.2">
      <c r="A1747" s="5">
        <v>1686</v>
      </c>
      <c r="B1747" s="138">
        <f>'Tax Sched 23'!B7</f>
        <v>102530</v>
      </c>
      <c r="C1747" s="2" t="s">
        <v>594</v>
      </c>
      <c r="D1747" s="2" t="str">
        <f t="shared" si="26"/>
        <v>Error?</v>
      </c>
    </row>
    <row r="1748" spans="1:5" x14ac:dyDescent="0.2">
      <c r="A1748" s="5">
        <v>1687</v>
      </c>
      <c r="B1748" s="138">
        <f>'Tax Sched 23'!B8</f>
        <v>110815</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114945</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75557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10428509</v>
      </c>
      <c r="C1759" s="2" t="s">
        <v>594</v>
      </c>
      <c r="D1759" s="2" t="str">
        <f t="shared" si="26"/>
        <v>Error?</v>
      </c>
    </row>
    <row r="1760" spans="1:5" x14ac:dyDescent="0.2">
      <c r="A1760" s="5">
        <v>1699</v>
      </c>
      <c r="B1760" s="138">
        <f>'Tax Sched 23'!D4</f>
        <v>2895220</v>
      </c>
      <c r="C1760" s="2" t="s">
        <v>594</v>
      </c>
      <c r="D1760" s="2" t="str">
        <f t="shared" si="26"/>
        <v>Error?</v>
      </c>
    </row>
    <row r="1761" spans="1:5" x14ac:dyDescent="0.2">
      <c r="A1761" s="5">
        <v>1700</v>
      </c>
      <c r="B1761" s="138">
        <f>'Tax Sched 23'!D5</f>
        <v>416976</v>
      </c>
      <c r="C1761" s="2" t="s">
        <v>594</v>
      </c>
      <c r="D1761" s="2" t="str">
        <f t="shared" si="26"/>
        <v>Error?</v>
      </c>
    </row>
    <row r="1762" spans="1:5" s="8" customFormat="1" x14ac:dyDescent="0.2">
      <c r="A1762" s="5">
        <v>1701</v>
      </c>
      <c r="B1762" s="138">
        <f>'Tax Sched 23'!D6</f>
        <v>1136295</v>
      </c>
      <c r="C1762" s="2" t="s">
        <v>594</v>
      </c>
      <c r="D1762" s="2" t="str">
        <f t="shared" si="26"/>
        <v>Error?</v>
      </c>
      <c r="E1762" s="9"/>
    </row>
    <row r="1763" spans="1:5" x14ac:dyDescent="0.2">
      <c r="A1763" s="5">
        <v>1702</v>
      </c>
      <c r="B1763" s="138">
        <f>'Tax Sched 23'!D7</f>
        <v>46395</v>
      </c>
      <c r="C1763" s="2" t="s">
        <v>594</v>
      </c>
      <c r="D1763" s="2" t="str">
        <f t="shared" si="26"/>
        <v>Error?</v>
      </c>
    </row>
    <row r="1764" spans="1:5" x14ac:dyDescent="0.2">
      <c r="A1764" s="5">
        <v>1703</v>
      </c>
      <c r="B1764" s="138">
        <f>'Tax Sched 23'!D8</f>
        <v>50256</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61675</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34264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4719654</v>
      </c>
      <c r="C1775" s="2" t="s">
        <v>594</v>
      </c>
      <c r="D1775" s="2" t="str">
        <f t="shared" si="26"/>
        <v>Error?</v>
      </c>
    </row>
    <row r="1776" spans="1:5" x14ac:dyDescent="0.2">
      <c r="A1776" s="5">
        <v>1715</v>
      </c>
      <c r="B1776" s="138">
        <f>'Tax Sched 23'!C4</f>
        <v>3513146</v>
      </c>
      <c r="D1776" s="2" t="str">
        <f t="shared" si="26"/>
        <v>Error?</v>
      </c>
    </row>
    <row r="1777" spans="1:4" x14ac:dyDescent="0.2">
      <c r="A1777" s="5">
        <v>1716</v>
      </c>
      <c r="B1777" s="138">
        <f>'Tax Sched 23'!C5</f>
        <v>504963</v>
      </c>
      <c r="D1777" s="2" t="str">
        <f t="shared" si="26"/>
        <v>Error?</v>
      </c>
    </row>
    <row r="1778" spans="1:4" x14ac:dyDescent="0.2">
      <c r="A1778" s="5">
        <v>1717</v>
      </c>
      <c r="B1778" s="138">
        <f>'Tax Sched 23'!C6</f>
        <v>1397586</v>
      </c>
      <c r="D1778" s="2" t="str">
        <f t="shared" si="26"/>
        <v>Error?</v>
      </c>
    </row>
    <row r="1779" spans="1:4" x14ac:dyDescent="0.2">
      <c r="A1779" s="5">
        <v>1718</v>
      </c>
      <c r="B1779" s="138">
        <f>'Tax Sched 23'!C7</f>
        <v>56135</v>
      </c>
      <c r="D1779" s="2" t="str">
        <f t="shared" si="26"/>
        <v>Error?</v>
      </c>
    </row>
    <row r="1780" spans="1:4" x14ac:dyDescent="0.2">
      <c r="A1780" s="5">
        <v>1719</v>
      </c>
      <c r="B1780" s="138">
        <f>'Tax Sched 23'!C8</f>
        <v>60559</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53270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41293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5708855</v>
      </c>
      <c r="C1791" s="2" t="s">
        <v>594</v>
      </c>
      <c r="D1791" s="2" t="str">
        <f t="shared" ref="D1791:D1854" si="27">IF(ISBLANK(B1791),"OK",IF(A1791-B1791=0,"OK","Error?"))</f>
        <v>Error?</v>
      </c>
    </row>
    <row r="1792" spans="1:4" x14ac:dyDescent="0.2">
      <c r="A1792" s="5">
        <v>1731</v>
      </c>
      <c r="B1792" s="138">
        <f>'Tax Sched 23'!F4</f>
        <v>2934560</v>
      </c>
      <c r="C1792" s="2" t="s">
        <v>594</v>
      </c>
      <c r="D1792" s="2" t="str">
        <f t="shared" si="27"/>
        <v>Error?</v>
      </c>
    </row>
    <row r="1793" spans="1:4" x14ac:dyDescent="0.2">
      <c r="A1793" s="5">
        <v>1732</v>
      </c>
      <c r="B1793" s="138">
        <f>'Tax Sched 23'!F5</f>
        <v>421799</v>
      </c>
      <c r="C1793" s="2" t="s">
        <v>594</v>
      </c>
      <c r="D1793" s="2" t="str">
        <f t="shared" si="27"/>
        <v>Error?</v>
      </c>
    </row>
    <row r="1794" spans="1:4" x14ac:dyDescent="0.2">
      <c r="A1794" s="5">
        <v>1733</v>
      </c>
      <c r="B1794" s="138">
        <f>'Tax Sched 23'!F6</f>
        <v>1167415</v>
      </c>
      <c r="C1794" s="2" t="s">
        <v>594</v>
      </c>
      <c r="D1794" s="2" t="str">
        <f t="shared" si="27"/>
        <v>Error?</v>
      </c>
    </row>
    <row r="1795" spans="1:4" x14ac:dyDescent="0.2">
      <c r="A1795" s="5">
        <v>1734</v>
      </c>
      <c r="B1795" s="138">
        <f>'Tax Sched 23'!F7</f>
        <v>46891</v>
      </c>
      <c r="C1795" s="2" t="s">
        <v>594</v>
      </c>
      <c r="D1795" s="2" t="str">
        <f t="shared" si="27"/>
        <v>Error?</v>
      </c>
    </row>
    <row r="1796" spans="1:4" x14ac:dyDescent="0.2">
      <c r="A1796" s="5">
        <v>1735</v>
      </c>
      <c r="B1796" s="138">
        <f>'Tax Sched 23'!F8</f>
        <v>50586</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44498</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34492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4768655</v>
      </c>
      <c r="C1807" s="2" t="s">
        <v>594</v>
      </c>
      <c r="D1807" s="2" t="str">
        <f t="shared" si="27"/>
        <v>Error?</v>
      </c>
    </row>
    <row r="1808" spans="1:4" x14ac:dyDescent="0.2">
      <c r="A1808" s="5">
        <v>1747</v>
      </c>
      <c r="B1808" s="138">
        <f>'Tax Sched 23'!E4</f>
        <v>6447706</v>
      </c>
      <c r="D1808" s="2" t="str">
        <f t="shared" si="27"/>
        <v>Error?</v>
      </c>
    </row>
    <row r="1809" spans="1:4" x14ac:dyDescent="0.2">
      <c r="A1809" s="5">
        <v>1748</v>
      </c>
      <c r="B1809" s="138">
        <f>'Tax Sched 23'!E5</f>
        <v>926762</v>
      </c>
      <c r="D1809" s="2" t="str">
        <f t="shared" si="27"/>
        <v>Error?</v>
      </c>
    </row>
    <row r="1810" spans="1:4" x14ac:dyDescent="0.2">
      <c r="A1810" s="5">
        <v>1749</v>
      </c>
      <c r="B1810" s="138">
        <f>'Tax Sched 23'!E6</f>
        <v>2565001</v>
      </c>
      <c r="D1810" s="2" t="str">
        <f t="shared" si="27"/>
        <v>Error?</v>
      </c>
    </row>
    <row r="1811" spans="1:4" x14ac:dyDescent="0.2">
      <c r="A1811" s="5">
        <v>1750</v>
      </c>
      <c r="B1811" s="138">
        <f>'Tax Sched 23'!E7</f>
        <v>103026</v>
      </c>
      <c r="D1811" s="2" t="str">
        <f t="shared" si="27"/>
        <v>Error?</v>
      </c>
    </row>
    <row r="1812" spans="1:4" x14ac:dyDescent="0.2">
      <c r="A1812" s="5">
        <v>1751</v>
      </c>
      <c r="B1812" s="138">
        <f>'Tax Sched 23'!E8</f>
        <v>111145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97768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75785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10477510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2274350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75557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75557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75557</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1174836</v>
      </c>
      <c r="D2008" s="2" t="str">
        <f t="shared" si="30"/>
        <v>Error?</v>
      </c>
    </row>
    <row r="2009" spans="1:4" x14ac:dyDescent="0.2">
      <c r="A2009" s="5">
        <v>1948</v>
      </c>
      <c r="B2009" s="138">
        <f>'Cap Outlay Deprec 26'!C8</f>
        <v>31122012</v>
      </c>
      <c r="D2009" s="2" t="str">
        <f t="shared" si="30"/>
        <v>Error?</v>
      </c>
    </row>
    <row r="2010" spans="1:4" x14ac:dyDescent="0.2">
      <c r="A2010" s="5">
        <v>1949</v>
      </c>
      <c r="B2010" s="138">
        <f>'Cap Outlay Deprec 26'!C10</f>
        <v>2770446</v>
      </c>
      <c r="D2010" s="2" t="str">
        <f t="shared" si="30"/>
        <v>Error?</v>
      </c>
    </row>
    <row r="2011" spans="1:4" x14ac:dyDescent="0.2">
      <c r="A2011" s="5">
        <v>1950</v>
      </c>
      <c r="B2011" s="138">
        <f>'Cap Outlay Deprec 26'!C12</f>
        <v>1838865</v>
      </c>
      <c r="D2011" s="2" t="str">
        <f t="shared" si="30"/>
        <v>Error?</v>
      </c>
    </row>
    <row r="2012" spans="1:4" x14ac:dyDescent="0.2">
      <c r="A2012" s="5">
        <v>1951</v>
      </c>
      <c r="B2012" s="138">
        <f>'Cap Outlay Deprec 26'!C13</f>
        <v>1239353</v>
      </c>
      <c r="D2012" s="2" t="str">
        <f t="shared" si="30"/>
        <v>Error?</v>
      </c>
    </row>
    <row r="2013" spans="1:4" x14ac:dyDescent="0.2">
      <c r="A2013" s="5">
        <v>1952</v>
      </c>
      <c r="B2013" s="138">
        <f>'Cap Outlay Deprec 26'!C16</f>
        <v>38145512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147900</v>
      </c>
      <c r="D2016" s="2" t="str">
        <f t="shared" si="30"/>
        <v>Error?</v>
      </c>
    </row>
    <row r="2017" spans="1:4" x14ac:dyDescent="0.2">
      <c r="A2017" s="5">
        <v>1956</v>
      </c>
      <c r="B2017" s="138">
        <f>'Cap Outlay Deprec 26'!D12</f>
        <v>151395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299295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1174836</v>
      </c>
      <c r="C2026" s="2" t="s">
        <v>594</v>
      </c>
      <c r="D2026" s="2" t="str">
        <f t="shared" si="30"/>
        <v>Error?</v>
      </c>
    </row>
    <row r="2027" spans="1:4" x14ac:dyDescent="0.2">
      <c r="A2027" s="5">
        <v>1966</v>
      </c>
      <c r="B2027" s="138">
        <f>'Cap Outlay Deprec 26'!F8</f>
        <v>31122012</v>
      </c>
      <c r="C2027" s="2" t="s">
        <v>594</v>
      </c>
      <c r="D2027" s="2" t="str">
        <f t="shared" si="30"/>
        <v>Error?</v>
      </c>
    </row>
    <row r="2028" spans="1:4" x14ac:dyDescent="0.2">
      <c r="A2028" s="5">
        <v>1967</v>
      </c>
      <c r="B2028" s="138">
        <f>'Cap Outlay Deprec 26'!F10</f>
        <v>2918346</v>
      </c>
      <c r="C2028" s="2" t="s">
        <v>594</v>
      </c>
      <c r="D2028" s="2" t="str">
        <f t="shared" si="30"/>
        <v>Error?</v>
      </c>
    </row>
    <row r="2029" spans="1:4" x14ac:dyDescent="0.2">
      <c r="A2029" s="5">
        <v>1968</v>
      </c>
      <c r="B2029" s="138">
        <f>'Cap Outlay Deprec 26'!F12</f>
        <v>1990260</v>
      </c>
      <c r="C2029" s="2" t="s">
        <v>594</v>
      </c>
      <c r="D2029" s="2" t="str">
        <f t="shared" si="30"/>
        <v>Error?</v>
      </c>
    </row>
    <row r="2030" spans="1:4" x14ac:dyDescent="0.2">
      <c r="A2030" s="5">
        <v>1969</v>
      </c>
      <c r="B2030" s="138">
        <f>'Cap Outlay Deprec 26'!F13</f>
        <v>1239353</v>
      </c>
      <c r="C2030" s="2" t="s">
        <v>594</v>
      </c>
      <c r="D2030" s="2" t="str">
        <f t="shared" si="30"/>
        <v>Error?</v>
      </c>
    </row>
    <row r="2031" spans="1:4" x14ac:dyDescent="0.2">
      <c r="A2031" s="5">
        <v>1970</v>
      </c>
      <c r="B2031" s="138">
        <f>'Cap Outlay Deprec 26'!F16</f>
        <v>38444807</v>
      </c>
      <c r="C2031" s="2" t="s">
        <v>594</v>
      </c>
      <c r="D2031" s="2" t="str">
        <f t="shared" si="30"/>
        <v>Error?</v>
      </c>
    </row>
    <row r="2032" spans="1:4" x14ac:dyDescent="0.2">
      <c r="A2032" s="10">
        <v>1971</v>
      </c>
      <c r="D2032" s="2" t="str">
        <f t="shared" si="30"/>
        <v>OK</v>
      </c>
    </row>
    <row r="2033" spans="1:4" x14ac:dyDescent="0.2">
      <c r="A2033" s="5">
        <v>1972</v>
      </c>
      <c r="B2033" s="138">
        <f>'Cap Outlay Deprec 26'!H8</f>
        <v>8633805</v>
      </c>
      <c r="D2033" s="2" t="str">
        <f t="shared" si="30"/>
        <v>Error?</v>
      </c>
    </row>
    <row r="2034" spans="1:4" x14ac:dyDescent="0.2">
      <c r="A2034" s="5">
        <v>1973</v>
      </c>
      <c r="B2034" s="138">
        <f>'Cap Outlay Deprec 26'!H10</f>
        <v>1993954</v>
      </c>
      <c r="D2034" s="2" t="str">
        <f t="shared" si="30"/>
        <v>Error?</v>
      </c>
    </row>
    <row r="2035" spans="1:4" x14ac:dyDescent="0.2">
      <c r="A2035" s="5">
        <v>1974</v>
      </c>
      <c r="B2035" s="138">
        <f>'Cap Outlay Deprec 26'!H12</f>
        <v>1431441</v>
      </c>
      <c r="D2035" s="2" t="str">
        <f t="shared" si="30"/>
        <v>Error?</v>
      </c>
    </row>
    <row r="2036" spans="1:4" x14ac:dyDescent="0.2">
      <c r="A2036" s="5">
        <v>1975</v>
      </c>
      <c r="B2036" s="138">
        <f>'Cap Outlay Deprec 26'!H13</f>
        <v>1026372</v>
      </c>
      <c r="D2036" s="2" t="str">
        <f t="shared" si="30"/>
        <v>Error?</v>
      </c>
    </row>
    <row r="2037" spans="1:4" x14ac:dyDescent="0.2">
      <c r="A2037" s="5">
        <v>1976</v>
      </c>
      <c r="B2037" s="138">
        <f>'Cap Outlay Deprec 26'!H16</f>
        <v>13085572</v>
      </c>
      <c r="C2037" s="2" t="s">
        <v>594</v>
      </c>
      <c r="D2037" s="2" t="str">
        <f t="shared" si="30"/>
        <v>Error?</v>
      </c>
    </row>
    <row r="2038" spans="1:4" x14ac:dyDescent="0.2">
      <c r="A2038" s="10">
        <v>1977</v>
      </c>
      <c r="D2038" s="2" t="str">
        <f t="shared" si="30"/>
        <v>OK</v>
      </c>
    </row>
    <row r="2039" spans="1:4" x14ac:dyDescent="0.2">
      <c r="A2039" s="5">
        <v>1978</v>
      </c>
      <c r="B2039" s="138">
        <f>'Cap Outlay Deprec 26'!I8</f>
        <v>646035</v>
      </c>
      <c r="D2039" s="2" t="str">
        <f t="shared" si="30"/>
        <v>Error?</v>
      </c>
    </row>
    <row r="2040" spans="1:4" x14ac:dyDescent="0.2">
      <c r="A2040" s="5">
        <v>1979</v>
      </c>
      <c r="B2040" s="138">
        <f>'Cap Outlay Deprec 26'!I10</f>
        <v>111414</v>
      </c>
      <c r="D2040" s="2" t="str">
        <f t="shared" si="30"/>
        <v>Error?</v>
      </c>
    </row>
    <row r="2041" spans="1:4" x14ac:dyDescent="0.2">
      <c r="A2041" s="5">
        <v>1980</v>
      </c>
      <c r="B2041" s="138">
        <f>'Cap Outlay Deprec 26'!I12</f>
        <v>81149</v>
      </c>
      <c r="D2041" s="2" t="str">
        <f t="shared" si="30"/>
        <v>Error?</v>
      </c>
    </row>
    <row r="2042" spans="1:4" x14ac:dyDescent="0.2">
      <c r="A2042" s="5">
        <v>1981</v>
      </c>
      <c r="B2042" s="138">
        <f>'Cap Outlay Deprec 26'!I13</f>
        <v>66261</v>
      </c>
      <c r="D2042" s="2" t="str">
        <f t="shared" si="30"/>
        <v>Error?</v>
      </c>
    </row>
    <row r="2043" spans="1:4" x14ac:dyDescent="0.2">
      <c r="A2043" s="5">
        <v>1982</v>
      </c>
      <c r="B2043" s="138">
        <f>'Cap Outlay Deprec 26'!I16</f>
        <v>904859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9279840</v>
      </c>
      <c r="C2051" s="2" t="s">
        <v>594</v>
      </c>
      <c r="D2051" s="2" t="str">
        <f t="shared" si="31"/>
        <v>Error?</v>
      </c>
    </row>
    <row r="2052" spans="1:4" x14ac:dyDescent="0.2">
      <c r="A2052" s="5">
        <v>1991</v>
      </c>
      <c r="B2052" s="138">
        <f>'Cap Outlay Deprec 26'!K10</f>
        <v>2105368</v>
      </c>
      <c r="C2052" s="2" t="s">
        <v>594</v>
      </c>
      <c r="D2052" s="2" t="str">
        <f t="shared" si="31"/>
        <v>Error?</v>
      </c>
    </row>
    <row r="2053" spans="1:4" x14ac:dyDescent="0.2">
      <c r="A2053" s="5">
        <v>1992</v>
      </c>
      <c r="B2053" s="138">
        <f>'Cap Outlay Deprec 26'!K12</f>
        <v>1512590</v>
      </c>
      <c r="C2053" s="2" t="s">
        <v>594</v>
      </c>
      <c r="D2053" s="2" t="str">
        <f t="shared" si="31"/>
        <v>Error?</v>
      </c>
    </row>
    <row r="2054" spans="1:4" x14ac:dyDescent="0.2">
      <c r="A2054" s="5">
        <v>1993</v>
      </c>
      <c r="B2054" s="138">
        <f>'Cap Outlay Deprec 26'!K13</f>
        <v>1092633</v>
      </c>
      <c r="C2054" s="2" t="s">
        <v>594</v>
      </c>
      <c r="D2054" s="2" t="str">
        <f t="shared" si="31"/>
        <v>Error?</v>
      </c>
    </row>
    <row r="2055" spans="1:4" x14ac:dyDescent="0.2">
      <c r="A2055" s="5">
        <v>1994</v>
      </c>
      <c r="B2055" s="138">
        <f>'Cap Outlay Deprec 26'!K16</f>
        <v>13990431</v>
      </c>
      <c r="C2055" s="2" t="s">
        <v>594</v>
      </c>
      <c r="D2055" s="2" t="str">
        <f t="shared" si="31"/>
        <v>Error?</v>
      </c>
    </row>
    <row r="2056" spans="1:4" x14ac:dyDescent="0.2">
      <c r="A2056" s="5">
        <v>1995</v>
      </c>
      <c r="B2056" s="138">
        <f>'Cap Outlay Deprec 26'!L5</f>
        <v>1174836</v>
      </c>
      <c r="C2056" s="2" t="s">
        <v>594</v>
      </c>
      <c r="D2056" s="2" t="str">
        <f t="shared" si="31"/>
        <v>Error?</v>
      </c>
    </row>
    <row r="2057" spans="1:4" x14ac:dyDescent="0.2">
      <c r="A2057" s="5">
        <v>1996</v>
      </c>
      <c r="B2057" s="138">
        <f>'Cap Outlay Deprec 26'!L8</f>
        <v>21842172</v>
      </c>
      <c r="C2057" s="2" t="s">
        <v>594</v>
      </c>
      <c r="D2057" s="2" t="str">
        <f t="shared" si="31"/>
        <v>Error?</v>
      </c>
    </row>
    <row r="2058" spans="1:4" x14ac:dyDescent="0.2">
      <c r="A2058" s="5">
        <v>1997</v>
      </c>
      <c r="B2058" s="138">
        <f>'Cap Outlay Deprec 26'!L10</f>
        <v>812978</v>
      </c>
      <c r="C2058" s="2" t="s">
        <v>594</v>
      </c>
      <c r="D2058" s="2" t="str">
        <f t="shared" si="31"/>
        <v>Error?</v>
      </c>
    </row>
    <row r="2059" spans="1:4" x14ac:dyDescent="0.2">
      <c r="A2059" s="5">
        <v>1998</v>
      </c>
      <c r="B2059" s="138">
        <f>'Cap Outlay Deprec 26'!L12</f>
        <v>477670</v>
      </c>
      <c r="C2059" s="2" t="s">
        <v>594</v>
      </c>
      <c r="D2059" s="2" t="str">
        <f t="shared" si="31"/>
        <v>Error?</v>
      </c>
    </row>
    <row r="2060" spans="1:4" x14ac:dyDescent="0.2">
      <c r="A2060" s="5">
        <v>1999</v>
      </c>
      <c r="B2060" s="138">
        <f>'Cap Outlay Deprec 26'!L13</f>
        <v>146720</v>
      </c>
      <c r="C2060" s="2" t="s">
        <v>594</v>
      </c>
      <c r="D2060" s="2" t="str">
        <f t="shared" si="31"/>
        <v>Error?</v>
      </c>
    </row>
    <row r="2061" spans="1:4" x14ac:dyDescent="0.2">
      <c r="A2061" s="5">
        <v>2000</v>
      </c>
      <c r="B2061" s="138">
        <f>'Cap Outlay Deprec 26'!L16</f>
        <v>24454376</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20236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40436</v>
      </c>
      <c r="C2088" s="2" t="s">
        <v>594</v>
      </c>
      <c r="D2088" s="2" t="str">
        <f t="shared" si="31"/>
        <v>Error?</v>
      </c>
    </row>
    <row r="2089" spans="1:4" x14ac:dyDescent="0.2">
      <c r="A2089" s="5">
        <v>2028</v>
      </c>
      <c r="B2089" s="138">
        <f>'Expenditures 15-22'!K92</f>
        <v>68372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71839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7471448</v>
      </c>
      <c r="C2551" s="2" t="s">
        <v>594</v>
      </c>
      <c r="D2551" s="2" t="str">
        <f t="shared" si="38"/>
        <v>Error?</v>
      </c>
    </row>
    <row r="2552" spans="1:4" x14ac:dyDescent="0.2">
      <c r="A2552" s="10">
        <v>2491</v>
      </c>
      <c r="D2552" s="2" t="str">
        <f t="shared" si="38"/>
        <v>OK</v>
      </c>
    </row>
    <row r="2553" spans="1:4" x14ac:dyDescent="0.2">
      <c r="A2553" s="5">
        <v>2492</v>
      </c>
      <c r="B2553" s="138">
        <f>'Acct Summary 7-8'!C6</f>
        <v>1471068</v>
      </c>
      <c r="C2553" s="2" t="s">
        <v>594</v>
      </c>
      <c r="D2553" s="2" t="str">
        <f t="shared" si="38"/>
        <v>Error?</v>
      </c>
    </row>
    <row r="2554" spans="1:4" x14ac:dyDescent="0.2">
      <c r="A2554" s="5">
        <v>2493</v>
      </c>
      <c r="B2554" s="138">
        <f>'Acct Summary 7-8'!C7</f>
        <v>533554</v>
      </c>
      <c r="C2554" s="2" t="s">
        <v>594</v>
      </c>
      <c r="D2554" s="2" t="str">
        <f t="shared" si="38"/>
        <v>Error?</v>
      </c>
    </row>
    <row r="2555" spans="1:4" x14ac:dyDescent="0.2">
      <c r="A2555" s="5">
        <v>2494</v>
      </c>
      <c r="B2555" s="138">
        <f>'Acct Summary 7-8'!C8</f>
        <v>9476070</v>
      </c>
      <c r="C2555" s="2" t="s">
        <v>594</v>
      </c>
      <c r="D2555" s="2" t="str">
        <f t="shared" si="38"/>
        <v>Error?</v>
      </c>
    </row>
    <row r="2556" spans="1:4" x14ac:dyDescent="0.2">
      <c r="A2556" s="5">
        <v>2495</v>
      </c>
      <c r="B2556" s="138">
        <f>'Acct Summary 7-8'!C12</f>
        <v>6212446</v>
      </c>
      <c r="C2556" s="2" t="s">
        <v>594</v>
      </c>
      <c r="D2556" s="2" t="str">
        <f t="shared" si="38"/>
        <v>Error?</v>
      </c>
    </row>
    <row r="2557" spans="1:4" x14ac:dyDescent="0.2">
      <c r="A2557" s="5">
        <v>2496</v>
      </c>
      <c r="B2557" s="138">
        <f>'Acct Summary 7-8'!C13</f>
        <v>2671799</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108808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8993053</v>
      </c>
      <c r="C2561" s="2" t="s">
        <v>594</v>
      </c>
      <c r="D2561" s="2" t="str">
        <f t="shared" si="39"/>
        <v>Error?</v>
      </c>
    </row>
    <row r="2562" spans="1:4" x14ac:dyDescent="0.2">
      <c r="A2562" s="5">
        <v>2501</v>
      </c>
      <c r="B2562" s="138">
        <f>'Acct Summary 7-8'!C20</f>
        <v>483017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957182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957182</v>
      </c>
      <c r="C2568" s="2" t="s">
        <v>594</v>
      </c>
      <c r="D2568" s="2" t="str">
        <f t="shared" si="39"/>
        <v>Error?</v>
      </c>
    </row>
    <row r="2569" spans="1:4" x14ac:dyDescent="0.2">
      <c r="A2569" s="5">
        <v>2508</v>
      </c>
      <c r="B2569" s="138">
        <f>'Acct Summary 7-8'!D13</f>
        <v>1209297</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1209297</v>
      </c>
      <c r="C2573" s="2" t="s">
        <v>594</v>
      </c>
      <c r="D2573" s="2" t="str">
        <f t="shared" si="39"/>
        <v>Error?</v>
      </c>
    </row>
    <row r="2574" spans="1:4" x14ac:dyDescent="0.2">
      <c r="A2574" s="5">
        <v>2513</v>
      </c>
      <c r="B2574" s="138">
        <f>'Acct Summary 7-8'!D20</f>
        <v>-252115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200572</v>
      </c>
      <c r="C2591" s="2" t="s">
        <v>594</v>
      </c>
      <c r="D2591" s="2" t="str">
        <f t="shared" si="39"/>
        <v>Error?</v>
      </c>
    </row>
    <row r="2592" spans="1:4" x14ac:dyDescent="0.2">
      <c r="A2592" s="10">
        <v>2531</v>
      </c>
      <c r="D2592" s="2" t="str">
        <f t="shared" si="39"/>
        <v>OK</v>
      </c>
    </row>
    <row r="2593" spans="1:4" x14ac:dyDescent="0.2">
      <c r="A2593" s="5">
        <v>2532</v>
      </c>
      <c r="B2593" s="138">
        <f>'Acct Summary 7-8'!F6</f>
        <v>450116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650688</v>
      </c>
      <c r="C2595" s="2" t="s">
        <v>594</v>
      </c>
      <c r="D2595" s="2" t="str">
        <f t="shared" si="39"/>
        <v>Error?</v>
      </c>
    </row>
    <row r="2596" spans="1:4" x14ac:dyDescent="0.2">
      <c r="A2596" s="5">
        <v>2535</v>
      </c>
      <c r="B2596" s="138">
        <f>'Acct Summary 7-8'!F13</f>
        <v>549238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549238</v>
      </c>
      <c r="C2600" s="2" t="s">
        <v>594</v>
      </c>
      <c r="D2600" s="2" t="str">
        <f t="shared" si="39"/>
        <v>Error?</v>
      </c>
    </row>
    <row r="2601" spans="1:4" x14ac:dyDescent="0.2">
      <c r="A2601" s="5">
        <v>2540</v>
      </c>
      <c r="B2601" s="138">
        <f>'Acct Summary 7-8'!F20</f>
        <v>101450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313633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313633</v>
      </c>
      <c r="C2606" s="2" t="s">
        <v>594</v>
      </c>
      <c r="D2606" s="2" t="str">
        <f t="shared" si="39"/>
        <v>Error?</v>
      </c>
    </row>
    <row r="2607" spans="1:4" x14ac:dyDescent="0.2">
      <c r="A2607" s="5">
        <v>2546</v>
      </c>
      <c r="B2607" s="138">
        <f>'Acct Summary 7-8'!G12</f>
        <v>90086</v>
      </c>
      <c r="C2607" s="2" t="s">
        <v>594</v>
      </c>
      <c r="D2607" s="2" t="str">
        <f t="shared" si="39"/>
        <v>Error?</v>
      </c>
    </row>
    <row r="2608" spans="1:4" x14ac:dyDescent="0.2">
      <c r="A2608" s="5">
        <v>2547</v>
      </c>
      <c r="B2608" s="138">
        <f>'Acct Summary 7-8'!G13</f>
        <v>204456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294542</v>
      </c>
      <c r="C2612" s="2" t="s">
        <v>594</v>
      </c>
      <c r="D2612" s="2" t="str">
        <f t="shared" si="39"/>
        <v>Error?</v>
      </c>
    </row>
    <row r="2613" spans="1:4" x14ac:dyDescent="0.2">
      <c r="A2613" s="5">
        <v>2552</v>
      </c>
      <c r="B2613" s="138">
        <f>'Acct Summary 7-8'!G20</f>
        <v>19091</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2537633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2537633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2545000</v>
      </c>
      <c r="C2634" s="2" t="s">
        <v>594</v>
      </c>
      <c r="D2634" s="2" t="str">
        <f t="shared" si="40"/>
        <v>Error?</v>
      </c>
    </row>
    <row r="2635" spans="1:4" x14ac:dyDescent="0.2">
      <c r="A2635" s="5">
        <v>2574</v>
      </c>
      <c r="B2635" s="138">
        <f>'Acct Summary 7-8'!E17</f>
        <v>2545000</v>
      </c>
      <c r="C2635" s="2" t="s">
        <v>594</v>
      </c>
      <c r="D2635" s="2" t="str">
        <f t="shared" si="40"/>
        <v>Error?</v>
      </c>
    </row>
    <row r="2636" spans="1:4" x14ac:dyDescent="0.2">
      <c r="A2636" s="5">
        <v>2575</v>
      </c>
      <c r="B2636" s="138">
        <f>'Acct Summary 7-8'!E20</f>
        <v>-7367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7828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7828</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7828</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91648</v>
      </c>
      <c r="D2718" s="2" t="str">
        <f t="shared" si="41"/>
        <v>Error?</v>
      </c>
    </row>
    <row r="2719" spans="1:4" x14ac:dyDescent="0.2">
      <c r="A2719" s="5">
        <v>2658</v>
      </c>
      <c r="B2719" s="138">
        <f>'Expenditures 15-22'!D51</f>
        <v>29173</v>
      </c>
      <c r="D2719" s="2" t="str">
        <f t="shared" si="41"/>
        <v>Error?</v>
      </c>
    </row>
    <row r="2720" spans="1:4" x14ac:dyDescent="0.2">
      <c r="A2720" s="5">
        <v>2659</v>
      </c>
      <c r="B2720" s="138">
        <f>'Expenditures 15-22'!E51</f>
        <v>1635</v>
      </c>
      <c r="D2720" s="2" t="str">
        <f t="shared" si="41"/>
        <v>Error?</v>
      </c>
    </row>
    <row r="2721" spans="1:4" x14ac:dyDescent="0.2">
      <c r="A2721" s="5">
        <v>2660</v>
      </c>
      <c r="B2721" s="138">
        <f>'Expenditures 15-22'!F51</f>
        <v>2100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124556</v>
      </c>
      <c r="C2724" s="2" t="s">
        <v>594</v>
      </c>
      <c r="D2724" s="2" t="str">
        <f t="shared" si="41"/>
        <v>Error?</v>
      </c>
    </row>
    <row r="2725" spans="1:4" x14ac:dyDescent="0.2">
      <c r="A2725" s="5">
        <v>2664</v>
      </c>
      <c r="B2725" s="138">
        <f>'Expenditures 15-22'!D247</f>
        <v>1327</v>
      </c>
      <c r="D2725" s="2" t="str">
        <f t="shared" si="41"/>
        <v>Error?</v>
      </c>
    </row>
    <row r="2726" spans="1:4" x14ac:dyDescent="0.2">
      <c r="A2726" s="5">
        <v>2665</v>
      </c>
      <c r="B2726" s="138">
        <f>'Expenditures 15-22'!K247</f>
        <v>1327</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20200</v>
      </c>
      <c r="C2789" s="2" t="s">
        <v>594</v>
      </c>
      <c r="D2789" s="2" t="str">
        <f t="shared" si="42"/>
        <v>Error?</v>
      </c>
    </row>
    <row r="2790" spans="1:4" x14ac:dyDescent="0.2">
      <c r="A2790" s="5">
        <v>2729</v>
      </c>
      <c r="B2790" s="138">
        <f>'Expenditures 15-22'!E102</f>
        <v>20200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881746</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1007153</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1007153</v>
      </c>
      <c r="D2914" s="2" t="str">
        <f t="shared" si="44"/>
        <v>Error?</v>
      </c>
    </row>
    <row r="2915" spans="1:4" x14ac:dyDescent="0.2">
      <c r="A2915" s="10">
        <v>2854</v>
      </c>
      <c r="D2915" s="2" t="str">
        <f t="shared" si="44"/>
        <v>OK</v>
      </c>
    </row>
    <row r="2916" spans="1:4" x14ac:dyDescent="0.2">
      <c r="A2916" s="5">
        <v>2855</v>
      </c>
      <c r="B2916" s="138">
        <f>'Assets-Liab 5-6'!L34</f>
        <v>1007153</v>
      </c>
      <c r="C2916" s="2" t="s">
        <v>594</v>
      </c>
      <c r="D2916" s="2" t="str">
        <f t="shared" si="44"/>
        <v>Error?</v>
      </c>
    </row>
    <row r="2917" spans="1:4" x14ac:dyDescent="0.2">
      <c r="A2917" s="5">
        <v>2856</v>
      </c>
      <c r="B2917" s="138">
        <f>'Assets-Liab 5-6'!L41</f>
        <v>1007153</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20000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20236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200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40236</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25976</v>
      </c>
      <c r="D3055" s="2" t="str">
        <f t="shared" si="46"/>
        <v>Error?</v>
      </c>
    </row>
    <row r="3056" spans="1:4" x14ac:dyDescent="0.2">
      <c r="A3056" s="5">
        <v>2995</v>
      </c>
      <c r="B3056" s="138">
        <f>'Expenditures 15-22'!D10</f>
        <v>15470</v>
      </c>
      <c r="D3056" s="2" t="str">
        <f t="shared" si="46"/>
        <v>Error?</v>
      </c>
    </row>
    <row r="3057" spans="1:4" x14ac:dyDescent="0.2">
      <c r="A3057" s="5">
        <v>2996</v>
      </c>
      <c r="B3057" s="138">
        <f>'Expenditures 15-22'!E10</f>
        <v>1560</v>
      </c>
      <c r="D3057" s="2" t="str">
        <f t="shared" si="46"/>
        <v>Error?</v>
      </c>
    </row>
    <row r="3058" spans="1:4" x14ac:dyDescent="0.2">
      <c r="A3058" s="5">
        <v>2997</v>
      </c>
      <c r="B3058" s="138">
        <f>'Expenditures 15-22'!F10</f>
        <v>5477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48483</v>
      </c>
      <c r="C3062" s="2" t="s">
        <v>594</v>
      </c>
      <c r="D3062" s="2" t="str">
        <f t="shared" si="46"/>
        <v>Error?</v>
      </c>
    </row>
    <row r="3063" spans="1:4" x14ac:dyDescent="0.2">
      <c r="A3063" s="10">
        <v>3002</v>
      </c>
      <c r="D3063" s="2" t="str">
        <f t="shared" si="46"/>
        <v>OK</v>
      </c>
    </row>
    <row r="3064" spans="1:4" x14ac:dyDescent="0.2">
      <c r="A3064" s="5">
        <v>3003</v>
      </c>
      <c r="B3064" s="138">
        <f>'Expenditures 15-22'!D219</f>
        <v>4689</v>
      </c>
      <c r="D3064" s="2" t="str">
        <f t="shared" si="46"/>
        <v>Error?</v>
      </c>
    </row>
    <row r="3065" spans="1:4" x14ac:dyDescent="0.2">
      <c r="A3065" s="5">
        <v>3004</v>
      </c>
      <c r="B3065" s="138">
        <f>'Expenditures 15-22'!K219</f>
        <v>4689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4409</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4409</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483017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4409</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100000</v>
      </c>
      <c r="C3237" s="2" t="s">
        <v>594</v>
      </c>
      <c r="D3237" s="2" t="str">
        <f t="shared" si="49"/>
        <v>Error?</v>
      </c>
    </row>
    <row r="3238" spans="1:4" x14ac:dyDescent="0.2">
      <c r="A3238" s="5">
        <v>3177</v>
      </c>
      <c r="B3238" s="138">
        <f>'Acct Summary 7-8'!D77</f>
        <v>-95591</v>
      </c>
      <c r="C3238" s="2" t="s">
        <v>594</v>
      </c>
      <c r="D3238" s="2" t="str">
        <f t="shared" si="49"/>
        <v>Error?</v>
      </c>
    </row>
    <row r="3239" spans="1:4" x14ac:dyDescent="0.2">
      <c r="A3239" s="5">
        <v>3178</v>
      </c>
      <c r="B3239" s="138">
        <f>'Acct Summary 7-8'!D78</f>
        <v>-347706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101450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19091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100000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100000</v>
      </c>
      <c r="C3277" s="2" t="s">
        <v>594</v>
      </c>
      <c r="D3277" s="2" t="str">
        <f t="shared" si="50"/>
        <v>Error?</v>
      </c>
    </row>
    <row r="3278" spans="1:4" x14ac:dyDescent="0.2">
      <c r="A3278" s="5">
        <v>3217</v>
      </c>
      <c r="B3278" s="138">
        <f>'Acct Summary 7-8'!E78</f>
        <v>92633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4409</v>
      </c>
      <c r="C3298" s="2" t="s">
        <v>594</v>
      </c>
      <c r="D3298" s="2" t="str">
        <f t="shared" si="50"/>
        <v>Error?</v>
      </c>
    </row>
    <row r="3299" spans="1:4" x14ac:dyDescent="0.2">
      <c r="A3299" s="5">
        <v>3238</v>
      </c>
      <c r="B3299" s="138">
        <f>'Acct Summary 7-8'!H77</f>
        <v>-4409</v>
      </c>
      <c r="C3299" s="2" t="s">
        <v>594</v>
      </c>
      <c r="D3299" s="2" t="str">
        <f t="shared" si="50"/>
        <v>Error?</v>
      </c>
    </row>
    <row r="3300" spans="1:4" x14ac:dyDescent="0.2">
      <c r="A3300" s="5">
        <v>3239</v>
      </c>
      <c r="B3300" s="138">
        <f>'Acct Summary 7-8'!H78</f>
        <v>3419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430032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104285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161148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8046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704756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39532</v>
      </c>
      <c r="D3387" s="2" t="str">
        <f t="shared" si="51"/>
        <v>Error?</v>
      </c>
    </row>
    <row r="3388" spans="1:4" x14ac:dyDescent="0.2">
      <c r="A3388" s="5">
        <v>3327</v>
      </c>
      <c r="B3388" s="138">
        <f>'Expenditures 15-22'!D217</f>
        <v>20460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39532</v>
      </c>
      <c r="C3390" s="2" t="s">
        <v>594</v>
      </c>
      <c r="D3390" s="2" t="str">
        <f t="shared" si="51"/>
        <v>Error?</v>
      </c>
    </row>
    <row r="3391" spans="1:4" x14ac:dyDescent="0.2">
      <c r="A3391" s="5">
        <v>3330</v>
      </c>
      <c r="B3391" s="138">
        <f>'Expenditures 15-22'!K217</f>
        <v>20460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5829364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927289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1468316</v>
      </c>
      <c r="D3417" s="2" t="str">
        <f t="shared" si="52"/>
        <v>Error?</v>
      </c>
    </row>
    <row r="3418" spans="1:4" x14ac:dyDescent="0.2">
      <c r="A3418" s="10">
        <v>3357</v>
      </c>
      <c r="D3418" s="2" t="str">
        <f t="shared" si="52"/>
        <v>OK</v>
      </c>
    </row>
    <row r="3419" spans="1:4" x14ac:dyDescent="0.2">
      <c r="A3419" s="5">
        <v>3358</v>
      </c>
      <c r="B3419" s="138">
        <f>'Assets-Liab 5-6'!F4</f>
        <v>1007717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113135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8675</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125407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160476</v>
      </c>
      <c r="C3446" s="2" t="s">
        <v>594</v>
      </c>
      <c r="D3446" s="2" t="str">
        <f t="shared" si="52"/>
        <v>Error?</v>
      </c>
    </row>
    <row r="3447" spans="1:4" x14ac:dyDescent="0.2">
      <c r="A3447" s="5">
        <v>3386</v>
      </c>
      <c r="B3447" s="138">
        <f>'Tax Sched 23'!D16</f>
        <v>78573</v>
      </c>
      <c r="C3447" s="2" t="s">
        <v>594</v>
      </c>
      <c r="D3447" s="2" t="str">
        <f t="shared" si="52"/>
        <v>Error?</v>
      </c>
    </row>
    <row r="3448" spans="1:4" x14ac:dyDescent="0.2">
      <c r="A3448" s="5">
        <v>3387</v>
      </c>
      <c r="B3448" s="138">
        <f>'Tax Sched 23'!C16</f>
        <v>81903</v>
      </c>
      <c r="D3448" s="2" t="str">
        <f t="shared" si="52"/>
        <v>Error?</v>
      </c>
    </row>
    <row r="3449" spans="1:4" x14ac:dyDescent="0.2">
      <c r="A3449" s="5">
        <v>3388</v>
      </c>
      <c r="B3449" s="138">
        <f>'Tax Sched 23'!F16</f>
        <v>68414</v>
      </c>
      <c r="C3449" s="2" t="s">
        <v>594</v>
      </c>
      <c r="D3449" s="2" t="str">
        <f t="shared" si="52"/>
        <v>Error?</v>
      </c>
    </row>
    <row r="3450" spans="1:4" x14ac:dyDescent="0.2">
      <c r="A3450" s="5">
        <v>3389</v>
      </c>
      <c r="B3450" s="138">
        <f>'Tax Sched 23'!E16</f>
        <v>150317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213083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3602774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13078844</v>
      </c>
      <c r="C4122" s="2" t="s">
        <v>594</v>
      </c>
      <c r="D4122" s="2" t="str">
        <f t="shared" si="63"/>
        <v>Error?</v>
      </c>
    </row>
    <row r="4123" spans="1:4" x14ac:dyDescent="0.2">
      <c r="A4123" s="5">
        <v>4062</v>
      </c>
      <c r="B4123" s="138">
        <f>'Acct Summary 7-8'!D10</f>
        <v>957182</v>
      </c>
      <c r="C4123" s="2" t="s">
        <v>594</v>
      </c>
      <c r="D4123" s="2" t="str">
        <f t="shared" si="63"/>
        <v>Error?</v>
      </c>
    </row>
    <row r="4124" spans="1:4" x14ac:dyDescent="0.2">
      <c r="A4124" s="5">
        <v>4063</v>
      </c>
      <c r="B4124" s="138">
        <f>'Acct Summary 7-8'!E10</f>
        <v>2537633</v>
      </c>
      <c r="C4124" s="2" t="s">
        <v>594</v>
      </c>
      <c r="D4124" s="2" t="str">
        <f t="shared" si="63"/>
        <v>Error?</v>
      </c>
    </row>
    <row r="4125" spans="1:4" x14ac:dyDescent="0.2">
      <c r="A4125" s="5">
        <v>4064</v>
      </c>
      <c r="B4125" s="138">
        <f>'Acct Summary 7-8'!F10</f>
        <v>650688</v>
      </c>
      <c r="C4125" s="2" t="s">
        <v>594</v>
      </c>
      <c r="D4125" s="2" t="str">
        <f t="shared" si="63"/>
        <v>Error?</v>
      </c>
    </row>
    <row r="4126" spans="1:4" x14ac:dyDescent="0.2">
      <c r="A4126" s="5">
        <v>4065</v>
      </c>
      <c r="B4126" s="138">
        <f>'Acct Summary 7-8'!G10</f>
        <v>313633</v>
      </c>
      <c r="C4126" s="2" t="s">
        <v>594</v>
      </c>
      <c r="D4126" s="2" t="str">
        <f t="shared" si="63"/>
        <v>Error?</v>
      </c>
    </row>
    <row r="4127" spans="1:4" x14ac:dyDescent="0.2">
      <c r="A4127" s="5">
        <v>4066</v>
      </c>
      <c r="B4127" s="138">
        <f>'Acct Summary 7-8'!H10</f>
        <v>7828</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3602774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12595827</v>
      </c>
      <c r="C4136" s="2" t="s">
        <v>594</v>
      </c>
      <c r="D4136" s="2" t="str">
        <f t="shared" si="63"/>
        <v>Error?</v>
      </c>
    </row>
    <row r="4137" spans="1:4" x14ac:dyDescent="0.2">
      <c r="A4137" s="5">
        <v>4076</v>
      </c>
      <c r="B4137" s="138">
        <f>'Acct Summary 7-8'!D19</f>
        <v>1209297</v>
      </c>
      <c r="C4137" s="2" t="s">
        <v>594</v>
      </c>
      <c r="D4137" s="2" t="str">
        <f t="shared" si="63"/>
        <v>Error?</v>
      </c>
    </row>
    <row r="4138" spans="1:4" x14ac:dyDescent="0.2">
      <c r="A4138" s="5">
        <v>4077</v>
      </c>
      <c r="B4138" s="138">
        <f>'Acct Summary 7-8'!E19</f>
        <v>2545000</v>
      </c>
      <c r="C4138" s="2" t="s">
        <v>594</v>
      </c>
      <c r="D4138" s="2" t="str">
        <f t="shared" si="63"/>
        <v>Error?</v>
      </c>
    </row>
    <row r="4139" spans="1:4" x14ac:dyDescent="0.2">
      <c r="A4139" s="5">
        <v>4078</v>
      </c>
      <c r="B4139" s="138">
        <f>'Acct Summary 7-8'!F19</f>
        <v>549238</v>
      </c>
      <c r="C4139" s="2" t="s">
        <v>594</v>
      </c>
      <c r="D4139" s="2" t="str">
        <f t="shared" si="63"/>
        <v>Error?</v>
      </c>
    </row>
    <row r="4140" spans="1:4" x14ac:dyDescent="0.2">
      <c r="A4140" s="5">
        <v>4079</v>
      </c>
      <c r="B4140" s="138">
        <f>'Acct Summary 7-8'!G19</f>
        <v>294542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1668335</v>
      </c>
      <c r="C4171" s="2" t="s">
        <v>594</v>
      </c>
      <c r="D4171" s="2" t="str">
        <f t="shared" si="64"/>
        <v>Error?</v>
      </c>
    </row>
    <row r="4172" spans="1:4" x14ac:dyDescent="0.2">
      <c r="A4172" s="5">
        <v>4111</v>
      </c>
      <c r="B4172" s="138">
        <f>'Short-Term Long-Term Debt 24'!J49</f>
        <v>200019</v>
      </c>
      <c r="C4172" s="2" t="s">
        <v>594</v>
      </c>
      <c r="D4172" s="2" t="str">
        <f t="shared" si="64"/>
        <v>Error?</v>
      </c>
    </row>
    <row r="4173" spans="1:4" x14ac:dyDescent="0.2">
      <c r="A4173" s="5">
        <v>4112</v>
      </c>
      <c r="B4173" s="138">
        <f>'Short-Term Long-Term Debt 24'!H49</f>
        <v>606015</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1949.7</v>
      </c>
      <c r="C4265" s="2" t="s">
        <v>594</v>
      </c>
      <c r="D4265" s="2" t="str">
        <f t="shared" si="65"/>
        <v>Error?</v>
      </c>
      <c r="E4265" s="128"/>
    </row>
    <row r="4266" spans="1:5" x14ac:dyDescent="0.2">
      <c r="A4266" s="12">
        <v>4205</v>
      </c>
      <c r="B4266" s="138">
        <f>('FP Info 3'!F10)*100000</f>
        <v>280.2</v>
      </c>
      <c r="C4266" s="2" t="s">
        <v>594</v>
      </c>
      <c r="D4266" s="2" t="str">
        <f t="shared" si="65"/>
        <v>Error?</v>
      </c>
      <c r="E4266" s="128"/>
    </row>
    <row r="4267" spans="1:5" x14ac:dyDescent="0.2">
      <c r="A4267" s="12">
        <v>4206</v>
      </c>
      <c r="B4267" s="138">
        <f>('FP Info 3'!H10)*100000</f>
        <v>31.2</v>
      </c>
      <c r="C4267" s="2" t="s">
        <v>594</v>
      </c>
      <c r="D4267" s="2" t="str">
        <f t="shared" si="65"/>
        <v>Error?</v>
      </c>
      <c r="E4267" s="128"/>
    </row>
    <row r="4268" spans="1:5" x14ac:dyDescent="0.2">
      <c r="A4268" s="12">
        <v>4207</v>
      </c>
      <c r="B4268" s="138">
        <f>('FP Info 3'!J10)*100000</f>
        <v>2261</v>
      </c>
      <c r="C4268" s="2" t="s">
        <v>594</v>
      </c>
      <c r="D4268" s="2" t="str">
        <f t="shared" si="65"/>
        <v>Error?</v>
      </c>
    </row>
    <row r="4269" spans="1:5" x14ac:dyDescent="0.2">
      <c r="A4269" s="12">
        <v>4208</v>
      </c>
      <c r="B4269" s="138">
        <f>'FP Info 3'!J16</f>
        <v>13670224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18477</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9480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17930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19265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60588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34261</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330708908</v>
      </c>
      <c r="D4995" s="2" t="str">
        <f t="shared" si="77"/>
        <v>Error?</v>
      </c>
    </row>
    <row r="4996" spans="1:4" x14ac:dyDescent="0.2">
      <c r="A4996" s="12">
        <v>4935</v>
      </c>
      <c r="B4996" s="138">
        <f>'FP Info 3'!H31</f>
        <v>22818914.652000003</v>
      </c>
      <c r="D4996" s="2" t="str">
        <f t="shared" si="77"/>
        <v>Error?</v>
      </c>
    </row>
    <row r="4997" spans="1:4" x14ac:dyDescent="0.2">
      <c r="A4997" s="12">
        <v>4936</v>
      </c>
      <c r="B4997" s="138">
        <f>'FP Info 3'!H37</f>
        <v>1668335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6408366</v>
      </c>
      <c r="D5061" s="2" t="str">
        <f t="shared" si="78"/>
        <v>Error?</v>
      </c>
    </row>
    <row r="5062" spans="1:4" x14ac:dyDescent="0.2">
      <c r="A5062" s="10">
        <v>5001</v>
      </c>
      <c r="D5062" s="2" t="str">
        <f t="shared" si="78"/>
        <v>OK</v>
      </c>
    </row>
    <row r="5063" spans="1:4" x14ac:dyDescent="0.2">
      <c r="A5063" s="5">
        <v>5002</v>
      </c>
      <c r="B5063" s="138">
        <f>'Revenues 9-14'!C7</f>
        <v>75557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6483923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364573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364573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9250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9250</v>
      </c>
      <c r="C5087" s="2" t="s">
        <v>594</v>
      </c>
      <c r="D5087" s="2" t="str">
        <f t="shared" si="78"/>
        <v>Error?</v>
      </c>
    </row>
    <row r="5088" spans="1:4" x14ac:dyDescent="0.2">
      <c r="A5088" s="5">
        <v>5027</v>
      </c>
      <c r="B5088" s="138">
        <f>'Revenues 9-14'!C65</f>
        <v>47176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47176</v>
      </c>
      <c r="C5090" s="2" t="s">
        <v>594</v>
      </c>
      <c r="D5090" s="2" t="str">
        <f t="shared" si="78"/>
        <v>Error?</v>
      </c>
    </row>
    <row r="5091" spans="1:4" x14ac:dyDescent="0.2">
      <c r="A5091" s="5">
        <v>5030</v>
      </c>
      <c r="B5091" s="138">
        <f>'Revenues 9-14'!C70</f>
        <v>12685</v>
      </c>
      <c r="D5091" s="2" t="str">
        <f t="shared" si="78"/>
        <v>Error?</v>
      </c>
    </row>
    <row r="5092" spans="1:4" x14ac:dyDescent="0.2">
      <c r="A5092" s="5">
        <v>5031</v>
      </c>
      <c r="B5092" s="138">
        <f>'Revenues 9-14'!C71</f>
        <v>140103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7464</v>
      </c>
      <c r="D5094" s="2" t="str">
        <f t="shared" si="78"/>
        <v>Error?</v>
      </c>
    </row>
    <row r="5095" spans="1:4" x14ac:dyDescent="0.2">
      <c r="A5095" s="5">
        <v>5034</v>
      </c>
      <c r="B5095" s="138">
        <f>'Revenues 9-14'!C74</f>
        <v>120</v>
      </c>
      <c r="D5095" s="2" t="str">
        <f t="shared" si="78"/>
        <v>Error?</v>
      </c>
    </row>
    <row r="5096" spans="1:4" x14ac:dyDescent="0.2">
      <c r="A5096" s="5">
        <v>5035</v>
      </c>
      <c r="B5096" s="138">
        <f>'Revenues 9-14'!C75</f>
        <v>277102</v>
      </c>
      <c r="C5096" s="2" t="s">
        <v>594</v>
      </c>
      <c r="D5096" s="2" t="str">
        <f t="shared" si="78"/>
        <v>Error?</v>
      </c>
    </row>
    <row r="5097" spans="1:4" x14ac:dyDescent="0.2">
      <c r="A5097" s="5">
        <v>5036</v>
      </c>
      <c r="B5097" s="138">
        <f>'Revenues 9-14'!C77</f>
        <v>32392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121345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1560</v>
      </c>
      <c r="D5101" s="2" t="str">
        <f t="shared" si="78"/>
        <v>Error?</v>
      </c>
    </row>
    <row r="5102" spans="1:4" x14ac:dyDescent="0.2">
      <c r="A5102" s="5">
        <v>5041</v>
      </c>
      <c r="B5102" s="138">
        <f>'Revenues 9-14'!C82</f>
        <v>155297</v>
      </c>
      <c r="C5102" s="2" t="s">
        <v>594</v>
      </c>
      <c r="D5102" s="2" t="str">
        <f t="shared" si="78"/>
        <v>Error?</v>
      </c>
    </row>
    <row r="5103" spans="1:4" x14ac:dyDescent="0.2">
      <c r="A5103" s="5">
        <v>5042</v>
      </c>
      <c r="B5103" s="138">
        <f>'Revenues 9-14'!C84</f>
        <v>60235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60235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17159</v>
      </c>
      <c r="D5115" s="2" t="str">
        <f t="shared" si="78"/>
        <v>Error?</v>
      </c>
    </row>
    <row r="5116" spans="1:4" x14ac:dyDescent="0.2">
      <c r="A5116" s="5">
        <v>5055</v>
      </c>
      <c r="B5116" s="138">
        <f>'Revenues 9-14'!C99</f>
        <v>25127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8660</v>
      </c>
      <c r="D5119" s="2" t="str">
        <f t="shared" ref="D5119:D5182" si="79">IF(ISBLANK(B5119),"OK",IF(A5119-B5119=0,"OK","Error?"))</f>
        <v>Error?</v>
      </c>
    </row>
    <row r="5120" spans="1:4" x14ac:dyDescent="0.2">
      <c r="A5120" s="5">
        <v>5059</v>
      </c>
      <c r="B5120" s="138">
        <f>'Revenues 9-14'!C108</f>
        <v>73892</v>
      </c>
      <c r="C5120" s="2" t="s">
        <v>594</v>
      </c>
      <c r="D5120" s="2" t="str">
        <f t="shared" si="79"/>
        <v>Error?</v>
      </c>
    </row>
    <row r="5121" spans="1:4" x14ac:dyDescent="0.2">
      <c r="A5121" s="5">
        <v>5060</v>
      </c>
      <c r="B5121" s="138">
        <f>'Revenues 9-14'!C109</f>
        <v>7471448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1095865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1095865</v>
      </c>
      <c r="C5132" s="2" t="s">
        <v>594</v>
      </c>
      <c r="D5132" s="2" t="str">
        <f t="shared" si="79"/>
        <v>Error?</v>
      </c>
    </row>
    <row r="5133" spans="1:4" x14ac:dyDescent="0.2">
      <c r="A5133" s="5">
        <v>5072</v>
      </c>
      <c r="B5133" s="138">
        <f>'Revenues 9-14'!C124</f>
        <v>121893</v>
      </c>
      <c r="D5133" s="2" t="str">
        <f t="shared" si="79"/>
        <v>Error?</v>
      </c>
    </row>
    <row r="5134" spans="1:4" x14ac:dyDescent="0.2">
      <c r="A5134" s="5">
        <v>5073</v>
      </c>
      <c r="B5134" s="138">
        <f>'Revenues 9-14'!C125</f>
        <v>46682</v>
      </c>
      <c r="D5134" s="2" t="str">
        <f t="shared" si="79"/>
        <v>Error?</v>
      </c>
    </row>
    <row r="5135" spans="1:4" x14ac:dyDescent="0.2">
      <c r="A5135" s="5">
        <v>5074</v>
      </c>
      <c r="B5135" s="138">
        <f>'Revenues 9-14'!C126</f>
        <v>50395</v>
      </c>
      <c r="D5135" s="2" t="str">
        <f t="shared" si="79"/>
        <v>Error?</v>
      </c>
    </row>
    <row r="5136" spans="1:4" x14ac:dyDescent="0.2">
      <c r="A5136" s="10">
        <v>5075</v>
      </c>
      <c r="D5136" s="2" t="str">
        <f t="shared" si="79"/>
        <v>OK</v>
      </c>
    </row>
    <row r="5137" spans="1:4" x14ac:dyDescent="0.2">
      <c r="A5137" s="5">
        <v>5076</v>
      </c>
      <c r="B5137" s="138">
        <f>'Revenues 9-14'!C127</f>
        <v>12132</v>
      </c>
      <c r="D5137" s="2" t="str">
        <f t="shared" si="79"/>
        <v>Error?</v>
      </c>
    </row>
    <row r="5138" spans="1:4" x14ac:dyDescent="0.2">
      <c r="A5138" s="10">
        <v>5077</v>
      </c>
      <c r="D5138" s="2" t="str">
        <f t="shared" si="79"/>
        <v>OK</v>
      </c>
    </row>
    <row r="5139" spans="1:4" x14ac:dyDescent="0.2">
      <c r="A5139" s="5">
        <v>5078</v>
      </c>
      <c r="B5139" s="138">
        <f>'Revenues 9-14'!C128</f>
        <v>6576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237678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39217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43775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1361</v>
      </c>
      <c r="D5167" s="2" t="str">
        <f t="shared" si="79"/>
        <v>Error?</v>
      </c>
    </row>
    <row r="5168" spans="1:4" x14ac:dyDescent="0.2">
      <c r="A5168" s="5">
        <v>5107</v>
      </c>
      <c r="B5168" s="138">
        <f>'Revenues 9-14'!C147</f>
        <v>31801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375203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1471068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99108</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9064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108172</v>
      </c>
      <c r="C5246" s="2" t="s">
        <v>594</v>
      </c>
      <c r="D5246" s="2" t="str">
        <f t="shared" si="80"/>
        <v>Error?</v>
      </c>
    </row>
    <row r="5247" spans="1:4" x14ac:dyDescent="0.2">
      <c r="A5247" s="5">
        <v>5186</v>
      </c>
      <c r="B5247" s="138">
        <f>'Revenues 9-14'!C203</f>
        <v>70111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70111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125738</v>
      </c>
      <c r="D5278" s="2" t="str">
        <f t="shared" si="81"/>
        <v>Error?</v>
      </c>
    </row>
    <row r="5279" spans="1:4" x14ac:dyDescent="0.2">
      <c r="A5279" s="5">
        <v>5218</v>
      </c>
      <c r="B5279" s="138">
        <f>'Revenues 9-14'!C221</f>
        <v>120120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245858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18477</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533554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533554</v>
      </c>
      <c r="C5326" s="2" t="s">
        <v>594</v>
      </c>
      <c r="D5326" s="2" t="str">
        <f t="shared" si="82"/>
        <v>Error?</v>
      </c>
    </row>
    <row r="5327" spans="1:4" x14ac:dyDescent="0.2">
      <c r="A5327" s="5">
        <v>5266</v>
      </c>
      <c r="B5327" s="138">
        <f>'Revenues 9-14'!C275</f>
        <v>9476070</v>
      </c>
      <c r="C5327" s="2" t="s">
        <v>594</v>
      </c>
      <c r="D5327" s="2" t="str">
        <f t="shared" si="82"/>
        <v>Error?</v>
      </c>
    </row>
    <row r="5328" spans="1:4" x14ac:dyDescent="0.2">
      <c r="A5328" s="5">
        <v>5267</v>
      </c>
      <c r="B5328" s="138">
        <f>'Revenues 9-14'!D5</f>
        <v>921939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921939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5814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5814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3016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26413</v>
      </c>
      <c r="D5354" s="2" t="str">
        <f t="shared" si="82"/>
        <v>Error?</v>
      </c>
    </row>
    <row r="5355" spans="1:4" x14ac:dyDescent="0.2">
      <c r="A5355" s="5">
        <v>5294</v>
      </c>
      <c r="B5355" s="138">
        <f>'Revenues 9-14'!D108</f>
        <v>29429</v>
      </c>
      <c r="C5355" s="2" t="s">
        <v>594</v>
      </c>
      <c r="D5355" s="2" t="str">
        <f t="shared" si="82"/>
        <v>Error?</v>
      </c>
    </row>
    <row r="5356" spans="1:4" x14ac:dyDescent="0.2">
      <c r="A5356" s="5">
        <v>5295</v>
      </c>
      <c r="B5356" s="138">
        <f>'Revenues 9-14'!D109</f>
        <v>957182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957182</v>
      </c>
      <c r="C5508" s="2" t="s">
        <v>594</v>
      </c>
      <c r="D5508" s="2" t="str">
        <f t="shared" si="85"/>
        <v>Error?</v>
      </c>
    </row>
    <row r="5509" spans="1:4" x14ac:dyDescent="0.2">
      <c r="A5509" s="5">
        <v>5448</v>
      </c>
      <c r="B5509" s="138">
        <f>'Revenues 9-14'!E5</f>
        <v>2533881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2533881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3752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3752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2537633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2537633</v>
      </c>
      <c r="C5552" s="2" t="s">
        <v>594</v>
      </c>
      <c r="D5552" s="2" t="str">
        <f t="shared" si="85"/>
        <v>Error?</v>
      </c>
    </row>
    <row r="5553" spans="1:4" x14ac:dyDescent="0.2">
      <c r="A5553" s="5">
        <v>5492</v>
      </c>
      <c r="B5553" s="138">
        <f>'Revenues 9-14'!F5</f>
        <v>102530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102530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65415</v>
      </c>
      <c r="D5564" s="2" t="str">
        <f t="shared" si="85"/>
        <v>Error?</v>
      </c>
    </row>
    <row r="5565" spans="1:4" x14ac:dyDescent="0.2">
      <c r="A5565" s="5">
        <v>5504</v>
      </c>
      <c r="B5565" s="138">
        <f>'Revenues 9-14'!F44</f>
        <v>10145</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75560</v>
      </c>
      <c r="C5579" s="2" t="s">
        <v>594</v>
      </c>
      <c r="D5579" s="2" t="str">
        <f t="shared" si="86"/>
        <v>Error?</v>
      </c>
    </row>
    <row r="5580" spans="1:4" x14ac:dyDescent="0.2">
      <c r="A5580" s="5">
        <v>5519</v>
      </c>
      <c r="B5580" s="138">
        <f>'Revenues 9-14'!F65</f>
        <v>4429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4429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18053</v>
      </c>
      <c r="D5586" s="2" t="str">
        <f t="shared" si="86"/>
        <v>Error?</v>
      </c>
    </row>
    <row r="5587" spans="1:4" x14ac:dyDescent="0.2">
      <c r="A5587" s="5">
        <v>5526</v>
      </c>
      <c r="B5587" s="138">
        <f>'Revenues 9-14'!F108</f>
        <v>18053</v>
      </c>
      <c r="C5587" s="2" t="s">
        <v>594</v>
      </c>
      <c r="D5587" s="2" t="str">
        <f t="shared" si="86"/>
        <v>Error?</v>
      </c>
    </row>
    <row r="5588" spans="1:4" x14ac:dyDescent="0.2">
      <c r="A5588" s="5">
        <v>5527</v>
      </c>
      <c r="B5588" s="138">
        <f>'Revenues 9-14'!F109</f>
        <v>200572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12831</v>
      </c>
      <c r="D5615" s="2" t="str">
        <f t="shared" si="86"/>
        <v>Error?</v>
      </c>
    </row>
    <row r="5616" spans="1:4" x14ac:dyDescent="0.2">
      <c r="A5616" s="10">
        <v>5555</v>
      </c>
      <c r="D5616" s="2" t="str">
        <f t="shared" si="86"/>
        <v>OK</v>
      </c>
    </row>
    <row r="5617" spans="1:4" x14ac:dyDescent="0.2">
      <c r="A5617" s="5">
        <v>5556</v>
      </c>
      <c r="B5617" s="138">
        <f>'Revenues 9-14'!F152</f>
        <v>437285</v>
      </c>
      <c r="D5617" s="2" t="str">
        <f t="shared" si="86"/>
        <v>Error?</v>
      </c>
    </row>
    <row r="5618" spans="1:4" x14ac:dyDescent="0.2">
      <c r="A5618" s="5">
        <v>5557</v>
      </c>
      <c r="B5618" s="138">
        <f>'Revenues 9-14'!F154</f>
        <v>450116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450116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450116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650688</v>
      </c>
      <c r="C5720" s="2" t="s">
        <v>594</v>
      </c>
      <c r="D5720" s="2" t="str">
        <f t="shared" si="88"/>
        <v>Error?</v>
      </c>
    </row>
    <row r="5721" spans="1:4" x14ac:dyDescent="0.2">
      <c r="A5721" s="5">
        <v>5660</v>
      </c>
      <c r="B5721" s="138">
        <f>'Revenues 9-14'!G5</f>
        <v>110815</v>
      </c>
      <c r="D5721" s="2" t="str">
        <f t="shared" si="88"/>
        <v>Error?</v>
      </c>
    </row>
    <row r="5722" spans="1:4" x14ac:dyDescent="0.2">
      <c r="A5722" s="5">
        <v>5661</v>
      </c>
      <c r="B5722" s="138">
        <f>'Revenues 9-14'!G7</f>
        <v>0</v>
      </c>
      <c r="D5722" s="2" t="str">
        <f t="shared" si="88"/>
        <v>Error?</v>
      </c>
    </row>
    <row r="5723" spans="1:4" x14ac:dyDescent="0.2">
      <c r="A5723" s="5">
        <v>5662</v>
      </c>
      <c r="B5723" s="138">
        <f>'Revenues 9-14'!G8</f>
        <v>160476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271291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41950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41950</v>
      </c>
      <c r="C5730" s="2" t="s">
        <v>594</v>
      </c>
      <c r="D5730" s="2" t="str">
        <f t="shared" si="88"/>
        <v>Error?</v>
      </c>
    </row>
    <row r="5731" spans="1:4" x14ac:dyDescent="0.2">
      <c r="A5731" s="5">
        <v>5670</v>
      </c>
      <c r="B5731" s="138">
        <f>'Revenues 9-14'!G65</f>
        <v>392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392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313633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7812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7828</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313633</v>
      </c>
      <c r="C6024" s="2" t="s">
        <v>594</v>
      </c>
      <c r="D6024" s="2" t="str">
        <f t="shared" si="93"/>
        <v>Error?</v>
      </c>
    </row>
    <row r="6025" spans="1:5" x14ac:dyDescent="0.2">
      <c r="A6025" s="5">
        <v>5964</v>
      </c>
      <c r="B6025" s="138">
        <f>'Revenues 9-14'!H109</f>
        <v>7828</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116730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604.12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120600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120600</v>
      </c>
      <c r="D6215" s="2" t="str">
        <f t="shared" si="96"/>
        <v>Error?</v>
      </c>
      <c r="E6215" s="2" t="s">
        <v>199</v>
      </c>
    </row>
    <row r="6216" spans="1:5" x14ac:dyDescent="0.2">
      <c r="A6216">
        <v>6155</v>
      </c>
      <c r="B6216" s="138">
        <f>'Assets-Liab 5-6'!J41</f>
        <v>120600</v>
      </c>
      <c r="D6216" s="2" t="str">
        <f t="shared" si="96"/>
        <v>Error?</v>
      </c>
      <c r="E6216" s="2" t="s">
        <v>199</v>
      </c>
    </row>
    <row r="6217" spans="1:5" x14ac:dyDescent="0.2">
      <c r="A6217">
        <v>6156</v>
      </c>
      <c r="B6217" s="138">
        <f>'Assets-Liab 5-6'!J4</f>
        <v>120600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120775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120775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120775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91913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91913</v>
      </c>
      <c r="D6229" s="2" t="str">
        <f t="shared" si="96"/>
        <v>Error?</v>
      </c>
      <c r="E6229" s="2" t="s">
        <v>199</v>
      </c>
    </row>
    <row r="6230" spans="1:5" x14ac:dyDescent="0.2">
      <c r="A6230">
        <v>6169</v>
      </c>
      <c r="B6230" s="138">
        <f>'Acct Summary 7-8'!J20</f>
        <v>28862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28862</v>
      </c>
      <c r="D6263" s="2" t="str">
        <f t="shared" si="96"/>
        <v>Error?</v>
      </c>
      <c r="E6263" s="2" t="s">
        <v>199</v>
      </c>
    </row>
    <row r="6264" spans="1:5" x14ac:dyDescent="0.2">
      <c r="A6264">
        <v>6203</v>
      </c>
      <c r="B6264" s="138">
        <f>'Acct Summary 7-8'!J79</f>
        <v>91738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120600</v>
      </c>
      <c r="D6266" s="2" t="str">
        <f t="shared" si="96"/>
        <v>Error?</v>
      </c>
      <c r="E6266" s="2" t="s">
        <v>199</v>
      </c>
    </row>
    <row r="6267" spans="1:5" x14ac:dyDescent="0.2">
      <c r="A6267">
        <v>6206</v>
      </c>
      <c r="B6267" s="138">
        <f>'Acct Summary 7-8'!C82</f>
        <v>483017</v>
      </c>
      <c r="D6267" s="2" t="str">
        <f t="shared" si="96"/>
        <v>Error?</v>
      </c>
      <c r="E6267" s="2" t="s">
        <v>199</v>
      </c>
    </row>
    <row r="6268" spans="1:5" x14ac:dyDescent="0.2">
      <c r="A6268">
        <v>6207</v>
      </c>
      <c r="B6268" s="138">
        <f>'Acct Summary 7-8'!D82</f>
        <v>-347706</v>
      </c>
      <c r="D6268" s="2" t="str">
        <f t="shared" si="96"/>
        <v>Error?</v>
      </c>
      <c r="E6268" s="2" t="s">
        <v>199</v>
      </c>
    </row>
    <row r="6269" spans="1:5" x14ac:dyDescent="0.2">
      <c r="A6269">
        <v>6208</v>
      </c>
      <c r="B6269" s="138">
        <f>'Acct Summary 7-8'!E82</f>
        <v>92633</v>
      </c>
      <c r="D6269" s="2" t="str">
        <f t="shared" si="96"/>
        <v>Error?</v>
      </c>
      <c r="E6269" s="2" t="s">
        <v>199</v>
      </c>
    </row>
    <row r="6270" spans="1:5" x14ac:dyDescent="0.2">
      <c r="A6270">
        <v>6209</v>
      </c>
      <c r="B6270" s="138">
        <f>'Acct Summary 7-8'!F82</f>
        <v>101450</v>
      </c>
      <c r="D6270" s="2" t="str">
        <f t="shared" si="96"/>
        <v>Error?</v>
      </c>
      <c r="E6270" s="2" t="s">
        <v>199</v>
      </c>
    </row>
    <row r="6271" spans="1:5" x14ac:dyDescent="0.2">
      <c r="A6271">
        <v>6210</v>
      </c>
      <c r="B6271" s="138">
        <f>'Acct Summary 7-8'!G82</f>
        <v>19091</v>
      </c>
      <c r="D6271" s="2" t="str">
        <f t="shared" ref="D6271:D6334" si="97">IF(ISBLANK(B6271),"OK",IF(A6271-B6271=0,"OK","Error?"))</f>
        <v>Error?</v>
      </c>
      <c r="E6271" s="2" t="s">
        <v>199</v>
      </c>
    </row>
    <row r="6272" spans="1:5" x14ac:dyDescent="0.2">
      <c r="A6272">
        <v>6211</v>
      </c>
      <c r="B6272" s="138">
        <f>'Acct Summary 7-8'!H82</f>
        <v>3419</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28862</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4.2978055536548793E-2</v>
      </c>
      <c r="D6276" s="2" t="str">
        <f t="shared" si="97"/>
        <v>Error?</v>
      </c>
      <c r="E6276" s="2" t="s">
        <v>199</v>
      </c>
    </row>
    <row r="6277" spans="1:5" x14ac:dyDescent="0.2">
      <c r="A6277">
        <v>6216</v>
      </c>
      <c r="B6277" s="138">
        <f>'Acct Summary 7-8'!D83</f>
        <v>-0.37497047845925058</v>
      </c>
      <c r="D6277" s="2" t="str">
        <f t="shared" si="97"/>
        <v>Error?</v>
      </c>
      <c r="E6277" s="2" t="s">
        <v>199</v>
      </c>
    </row>
    <row r="6278" spans="1:5" x14ac:dyDescent="0.2">
      <c r="A6278">
        <v>6217</v>
      </c>
      <c r="B6278" s="138">
        <f>'Acct Summary 7-8'!E83</f>
        <v>6.3087918404485133E-2</v>
      </c>
      <c r="D6278" s="2" t="str">
        <f t="shared" si="97"/>
        <v>Error?</v>
      </c>
      <c r="E6278" s="2" t="s">
        <v>199</v>
      </c>
    </row>
    <row r="6279" spans="1:5" x14ac:dyDescent="0.2">
      <c r="A6279">
        <v>6218</v>
      </c>
      <c r="B6279" s="138">
        <f>'Acct Summary 7-8'!F83</f>
        <v>6.7442426305271877E-2</v>
      </c>
      <c r="D6279" s="2" t="str">
        <f t="shared" si="97"/>
        <v>Error?</v>
      </c>
      <c r="E6279" s="2" t="s">
        <v>199</v>
      </c>
    </row>
    <row r="6280" spans="1:5" x14ac:dyDescent="0.2">
      <c r="A6280">
        <v>6219</v>
      </c>
      <c r="B6280" s="138">
        <f>'Acct Summary 7-8'!G83</f>
        <v>0.16874530428249437</v>
      </c>
      <c r="D6280" s="2" t="str">
        <f t="shared" si="97"/>
        <v>Error?</v>
      </c>
      <c r="E6280" s="2" t="s">
        <v>199</v>
      </c>
    </row>
    <row r="6281" spans="1:5" x14ac:dyDescent="0.2">
      <c r="A6281">
        <v>6220</v>
      </c>
      <c r="B6281" s="138">
        <f>'Acct Summary 7-8'!H83</f>
        <v>0.39412103746397692</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f>'Acct Summary 7-8'!J83</f>
        <v>0.2393200663349917</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100000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114945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114945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244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244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7812</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5586</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8286</v>
      </c>
      <c r="D6339" s="2" t="str">
        <f t="shared" si="98"/>
        <v>Error?</v>
      </c>
      <c r="E6339" s="2" t="s">
        <v>199</v>
      </c>
    </row>
    <row r="6340" spans="1:5" x14ac:dyDescent="0.2">
      <c r="A6340">
        <v>6279</v>
      </c>
      <c r="B6340" s="138">
        <f>'Revenues 9-14'!C102</f>
        <v>14660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5586</v>
      </c>
      <c r="D6351" s="2" t="str">
        <f t="shared" si="98"/>
        <v>Error?</v>
      </c>
      <c r="E6351" s="2" t="s">
        <v>199</v>
      </c>
    </row>
    <row r="6352" spans="1:5" x14ac:dyDescent="0.2">
      <c r="A6352">
        <v>6291</v>
      </c>
      <c r="B6352" s="138">
        <f>'Revenues 9-14'!J109</f>
        <v>120775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4558</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1245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6047</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29997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136976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1400</v>
      </c>
      <c r="D6878" s="2" t="str">
        <f t="shared" si="106"/>
        <v>Error?</v>
      </c>
    </row>
    <row r="6879" spans="1:4" x14ac:dyDescent="0.2">
      <c r="A6879">
        <v>6818</v>
      </c>
      <c r="B6879" s="138">
        <f>'Expenditures 15-22'!K21</f>
        <v>1400</v>
      </c>
      <c r="D6879" s="2" t="str">
        <f t="shared" si="106"/>
        <v>Error?</v>
      </c>
    </row>
    <row r="6880" spans="1:4" x14ac:dyDescent="0.2">
      <c r="A6880">
        <v>6819</v>
      </c>
      <c r="B6880" s="138">
        <f>'Expenditures 15-22'!H22</f>
        <v>719197</v>
      </c>
      <c r="D6880" s="2" t="str">
        <f t="shared" si="106"/>
        <v>Error?</v>
      </c>
    </row>
    <row r="6881" spans="1:4" x14ac:dyDescent="0.2">
      <c r="A6881">
        <v>6820</v>
      </c>
      <c r="B6881" s="138">
        <f>'Expenditures 15-22'!K22</f>
        <v>719197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37289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1245</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1245</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42130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42130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43375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65692</v>
      </c>
      <c r="D6983" s="2" t="str">
        <f t="shared" si="108"/>
        <v>Error?</v>
      </c>
    </row>
    <row r="6984" spans="1:4" x14ac:dyDescent="0.2">
      <c r="A6984">
        <v>6923</v>
      </c>
      <c r="B6984" s="138">
        <f>'Expenditures 15-22'!K86</f>
        <v>65692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2680</v>
      </c>
      <c r="D6993" s="2" t="str">
        <f t="shared" si="108"/>
        <v>Error?</v>
      </c>
    </row>
    <row r="6994" spans="1:4" x14ac:dyDescent="0.2">
      <c r="A6994">
        <v>6933</v>
      </c>
      <c r="B6994" s="138">
        <f>'Expenditures 15-22'!K91</f>
        <v>2680</v>
      </c>
      <c r="D6994" s="2" t="str">
        <f t="shared" si="108"/>
        <v>Error?</v>
      </c>
    </row>
    <row r="6995" spans="1:4" x14ac:dyDescent="0.2">
      <c r="A6995">
        <v>6934</v>
      </c>
      <c r="B6995" s="138">
        <f>'Expenditures 15-22'!H92</f>
        <v>68372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80664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6402</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6402</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6402</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91913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6402</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120775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20398</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20398</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20398</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1784</v>
      </c>
      <c r="D7079" s="2" t="str">
        <f t="shared" si="109"/>
        <v>Error?</v>
      </c>
    </row>
    <row r="7080" spans="1:4" x14ac:dyDescent="0.2">
      <c r="A7080">
        <v>7019</v>
      </c>
      <c r="B7080" s="138">
        <f>'Expenditures 15-22'!K226</f>
        <v>1784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91913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91913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91913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91913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91913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91913</v>
      </c>
      <c r="D7224" s="2" t="str">
        <f t="shared" si="111"/>
        <v>Error?</v>
      </c>
    </row>
    <row r="7225" spans="1:4" x14ac:dyDescent="0.2">
      <c r="A7225">
        <v>7164</v>
      </c>
      <c r="B7225" s="138">
        <f>'Expenditures 15-22'!K343</f>
        <v>28862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131556</v>
      </c>
      <c r="D7263" s="2" t="str">
        <f t="shared" si="112"/>
        <v>Error?</v>
      </c>
    </row>
    <row r="7264" spans="1:4" x14ac:dyDescent="0.2">
      <c r="A7264">
        <f t="shared" si="113"/>
        <v>7203</v>
      </c>
      <c r="B7264" s="138">
        <f>'Expenditures 15-22'!D17</f>
        <v>1803</v>
      </c>
      <c r="D7264" s="2" t="str">
        <f t="shared" si="112"/>
        <v>Error?</v>
      </c>
    </row>
    <row r="7265" spans="1:5" x14ac:dyDescent="0.2">
      <c r="A7265">
        <f t="shared" si="113"/>
        <v>7204</v>
      </c>
      <c r="B7265" s="138">
        <f>'Expenditures 15-22'!E17</f>
        <v>40</v>
      </c>
      <c r="D7265" s="2" t="str">
        <f t="shared" si="112"/>
        <v>Error?</v>
      </c>
    </row>
    <row r="7266" spans="1:5" x14ac:dyDescent="0.2">
      <c r="A7266">
        <f t="shared" si="113"/>
        <v>7205</v>
      </c>
      <c r="B7266" s="138">
        <f>'Expenditures 15-22'!F17</f>
        <v>3577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107464</v>
      </c>
      <c r="D7624" s="2" t="str">
        <f t="shared" si="124"/>
        <v>Error?</v>
      </c>
      <c r="E7624" s="2" t="s">
        <v>19</v>
      </c>
    </row>
    <row r="7625" spans="1:5" x14ac:dyDescent="0.2">
      <c r="A7625">
        <f t="shared" si="123"/>
        <v>7564</v>
      </c>
      <c r="B7625" s="138">
        <f>'Cap Outlay Deprec 26'!I17</f>
        <v>10746.4</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915605.4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100000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8286</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31801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40087</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40087</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75557</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40087</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455642</v>
      </c>
      <c r="D7797" s="2" t="str">
        <f t="shared" si="127"/>
        <v>Error?</v>
      </c>
      <c r="E7797" s="4" t="s">
        <v>2020</v>
      </c>
    </row>
    <row r="7798" spans="1:5" x14ac:dyDescent="0.2">
      <c r="A7798">
        <v>7737</v>
      </c>
      <c r="B7798" s="138">
        <f>'Contracts Paid in CY 29'!F141</f>
        <v>175000</v>
      </c>
      <c r="D7798" s="2" t="str">
        <f t="shared" si="127"/>
        <v>Error?</v>
      </c>
      <c r="E7798" s="4" t="s">
        <v>2020</v>
      </c>
    </row>
    <row r="7799" spans="1:5" x14ac:dyDescent="0.2">
      <c r="A7799">
        <v>7738</v>
      </c>
      <c r="B7799" s="138">
        <f>'Contracts Paid in CY 29'!G141</f>
        <v>280480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2" t="str">
        <f>COVER!A17</f>
        <v>Marengo CHSD 154</v>
      </c>
      <c r="B7" s="2403"/>
      <c r="C7" s="2403"/>
      <c r="D7" s="2440"/>
      <c r="E7" s="2441">
        <f>COVER!A13</f>
        <v>44063154016</v>
      </c>
      <c r="F7" s="2442"/>
      <c r="G7" s="2409" t="str">
        <f>COVER!T23</f>
        <v>066-005142</v>
      </c>
      <c r="H7" s="2410"/>
      <c r="I7" s="2410"/>
      <c r="J7" s="2410"/>
      <c r="K7" s="2410"/>
      <c r="L7" s="2411"/>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2"/>
      <c r="B9" s="2413"/>
      <c r="C9" s="2413"/>
      <c r="D9" s="2413"/>
      <c r="E9" s="2413"/>
      <c r="F9" s="2414"/>
      <c r="G9" s="2415" t="str">
        <f>COVER!T13</f>
        <v>EDER, CASELLA &amp; CO</v>
      </c>
      <c r="H9" s="2416"/>
      <c r="I9" s="2416"/>
      <c r="J9" s="2416"/>
      <c r="K9" s="2416"/>
      <c r="L9" s="2417"/>
    </row>
    <row r="10" spans="1:29" ht="13.5" customHeight="1" x14ac:dyDescent="0.2">
      <c r="A10" s="2399">
        <f>COVER!A38</f>
        <v>0</v>
      </c>
      <c r="B10" s="2400"/>
      <c r="C10" s="2400"/>
      <c r="D10" s="2400"/>
      <c r="E10" s="2400"/>
      <c r="F10" s="2401"/>
      <c r="G10" s="2415" t="str">
        <f>COVER!T17</f>
        <v>5400 WEST ELM STREET, SUITE 203</v>
      </c>
      <c r="H10" s="2428"/>
      <c r="I10" s="2428"/>
      <c r="J10" s="2428"/>
      <c r="K10" s="2428"/>
      <c r="L10" s="2429"/>
    </row>
    <row r="11" spans="1:29" ht="13.5" customHeight="1" x14ac:dyDescent="0.2">
      <c r="A11" s="1184" t="s">
        <v>1599</v>
      </c>
      <c r="B11" s="1185"/>
      <c r="C11" s="1186"/>
      <c r="D11" s="1191"/>
      <c r="E11" s="1186"/>
      <c r="F11" s="1190"/>
      <c r="G11" s="2415" t="str">
        <f>COVER!T19</f>
        <v>MCHENRY</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CPAS@EDERCASELLA.COM</v>
      </c>
      <c r="J13" s="2437"/>
      <c r="K13" s="2437"/>
      <c r="L13" s="2438"/>
    </row>
    <row r="14" spans="1:29" ht="13.5" customHeight="1" x14ac:dyDescent="0.2">
      <c r="A14" s="2415" t="str">
        <f>COVER!A19</f>
        <v>110 FRANKS ROAD</v>
      </c>
      <c r="B14" s="2428"/>
      <c r="C14" s="2428"/>
      <c r="D14" s="2428"/>
      <c r="E14" s="2428"/>
      <c r="F14" s="2429"/>
      <c r="G14" s="1195" t="s">
        <v>1247</v>
      </c>
      <c r="H14" s="1193"/>
      <c r="I14" s="1193"/>
      <c r="J14" s="1193"/>
      <c r="K14" s="1193"/>
      <c r="L14" s="1194"/>
    </row>
    <row r="15" spans="1:29" ht="13.5" customHeight="1" x14ac:dyDescent="0.2">
      <c r="A15" s="2415" t="str">
        <f>COVER!A21</f>
        <v>MARENGO</v>
      </c>
      <c r="B15" s="2428"/>
      <c r="C15" s="2428"/>
      <c r="D15" s="2428"/>
      <c r="E15" s="2428"/>
      <c r="F15" s="2429"/>
      <c r="G15" s="2425" t="str">
        <f>COVER!T15</f>
        <v>CHERYDEN JUERGENSEN</v>
      </c>
      <c r="H15" s="2426"/>
      <c r="I15" s="2426"/>
      <c r="J15" s="2426"/>
      <c r="K15" s="2426"/>
      <c r="L15" s="2427"/>
    </row>
    <row r="16" spans="1:29" ht="12.2" customHeight="1" x14ac:dyDescent="0.2">
      <c r="A16" s="2405" t="str">
        <f>COVER!A25</f>
        <v>60152-3598</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5" t="s">
        <v>1246</v>
      </c>
      <c r="H17" s="1193"/>
      <c r="I17" s="1193"/>
      <c r="J17" s="1193"/>
      <c r="K17" s="1197" t="s">
        <v>1245</v>
      </c>
      <c r="L17" s="1190"/>
      <c r="M17" s="1183"/>
    </row>
    <row r="18" spans="1:13" ht="12.2" customHeight="1" x14ac:dyDescent="0.2">
      <c r="A18" s="2399"/>
      <c r="B18" s="2400"/>
      <c r="C18" s="2400"/>
      <c r="D18" s="2400"/>
      <c r="E18" s="2400"/>
      <c r="F18" s="2401"/>
      <c r="G18" s="2402" t="str">
        <f>COVER!T21</f>
        <v>815-344-1300</v>
      </c>
      <c r="H18" s="2403"/>
      <c r="I18" s="2403"/>
      <c r="J18" s="2403"/>
      <c r="K18" s="2402" t="str">
        <f>COVER!X21</f>
        <v>815-344-1320</v>
      </c>
      <c r="L18" s="240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27"/>
  <sheetViews>
    <sheetView showGridLines="0" zoomScale="125" zoomScaleNormal="125" workbookViewId="0">
      <selection activeCell="D48" sqref="D48"/>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3" t="str">
        <f>'Single Audit Cover'!A7</f>
        <v>Marengo CHSD 154</v>
      </c>
      <c r="B1" s="2439"/>
      <c r="C1" s="2439"/>
      <c r="D1" s="2439"/>
    </row>
    <row r="2" spans="1:11" s="1214" customFormat="1" ht="12.75" x14ac:dyDescent="0.2">
      <c r="A2" s="2444">
        <f>'Single Audit Cover'!E7</f>
        <v>44063154016</v>
      </c>
      <c r="B2" s="2445"/>
      <c r="C2" s="2445"/>
      <c r="D2" s="2445"/>
    </row>
    <row r="3" spans="1:11" s="1214" customFormat="1" ht="12.75" x14ac:dyDescent="0.2">
      <c r="A3" s="2443" t="s">
        <v>1593</v>
      </c>
      <c r="B3" s="2439"/>
      <c r="C3" s="2439"/>
      <c r="D3" s="2439"/>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7" t="str">
        <f>'Single Audit Cover'!A7</f>
        <v>Marengo CHSD 154</v>
      </c>
      <c r="B1" s="2447"/>
      <c r="C1" s="2447"/>
      <c r="D1" s="2447"/>
      <c r="E1" s="2447"/>
    </row>
    <row r="2" spans="1:5" x14ac:dyDescent="0.2">
      <c r="A2" s="2448">
        <f>'Single Audit Cover'!E7</f>
        <v>44063154016</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9" t="s">
        <v>1305</v>
      </c>
    </row>
    <row r="10" spans="1:5" x14ac:dyDescent="0.2">
      <c r="A10" s="1260" t="s">
        <v>1304</v>
      </c>
      <c r="B10" s="1261" t="s">
        <v>1303</v>
      </c>
      <c r="C10" s="1261"/>
      <c r="D10" s="1262">
        <f>SUM('Acct Summary 7-8'!C7:K7)</f>
        <v>533554</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0</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-17930</v>
      </c>
    </row>
    <row r="19" spans="1:4" ht="13.5" thickBot="1" x14ac:dyDescent="0.25">
      <c r="A19" s="1264" t="s">
        <v>1297</v>
      </c>
      <c r="D19" s="1265">
        <f>SUM(D10:D17)</f>
        <v>515624</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9"/>
      <c r="B24" s="2449"/>
      <c r="D24" s="1267"/>
    </row>
    <row r="25" spans="1:4" x14ac:dyDescent="0.2">
      <c r="A25" s="2446"/>
      <c r="B25" s="2446"/>
      <c r="D25" s="1267"/>
    </row>
    <row r="26" spans="1:4" x14ac:dyDescent="0.2">
      <c r="A26" s="2446"/>
      <c r="B26" s="2446"/>
      <c r="D26" s="1267"/>
    </row>
    <row r="27" spans="1:4" x14ac:dyDescent="0.2">
      <c r="A27" s="2446"/>
      <c r="B27" s="2446"/>
      <c r="D27" s="1267"/>
    </row>
    <row r="28" spans="1:4" x14ac:dyDescent="0.2">
      <c r="A28" s="2446"/>
      <c r="B28" s="2446"/>
      <c r="D28" s="1267"/>
    </row>
    <row r="29" spans="1:4" x14ac:dyDescent="0.2">
      <c r="A29" s="2446"/>
      <c r="B29" s="2446"/>
      <c r="D29" s="1267"/>
    </row>
    <row r="30" spans="1:4" x14ac:dyDescent="0.2">
      <c r="A30" s="2446"/>
      <c r="B30" s="2446"/>
      <c r="D30" s="1267"/>
    </row>
    <row r="32" spans="1:4" x14ac:dyDescent="0.2">
      <c r="A32" s="1259" t="s">
        <v>1295</v>
      </c>
      <c r="D32" s="1262">
        <f>SUM(D19:D30)</f>
        <v>515624</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46"/>
      <c r="B40" s="2446"/>
      <c r="D40" s="1267"/>
    </row>
    <row r="41" spans="1:4" x14ac:dyDescent="0.2">
      <c r="A41" s="2446"/>
      <c r="B41" s="2446"/>
      <c r="D41" s="1270"/>
    </row>
    <row r="42" spans="1:4" x14ac:dyDescent="0.2">
      <c r="A42" s="2446"/>
      <c r="B42" s="2446"/>
      <c r="D42" s="1270"/>
    </row>
    <row r="43" spans="1:4" x14ac:dyDescent="0.2">
      <c r="A43" s="2446"/>
      <c r="B43" s="2446"/>
      <c r="D43" s="1270"/>
    </row>
    <row r="44" spans="1:4" x14ac:dyDescent="0.2">
      <c r="A44" s="2446"/>
      <c r="B44" s="2446"/>
      <c r="D44" s="1270"/>
    </row>
    <row r="45" spans="1:4" x14ac:dyDescent="0.2">
      <c r="A45" s="2446"/>
      <c r="B45" s="2446"/>
      <c r="D45" s="1270"/>
    </row>
    <row r="47" spans="1:4" x14ac:dyDescent="0.2">
      <c r="B47" s="1271" t="s">
        <v>1289</v>
      </c>
      <c r="C47" s="1271"/>
      <c r="D47" s="1272">
        <f>SUM(D35:D45)</f>
        <v>0</v>
      </c>
    </row>
    <row r="49" spans="2:4" x14ac:dyDescent="0.2">
      <c r="B49" s="1271" t="s">
        <v>1288</v>
      </c>
      <c r="C49" s="1271"/>
      <c r="D49" s="1272">
        <f>D32-D47</f>
        <v>515624</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52"/>
  <sheetViews>
    <sheetView showGridLines="0" zoomScale="120" zoomScaleNormal="120" workbookViewId="0">
      <selection activeCell="H22" sqref="H22"/>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Marengo CHSD 154</v>
      </c>
      <c r="B1" s="2452"/>
      <c r="C1" s="2452"/>
      <c r="D1" s="2452"/>
      <c r="E1" s="2452"/>
      <c r="F1" s="2452"/>
    </row>
    <row r="2" spans="1:7" ht="13.5" customHeight="1" x14ac:dyDescent="0.2">
      <c r="A2" s="2453">
        <f>'Single Audit Cover'!E7</f>
        <v>44063154016</v>
      </c>
      <c r="B2" s="2453"/>
      <c r="C2" s="2453"/>
      <c r="D2" s="2453"/>
      <c r="E2" s="2453"/>
      <c r="F2" s="2453"/>
      <c r="G2" s="1274"/>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5" t="s">
        <v>1831</v>
      </c>
      <c r="C6" s="317"/>
      <c r="D6" s="317"/>
    </row>
    <row r="7" spans="1:7" ht="60.95" customHeight="1" x14ac:dyDescent="0.2">
      <c r="A7" s="2451" t="s">
        <v>1832</v>
      </c>
      <c r="B7" s="2451"/>
      <c r="C7" s="2451"/>
      <c r="D7" s="2451"/>
      <c r="E7" s="2451"/>
      <c r="F7" s="2451"/>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51" t="s">
        <v>1834</v>
      </c>
      <c r="B13" s="2451"/>
      <c r="C13" s="2451"/>
      <c r="D13" s="2451"/>
      <c r="E13" s="2451"/>
      <c r="F13" s="2451"/>
    </row>
    <row r="14" spans="1:7" ht="9.75" customHeight="1" x14ac:dyDescent="0.2">
      <c r="C14" s="1259"/>
      <c r="D14" s="1259"/>
    </row>
    <row r="15" spans="1:7" ht="13.5" customHeight="1" x14ac:dyDescent="0.2">
      <c r="C15" s="1870" t="s">
        <v>1332</v>
      </c>
      <c r="D15" s="2457" t="s">
        <v>1331</v>
      </c>
      <c r="E15" s="2457"/>
      <c r="F15" s="2457"/>
    </row>
    <row r="16" spans="1:7" ht="13.5" customHeight="1" x14ac:dyDescent="0.2">
      <c r="A16" s="1281"/>
      <c r="B16" s="1275" t="s">
        <v>1330</v>
      </c>
      <c r="C16" s="1870" t="s">
        <v>1329</v>
      </c>
      <c r="D16" s="2458" t="s">
        <v>1670</v>
      </c>
      <c r="E16" s="2458"/>
      <c r="F16" s="2458"/>
    </row>
    <row r="17" spans="1:6" ht="20.45" customHeight="1" x14ac:dyDescent="0.2">
      <c r="A17" s="1282"/>
      <c r="B17" s="1283"/>
      <c r="C17" s="1284"/>
      <c r="D17" s="2456"/>
      <c r="E17" s="2456"/>
      <c r="F17" s="2456"/>
    </row>
    <row r="18" spans="1:6" ht="20.65" customHeight="1" x14ac:dyDescent="0.2">
      <c r="A18" s="1282"/>
      <c r="B18" s="1283"/>
      <c r="C18" s="1284"/>
      <c r="D18" s="2456"/>
      <c r="E18" s="2456"/>
      <c r="F18" s="2456"/>
    </row>
    <row r="19" spans="1:6" ht="20.65" customHeight="1" x14ac:dyDescent="0.2">
      <c r="A19" s="1282"/>
      <c r="B19" s="1283"/>
      <c r="C19" s="1284"/>
      <c r="D19" s="2456"/>
      <c r="E19" s="2456"/>
      <c r="F19" s="2456"/>
    </row>
    <row r="20" spans="1:6" ht="20.65" customHeight="1" x14ac:dyDescent="0.2">
      <c r="A20" s="1282"/>
      <c r="B20" s="1283"/>
      <c r="C20" s="1284"/>
      <c r="D20" s="2456"/>
      <c r="E20" s="2456"/>
      <c r="F20" s="2456"/>
    </row>
    <row r="21" spans="1:6" ht="20.65" customHeight="1" x14ac:dyDescent="0.2">
      <c r="A21" s="1282"/>
      <c r="B21" s="1283"/>
      <c r="C21" s="1284"/>
      <c r="D21" s="2456"/>
      <c r="E21" s="2456"/>
      <c r="F21" s="2456"/>
    </row>
    <row r="22" spans="1:6" ht="20.65" customHeight="1" x14ac:dyDescent="0.2">
      <c r="A22" s="1282"/>
      <c r="B22" s="1283"/>
      <c r="C22" s="1284"/>
      <c r="D22" s="2456"/>
      <c r="E22" s="2456"/>
      <c r="F22" s="2456"/>
    </row>
    <row r="23" spans="1:6" ht="20.65" customHeight="1" x14ac:dyDescent="0.2">
      <c r="A23" s="1282"/>
      <c r="B23" s="1283"/>
      <c r="C23" s="1284"/>
      <c r="D23" s="2456"/>
      <c r="E23" s="2456"/>
      <c r="F23" s="2456"/>
    </row>
    <row r="24" spans="1:6" ht="20.65" customHeight="1" x14ac:dyDescent="0.2">
      <c r="A24" s="1282"/>
      <c r="B24" s="1283"/>
      <c r="C24" s="1284"/>
      <c r="D24" s="2456"/>
      <c r="E24" s="2456"/>
      <c r="F24" s="2456"/>
    </row>
    <row r="25" spans="1:6" ht="20.65" customHeight="1" x14ac:dyDescent="0.2">
      <c r="A25" s="1282"/>
      <c r="B25" s="1283"/>
      <c r="C25" s="1284"/>
      <c r="D25" s="2456"/>
      <c r="E25" s="2456"/>
      <c r="F25" s="2456"/>
    </row>
    <row r="26" spans="1:6" ht="20.65" customHeight="1" x14ac:dyDescent="0.2">
      <c r="A26" s="1282"/>
      <c r="B26" s="1283"/>
      <c r="C26" s="1284"/>
      <c r="D26" s="2456"/>
      <c r="E26" s="2456"/>
      <c r="F26" s="2456"/>
    </row>
    <row r="27" spans="1:6" ht="20.65" customHeight="1" x14ac:dyDescent="0.2">
      <c r="A27" s="1282"/>
      <c r="B27" s="1283"/>
      <c r="C27" s="1284"/>
      <c r="D27" s="2456"/>
      <c r="E27" s="2456"/>
      <c r="F27" s="2456"/>
    </row>
    <row r="28" spans="1:6" ht="20.65" customHeight="1" x14ac:dyDescent="0.2">
      <c r="A28" s="1282"/>
      <c r="B28" s="1283"/>
      <c r="C28" s="1284"/>
      <c r="D28" s="2456"/>
      <c r="E28" s="2456"/>
      <c r="F28" s="2456"/>
    </row>
    <row r="29" spans="1:6" ht="20.65" customHeight="1" x14ac:dyDescent="0.2">
      <c r="A29" s="1282"/>
      <c r="B29" s="1283"/>
      <c r="C29" s="1284"/>
      <c r="D29" s="2456"/>
      <c r="E29" s="2456"/>
      <c r="F29" s="2456"/>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60" t="s">
        <v>1835</v>
      </c>
      <c r="B32" s="2460"/>
      <c r="C32" s="2460"/>
      <c r="D32" s="2460"/>
      <c r="E32" s="2460"/>
      <c r="F32" s="2460"/>
    </row>
    <row r="33" spans="1:6" ht="13.5" customHeight="1" x14ac:dyDescent="0.2">
      <c r="A33" s="328" t="s">
        <v>1509</v>
      </c>
      <c r="B33" s="328"/>
      <c r="C33" s="1287">
        <v>0</v>
      </c>
      <c r="D33" s="1927"/>
      <c r="E33" s="1285"/>
    </row>
    <row r="34" spans="1:6" ht="13.5" customHeight="1" x14ac:dyDescent="0.2">
      <c r="A34" s="328" t="s">
        <v>1949</v>
      </c>
      <c r="B34" s="328"/>
      <c r="C34" s="1288">
        <v>0</v>
      </c>
      <c r="D34" s="1927" t="s">
        <v>1671</v>
      </c>
      <c r="E34" s="2461">
        <f>+C33+C34</f>
        <v>0</v>
      </c>
      <c r="F34" s="2462"/>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3" t="s">
        <v>1672</v>
      </c>
      <c r="C49" s="2463"/>
      <c r="D49" s="2463"/>
      <c r="E49" s="1398"/>
    </row>
    <row r="50" spans="1:5" s="1299" customFormat="1" ht="3.75" customHeight="1" x14ac:dyDescent="0.2">
      <c r="A50" s="1298"/>
      <c r="B50" s="1869"/>
      <c r="C50" s="1869"/>
      <c r="D50" s="1869"/>
      <c r="E50" s="1398"/>
    </row>
    <row r="51" spans="1:5" s="1299" customFormat="1" ht="20.25" customHeight="1" x14ac:dyDescent="0.2">
      <c r="A51" s="1300">
        <v>6</v>
      </c>
      <c r="B51" s="2459" t="s">
        <v>1632</v>
      </c>
      <c r="C51" s="2459"/>
      <c r="D51" s="2459"/>
    </row>
    <row r="52" spans="1:5" ht="14.25" customHeight="1" x14ac:dyDescent="0.2">
      <c r="A52" s="1300"/>
      <c r="B52" s="2459"/>
      <c r="C52" s="2459"/>
      <c r="D52" s="2459"/>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08" t="str">
        <f>'Single Audit Cover'!A7</f>
        <v>Marengo CHSD 154</v>
      </c>
      <c r="C1" s="2464"/>
      <c r="D1" s="2464"/>
      <c r="E1" s="2464"/>
      <c r="F1" s="2464"/>
      <c r="G1" s="2464"/>
      <c r="H1" s="2464"/>
      <c r="I1" s="2464"/>
      <c r="J1" s="2464"/>
      <c r="K1" s="2464"/>
      <c r="L1" s="2464"/>
      <c r="M1" s="2464"/>
    </row>
    <row r="2" spans="2:14" ht="15" x14ac:dyDescent="0.2">
      <c r="B2" s="2453">
        <f>'Single Audit Cover'!E7</f>
        <v>44063154016</v>
      </c>
      <c r="C2" s="2453"/>
      <c r="D2" s="2453"/>
      <c r="E2" s="2453"/>
      <c r="F2" s="2453"/>
      <c r="G2" s="2453"/>
      <c r="H2" s="2453"/>
      <c r="I2" s="2453"/>
      <c r="J2" s="2453"/>
      <c r="K2" s="2453"/>
      <c r="L2" s="2453"/>
      <c r="M2" s="2453"/>
      <c r="N2" s="1301"/>
    </row>
    <row r="3" spans="2:14" ht="15" x14ac:dyDescent="0.2">
      <c r="B3" s="2465" t="s">
        <v>1281</v>
      </c>
      <c r="C3" s="2465"/>
      <c r="D3" s="2465"/>
      <c r="E3" s="2465"/>
      <c r="F3" s="2465"/>
      <c r="G3" s="2465"/>
      <c r="H3" s="2465"/>
      <c r="I3" s="2465"/>
      <c r="J3" s="2465"/>
      <c r="K3" s="2465"/>
      <c r="L3" s="2465"/>
      <c r="M3" s="2465"/>
      <c r="N3" s="1301"/>
    </row>
    <row r="4" spans="2:14" ht="15" x14ac:dyDescent="0.2">
      <c r="B4" s="2466" t="str">
        <f>'Single Audit Cover'!A4</f>
        <v>Year Ending June 30, 2018</v>
      </c>
      <c r="C4" s="2466"/>
      <c r="D4" s="2466"/>
      <c r="E4" s="2466"/>
      <c r="F4" s="2466"/>
      <c r="G4" s="2466"/>
      <c r="H4" s="2466"/>
      <c r="I4" s="2466"/>
      <c r="J4" s="2466"/>
      <c r="K4" s="2466"/>
      <c r="L4" s="2466"/>
      <c r="M4" s="2466"/>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Marengo CHSD 154</v>
      </c>
      <c r="C1" s="2472"/>
      <c r="D1" s="2472"/>
      <c r="E1" s="2472"/>
      <c r="F1" s="2472"/>
      <c r="G1" s="2472"/>
      <c r="H1" s="2472"/>
      <c r="I1" s="2472"/>
      <c r="J1" s="1421"/>
    </row>
    <row r="2" spans="2:10" s="317" customFormat="1" ht="12.75" customHeight="1" x14ac:dyDescent="0.2">
      <c r="B2" s="2473">
        <f>'Single Audit Cover'!E7</f>
        <v>44063154016</v>
      </c>
      <c r="C2" s="2474"/>
      <c r="D2" s="2474"/>
      <c r="E2" s="2474"/>
      <c r="F2" s="2474"/>
      <c r="G2" s="2474"/>
      <c r="H2" s="2474"/>
      <c r="I2" s="2474"/>
      <c r="J2" s="1421"/>
    </row>
    <row r="3" spans="2:10" s="317" customFormat="1" ht="12.75" customHeight="1" x14ac:dyDescent="0.2">
      <c r="B3" s="2475" t="s">
        <v>1347</v>
      </c>
      <c r="C3" s="2476"/>
      <c r="D3" s="2476"/>
      <c r="E3" s="2476"/>
      <c r="F3" s="2476"/>
      <c r="G3" s="2476"/>
      <c r="H3" s="2476"/>
      <c r="I3" s="2476"/>
      <c r="J3" s="1422"/>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5" t="s">
        <v>1346</v>
      </c>
      <c r="C7" s="2476"/>
      <c r="D7" s="2476"/>
      <c r="E7" s="2476"/>
      <c r="F7" s="2476"/>
      <c r="G7" s="2476"/>
      <c r="H7" s="2476"/>
      <c r="I7" s="2476"/>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77"/>
      <c r="D11" s="2477"/>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78"/>
      <c r="E29" s="2478"/>
      <c r="F29" s="2478"/>
      <c r="G29" s="2478"/>
      <c r="H29" s="2478"/>
      <c r="I29" s="2478"/>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79" t="s">
        <v>1854</v>
      </c>
      <c r="D37" s="2480"/>
      <c r="E37" s="2480"/>
      <c r="F37" s="2481"/>
      <c r="G37" s="2479" t="s">
        <v>1674</v>
      </c>
      <c r="H37" s="2480"/>
      <c r="I37" s="2481"/>
    </row>
    <row r="38" spans="2:9" ht="16.5" customHeight="1" x14ac:dyDescent="0.2">
      <c r="B38" s="1443"/>
      <c r="C38" s="2467"/>
      <c r="D38" s="2468"/>
      <c r="E38" s="2468"/>
      <c r="F38" s="2469"/>
      <c r="G38" s="2482"/>
      <c r="H38" s="2483"/>
      <c r="I38" s="2484"/>
    </row>
    <row r="39" spans="2:9" ht="16.5" customHeight="1" x14ac:dyDescent="0.2">
      <c r="B39" s="1443"/>
      <c r="C39" s="2467"/>
      <c r="D39" s="2468"/>
      <c r="E39" s="2468"/>
      <c r="F39" s="2469"/>
      <c r="G39" s="2470"/>
      <c r="H39" s="2470"/>
      <c r="I39" s="2470"/>
    </row>
    <row r="40" spans="2:9" ht="16.5" customHeight="1" x14ac:dyDescent="0.2">
      <c r="B40" s="1443"/>
      <c r="C40" s="2467"/>
      <c r="D40" s="2468"/>
      <c r="E40" s="2468"/>
      <c r="F40" s="2469"/>
      <c r="G40" s="2470"/>
      <c r="H40" s="2470"/>
      <c r="I40" s="2470"/>
    </row>
    <row r="41" spans="2:9" ht="16.5" customHeight="1" x14ac:dyDescent="0.2">
      <c r="B41" s="1443"/>
      <c r="C41" s="2467"/>
      <c r="D41" s="2468"/>
      <c r="E41" s="2468"/>
      <c r="F41" s="2469"/>
      <c r="G41" s="2470"/>
      <c r="H41" s="2470"/>
      <c r="I41" s="2470"/>
    </row>
    <row r="42" spans="2:9" ht="16.5" customHeight="1" x14ac:dyDescent="0.2">
      <c r="B42" s="1443"/>
      <c r="C42" s="2467"/>
      <c r="D42" s="2468"/>
      <c r="E42" s="2468"/>
      <c r="F42" s="2469"/>
      <c r="G42" s="2470"/>
      <c r="H42" s="2470"/>
      <c r="I42" s="2470"/>
    </row>
    <row r="43" spans="2:9" ht="16.5" customHeight="1" x14ac:dyDescent="0.2">
      <c r="B43" s="1443"/>
      <c r="C43" s="2485" t="s">
        <v>1675</v>
      </c>
      <c r="D43" s="2486"/>
      <c r="E43" s="2486"/>
      <c r="F43" s="2487"/>
      <c r="G43" s="2488">
        <f>SUM(G38:I42)</f>
        <v>0</v>
      </c>
      <c r="H43" s="2488"/>
      <c r="I43" s="2488"/>
    </row>
    <row r="44" spans="2:9" ht="12.75" customHeight="1" x14ac:dyDescent="0.2"/>
    <row r="45" spans="2:9" ht="12.75" customHeight="1" x14ac:dyDescent="0.2">
      <c r="B45" s="1434" t="s">
        <v>1952</v>
      </c>
      <c r="D45" s="2489">
        <v>0</v>
      </c>
      <c r="E45" s="2490"/>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91"/>
      <c r="F49" s="2491"/>
      <c r="G49" s="2491"/>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Marengo CHSD 154</v>
      </c>
      <c r="C1" s="2471"/>
      <c r="D1" s="2471"/>
      <c r="E1" s="2471"/>
      <c r="F1" s="2471"/>
      <c r="G1" s="2471"/>
      <c r="H1" s="2471"/>
      <c r="I1" s="2471"/>
      <c r="J1" s="2471"/>
      <c r="K1" s="2471"/>
      <c r="L1" s="1373"/>
      <c r="M1" s="1373"/>
    </row>
    <row r="2" spans="1:13" ht="12" customHeight="1" x14ac:dyDescent="0.2">
      <c r="B2" s="2473">
        <f>'Single Audit Cover'!E7</f>
        <v>44063154016</v>
      </c>
      <c r="C2" s="2473"/>
      <c r="D2" s="2473"/>
      <c r="E2" s="2473"/>
      <c r="F2" s="2473"/>
      <c r="G2" s="2473"/>
      <c r="H2" s="2473"/>
      <c r="I2" s="2473"/>
      <c r="J2" s="2473"/>
      <c r="K2" s="2473"/>
      <c r="L2" s="1374"/>
      <c r="M2" s="1375"/>
    </row>
    <row r="3" spans="1:13" ht="10.35" customHeight="1" x14ac:dyDescent="0.2">
      <c r="B3" s="2494" t="s">
        <v>1347</v>
      </c>
      <c r="C3" s="2494"/>
      <c r="D3" s="2494"/>
      <c r="E3" s="2494"/>
      <c r="F3" s="2494"/>
      <c r="G3" s="2494"/>
      <c r="H3" s="2494"/>
      <c r="I3" s="2494"/>
      <c r="J3" s="2494"/>
      <c r="K3" s="2494"/>
      <c r="L3" s="1376"/>
      <c r="M3" s="1376"/>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5" t="s">
        <v>1363</v>
      </c>
      <c r="C7" s="2495"/>
      <c r="D7" s="2496"/>
      <c r="E7" s="2496"/>
      <c r="F7" s="2496"/>
      <c r="G7" s="2496"/>
      <c r="H7" s="2496"/>
      <c r="I7" s="2496"/>
      <c r="J7" s="2496"/>
      <c r="K7" s="2496"/>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3"/>
      <c r="C14" s="2493"/>
      <c r="D14" s="2493"/>
      <c r="E14" s="2493"/>
      <c r="F14" s="2493"/>
      <c r="G14" s="2493"/>
      <c r="H14" s="2493"/>
      <c r="I14" s="2493"/>
      <c r="J14" s="2493"/>
      <c r="K14" s="2493"/>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3"/>
      <c r="C17" s="2493"/>
      <c r="D17" s="2493"/>
      <c r="E17" s="2493"/>
      <c r="F17" s="2493"/>
      <c r="G17" s="2493"/>
      <c r="H17" s="2493"/>
      <c r="I17" s="2493"/>
      <c r="J17" s="2493"/>
      <c r="K17" s="2493"/>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7"/>
      <c r="C20" s="2497"/>
      <c r="D20" s="2493"/>
      <c r="E20" s="2493"/>
      <c r="F20" s="2493"/>
      <c r="G20" s="2493"/>
      <c r="H20" s="2493"/>
      <c r="I20" s="2493"/>
      <c r="J20" s="2493"/>
      <c r="K20" s="2493"/>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3"/>
      <c r="C23" s="2493"/>
      <c r="D23" s="2493"/>
      <c r="E23" s="2493"/>
      <c r="F23" s="2493"/>
      <c r="G23" s="2493"/>
      <c r="H23" s="2493"/>
      <c r="I23" s="2493"/>
      <c r="J23" s="2493"/>
      <c r="K23" s="2493"/>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3"/>
      <c r="C26" s="2493"/>
      <c r="D26" s="2493"/>
      <c r="E26" s="2493"/>
      <c r="F26" s="2493"/>
      <c r="G26" s="2493"/>
      <c r="H26" s="2493"/>
      <c r="I26" s="2493"/>
      <c r="J26" s="2493"/>
      <c r="K26" s="2493"/>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2"/>
      <c r="C29" s="2492"/>
      <c r="D29" s="2493"/>
      <c r="E29" s="2493"/>
      <c r="F29" s="2493"/>
      <c r="G29" s="2493"/>
      <c r="H29" s="2493"/>
      <c r="I29" s="2493"/>
      <c r="J29" s="2493"/>
      <c r="K29" s="2493"/>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92"/>
      <c r="C32" s="2492"/>
      <c r="D32" s="2493"/>
      <c r="E32" s="2493"/>
      <c r="F32" s="2493"/>
      <c r="G32" s="2493"/>
      <c r="H32" s="2493"/>
      <c r="I32" s="2493"/>
      <c r="J32" s="2493"/>
      <c r="K32" s="2493"/>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Marengo CHSD 154</v>
      </c>
      <c r="C1" s="2498"/>
      <c r="D1" s="2498"/>
      <c r="E1" s="2498"/>
      <c r="F1" s="2498"/>
      <c r="G1" s="2498"/>
      <c r="H1" s="2498"/>
      <c r="I1" s="2498"/>
      <c r="J1" s="2498"/>
      <c r="K1" s="2498"/>
      <c r="L1" s="1464"/>
    </row>
    <row r="2" spans="1:12" ht="12.75" customHeight="1" x14ac:dyDescent="0.2">
      <c r="B2" s="2499">
        <f>'Single Audit Cover'!E7</f>
        <v>44063154016</v>
      </c>
      <c r="C2" s="2499"/>
      <c r="D2" s="2499"/>
      <c r="E2" s="2499"/>
      <c r="F2" s="2499"/>
      <c r="G2" s="2499"/>
      <c r="H2" s="2499"/>
      <c r="I2" s="2499"/>
      <c r="J2" s="2499"/>
      <c r="K2" s="2499"/>
      <c r="L2" s="1465"/>
    </row>
    <row r="3" spans="1:12" ht="12.75" customHeight="1" x14ac:dyDescent="0.2">
      <c r="B3" s="2494" t="s">
        <v>1347</v>
      </c>
      <c r="C3" s="2494"/>
      <c r="D3" s="2494"/>
      <c r="E3" s="2494"/>
      <c r="F3" s="2494"/>
      <c r="G3" s="2494"/>
      <c r="H3" s="2494"/>
      <c r="I3" s="2494"/>
      <c r="J3" s="2494"/>
      <c r="K3" s="2494"/>
      <c r="L3" s="1376"/>
    </row>
    <row r="4" spans="1:12" ht="12.75" customHeight="1" x14ac:dyDescent="0.2">
      <c r="B4" s="2494" t="str">
        <f>'Single Audit Cover'!A4</f>
        <v>Year Ending June 30, 2018</v>
      </c>
      <c r="C4" s="2494"/>
      <c r="D4" s="2494"/>
      <c r="E4" s="2494"/>
      <c r="F4" s="2494"/>
      <c r="G4" s="2494"/>
      <c r="H4" s="2494"/>
      <c r="I4" s="2494"/>
      <c r="J4" s="2494"/>
      <c r="K4" s="2494"/>
      <c r="L4" s="1376"/>
    </row>
    <row r="5" spans="1:12" ht="5.25" customHeight="1" x14ac:dyDescent="0.2">
      <c r="B5" s="1259" t="s">
        <v>1231</v>
      </c>
      <c r="C5" s="1259"/>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78"/>
      <c r="G12" s="2478"/>
      <c r="H12" s="2478"/>
      <c r="I12" s="2478"/>
      <c r="J12" s="2478"/>
      <c r="K12" s="2478"/>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1"/>
      <c r="E14" s="2501"/>
      <c r="F14" s="2501"/>
      <c r="H14" s="1474" t="s">
        <v>1370</v>
      </c>
      <c r="I14" s="2502"/>
      <c r="J14" s="2502"/>
      <c r="K14" s="2502"/>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2"/>
      <c r="E16" s="2502"/>
      <c r="F16" s="2502"/>
      <c r="G16" s="2502"/>
      <c r="H16" s="2502"/>
      <c r="I16" s="2502"/>
      <c r="J16" s="2502"/>
      <c r="K16" s="2502"/>
      <c r="L16" s="322"/>
    </row>
    <row r="17" spans="2:12" ht="13.5" customHeight="1" x14ac:dyDescent="0.2">
      <c r="B17" s="1386" t="s">
        <v>1368</v>
      </c>
      <c r="C17" s="1386"/>
      <c r="D17" s="2503"/>
      <c r="E17" s="2503"/>
      <c r="F17" s="2503"/>
      <c r="G17" s="2503"/>
      <c r="H17" s="2503"/>
      <c r="I17" s="2503"/>
      <c r="J17" s="2503"/>
      <c r="K17" s="2503"/>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3"/>
      <c r="C20" s="2493"/>
      <c r="D20" s="2493"/>
      <c r="E20" s="2493"/>
      <c r="F20" s="2493"/>
      <c r="G20" s="2493"/>
      <c r="H20" s="2493"/>
      <c r="I20" s="2493"/>
      <c r="J20" s="2493"/>
      <c r="K20" s="2493"/>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1" t="str">
        <f>'Single Audit Cover'!A7</f>
        <v>Marengo CHSD 154</v>
      </c>
      <c r="C1" s="2471"/>
      <c r="D1" s="2471"/>
      <c r="E1" s="1490"/>
    </row>
    <row r="2" spans="2:5" s="1281" customFormat="1" ht="12.75" customHeight="1" x14ac:dyDescent="0.2">
      <c r="B2" s="2473">
        <f>'Single Audit Cover'!E7</f>
        <v>44063154016</v>
      </c>
      <c r="C2" s="2473"/>
      <c r="D2" s="2473"/>
      <c r="E2" s="1491"/>
    </row>
    <row r="3" spans="2:5" ht="12.75" customHeight="1" x14ac:dyDescent="0.2">
      <c r="B3" s="2494" t="s">
        <v>1869</v>
      </c>
      <c r="C3" s="2494"/>
      <c r="D3" s="2494"/>
      <c r="E3" s="1273"/>
    </row>
    <row r="4" spans="2:5" s="1281" customFormat="1" ht="12.75" customHeight="1" x14ac:dyDescent="0.2">
      <c r="B4" s="2504" t="str">
        <f>'Single Audit Cover'!A4</f>
        <v>Year Ending June 30, 2018</v>
      </c>
      <c r="C4" s="2504"/>
      <c r="D4" s="2504"/>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d21dc803-237d-4c68-8692-8d731fd29118"/>
    <ds:schemaRef ds:uri="http://purl.org/dc/elements/1.1/"/>
    <ds:schemaRef ds:uri="http://schemas.microsoft.com/sharepoint/v3"/>
    <ds:schemaRef ds:uri="http://schemas.openxmlformats.org/package/2006/metadata/core-properties"/>
    <ds:schemaRef ds:uri="http://purl.org/dc/terms/"/>
    <ds:schemaRef ds:uri="http://schemas.microsoft.com/office/2006/documentManagement/types"/>
    <ds:schemaRef ds:uri="6ce3111e-7420-4802-b50a-75d4e9a0b980"/>
    <ds:schemaRef ds:uri="http://schemas.microsoft.com/office/2006/metadata/properties"/>
    <ds:schemaRef ds:uri="http://schemas.microsoft.com/office/infopath/2007/PartnerControls"/>
    <ds:schemaRef ds:uri="4d435f69-8686-490b-bd6d-b153bf22ab50"/>
    <ds:schemaRef ds:uri="http://www.w3.org/XML/1998/namespace"/>
    <ds:schemaRef ds:uri="http://purl.org/dc/dcmitype/"/>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2018-10-08T20:07:06Z</cp:lastPrinted>
  <dcterms:created xsi:type="dcterms:W3CDTF">2003-10-29T19:06:34Z</dcterms:created>
  <dcterms:modified xsi:type="dcterms:W3CDTF">2018-10-09T19:50:28Z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