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79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E22" i="181"/>
  <c r="F22" i="181" s="1"/>
  <c r="G22" i="181" s="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D12" i="171" l="1"/>
  <c r="H137" i="29"/>
  <c r="E137" i="29"/>
  <c r="E139" i="29" s="1"/>
  <c r="D17" i="171"/>
  <c r="D285" i="29"/>
  <c r="L137" i="29"/>
  <c r="K356" i="29"/>
  <c r="K357" i="29" s="1"/>
  <c r="K15" i="4" s="1"/>
  <c r="H357" i="29"/>
  <c r="L357" i="29"/>
  <c r="L285" i="29"/>
  <c r="H5" i="12"/>
  <c r="B51" i="106"/>
  <c r="B49" i="106"/>
  <c r="B48" i="106"/>
  <c r="B47" i="106"/>
  <c r="B46" i="106"/>
  <c r="B45" i="106"/>
  <c r="B44" i="106"/>
  <c r="B43" i="106"/>
  <c r="B42" i="106"/>
  <c r="B41" i="106"/>
  <c r="B50" i="106"/>
  <c r="F163" i="34" l="1"/>
  <c r="B7769" i="106"/>
  <c r="D7769" i="106" s="1"/>
  <c r="B7768" i="106"/>
  <c r="B7766" i="106"/>
  <c r="B7765" i="106"/>
  <c r="D7765" i="106" s="1"/>
  <c r="B7764" i="106"/>
  <c r="D7764" i="106" s="1"/>
  <c r="J85" i="28"/>
  <c r="B7758" i="106" s="1"/>
  <c r="D7758" i="106" s="1"/>
  <c r="J88" i="28"/>
  <c r="K6" i="29"/>
  <c r="B7763" i="106" s="1"/>
  <c r="B7762" i="106"/>
  <c r="K12" i="12"/>
  <c r="B7719" i="106" s="1"/>
  <c r="D7719" i="106" s="1"/>
  <c r="K23" i="12"/>
  <c r="J12" i="12"/>
  <c r="B7718" i="106" s="1"/>
  <c r="D7718" i="106" s="1"/>
  <c r="J21" i="12"/>
  <c r="J23" i="12"/>
  <c r="B7729" i="106"/>
  <c r="D7729" i="106" s="1"/>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D7761" i="106" s="1"/>
  <c r="L127" i="29"/>
  <c r="L129" i="29" s="1"/>
  <c r="L139" i="29"/>
  <c r="L149" i="29"/>
  <c r="I7" i="145"/>
  <c r="I6" i="145"/>
  <c r="D82" i="36"/>
  <c r="D78" i="36"/>
  <c r="K75" i="29"/>
  <c r="F52" i="34" s="1"/>
  <c r="K130" i="29"/>
  <c r="F56" i="34" s="1"/>
  <c r="K185" i="29"/>
  <c r="F62" i="34"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6"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F26" i="108"/>
  <c r="E27" i="108"/>
  <c r="F27" i="108"/>
  <c r="G27" i="108"/>
  <c r="F31" i="108"/>
  <c r="G28" i="108"/>
  <c r="D31" i="108"/>
  <c r="D36" i="108"/>
  <c r="E31" i="108"/>
  <c r="G31" i="108"/>
  <c r="G33"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D5" i="4"/>
  <c r="B3406" i="106" s="1"/>
  <c r="D3406" i="106" s="1"/>
  <c r="G14" i="4"/>
  <c r="B2609" i="106" s="1"/>
  <c r="D2609" i="106" s="1"/>
  <c r="B2633" i="106"/>
  <c r="D2633" i="106" s="1"/>
  <c r="D7" i="118"/>
  <c r="D8" i="118"/>
  <c r="D9" i="118"/>
  <c r="H14" i="118"/>
  <c r="H19" i="118"/>
  <c r="H24" i="118"/>
  <c r="L22" i="37"/>
  <c r="L5" i="11"/>
  <c r="B2056" i="106" s="1"/>
  <c r="D2056" i="106" s="1"/>
  <c r="B1746" i="106"/>
  <c r="D1746" i="106" s="1"/>
  <c r="F72" i="34" l="1"/>
  <c r="F64" i="34"/>
  <c r="B2836" i="106"/>
  <c r="D2836" i="106" s="1"/>
  <c r="B2805" i="106"/>
  <c r="D2805" i="106" s="1"/>
  <c r="G30" i="108"/>
  <c r="D26" i="108"/>
  <c r="E30" i="108"/>
  <c r="D6103" i="106"/>
  <c r="B3454" i="106"/>
  <c r="D3454" i="106" s="1"/>
  <c r="B2864" i="106"/>
  <c r="D2864" i="106" s="1"/>
  <c r="B2027" i="106"/>
  <c r="D2027" i="106" s="1"/>
  <c r="B274" i="106"/>
  <c r="D274" i="106" s="1"/>
  <c r="L13" i="11"/>
  <c r="B2060" i="106" s="1"/>
  <c r="D2060" i="106" s="1"/>
  <c r="B2026" i="106"/>
  <c r="D2026" i="106" s="1"/>
  <c r="B273" i="106"/>
  <c r="D273" i="106" s="1"/>
  <c r="B2028" i="106"/>
  <c r="D2028" i="106" s="1"/>
  <c r="B275" i="106"/>
  <c r="D275" i="106" s="1"/>
  <c r="B6995" i="106"/>
  <c r="D6995" i="106" s="1"/>
  <c r="F49" i="34"/>
  <c r="F45" i="34"/>
  <c r="B2029" i="106"/>
  <c r="D2029" i="106" s="1"/>
  <c r="D31" i="36"/>
  <c r="H342" i="29"/>
  <c r="B7221" i="106" s="1"/>
  <c r="D7221" i="106" s="1"/>
  <c r="B2733" i="106"/>
  <c r="D2733" i="106" s="1"/>
  <c r="D17" i="7"/>
  <c r="B4104" i="106" s="1"/>
  <c r="D4104" i="106" s="1"/>
  <c r="J22" i="37"/>
  <c r="E174" i="29"/>
  <c r="B1309" i="106" s="1"/>
  <c r="D1309" i="106" s="1"/>
  <c r="I342" i="29"/>
  <c r="B7222" i="106" s="1"/>
  <c r="D7222" i="106" s="1"/>
  <c r="C342" i="29"/>
  <c r="B7216" i="106" s="1"/>
  <c r="D7216" i="106" s="1"/>
  <c r="B6289" i="106"/>
  <c r="D6289" i="106" s="1"/>
  <c r="D11" i="37"/>
  <c r="H33" i="118"/>
  <c r="N22" i="3"/>
  <c r="B283" i="106" s="1"/>
  <c r="D283" i="106" s="1"/>
  <c r="H28" i="118"/>
  <c r="D24" i="37"/>
  <c r="B4270" i="106" s="1"/>
  <c r="D4270" i="106" s="1"/>
  <c r="I24" i="12"/>
  <c r="B1996" i="106" s="1"/>
  <c r="D1996" i="106" s="1"/>
  <c r="D68" i="36"/>
  <c r="F21" i="8"/>
  <c r="F19" i="7"/>
  <c r="B1807" i="106" s="1"/>
  <c r="D1807" i="106" s="1"/>
  <c r="D9" i="7"/>
  <c r="B1767" i="106" s="1"/>
  <c r="D1767" i="106" s="1"/>
  <c r="D5" i="7"/>
  <c r="B1761" i="106" s="1"/>
  <c r="D1761" i="106" s="1"/>
  <c r="G172" i="5"/>
  <c r="G173" i="5" s="1"/>
  <c r="B5778" i="106" s="1"/>
  <c r="D5778" i="106" s="1"/>
  <c r="D4" i="7"/>
  <c r="B1760" i="106" s="1"/>
  <c r="D1760" i="106" s="1"/>
  <c r="D11" i="7"/>
  <c r="B1768" i="106" s="1"/>
  <c r="D1768" i="106" s="1"/>
  <c r="D12" i="7"/>
  <c r="B1769" i="106" s="1"/>
  <c r="D1769" i="106" s="1"/>
  <c r="H29" i="118"/>
  <c r="F37" i="34"/>
  <c r="G39" i="108"/>
  <c r="E38" i="108"/>
  <c r="G15" i="145"/>
  <c r="D14" i="4"/>
  <c r="B2570" i="106" s="1"/>
  <c r="D2570" i="106" s="1"/>
  <c r="F37" i="108"/>
  <c r="E26" i="108"/>
  <c r="J210" i="29"/>
  <c r="B7072" i="106" s="1"/>
  <c r="D7072" i="106" s="1"/>
  <c r="F106" i="34"/>
  <c r="F34" i="34"/>
  <c r="H76" i="4"/>
  <c r="B3298" i="106" s="1"/>
  <c r="D3298" i="106" s="1"/>
  <c r="F14" i="4"/>
  <c r="B2597" i="106" s="1"/>
  <c r="D2597" i="106" s="1"/>
  <c r="F71" i="34"/>
  <c r="C14" i="4"/>
  <c r="B2558" i="106" s="1"/>
  <c r="D2558" i="106" s="1"/>
  <c r="B5096" i="106"/>
  <c r="D5096" i="106" s="1"/>
  <c r="F35" i="34"/>
  <c r="F36" i="108"/>
  <c r="J129" i="29"/>
  <c r="B7038" i="106" s="1"/>
  <c r="D7038" i="106" s="1"/>
  <c r="B1124" i="106"/>
  <c r="D1124" i="106" s="1"/>
  <c r="D13" i="7"/>
  <c r="B3726" i="106" s="1"/>
  <c r="D3726" i="106" s="1"/>
  <c r="F70" i="34"/>
  <c r="D37" i="108"/>
  <c r="D41" i="108" s="1"/>
  <c r="E43" i="108" s="1"/>
  <c r="I129" i="29"/>
  <c r="B7037" i="106" s="1"/>
  <c r="D7037" i="106" s="1"/>
  <c r="H112" i="29"/>
  <c r="B7018" i="106" s="1"/>
  <c r="D7018" i="106" s="1"/>
  <c r="H365" i="29"/>
  <c r="B7242" i="106" s="1"/>
  <c r="D7242" i="106" s="1"/>
  <c r="J352" i="29"/>
  <c r="J367" i="29" s="1"/>
  <c r="B7245" i="106" s="1"/>
  <c r="D7245" i="106" s="1"/>
  <c r="I210" i="29"/>
  <c r="B7071" i="106" s="1"/>
  <c r="D7071" i="106" s="1"/>
  <c r="K76" i="4"/>
  <c r="B3586" i="106" s="1"/>
  <c r="D3586" i="106" s="1"/>
  <c r="B5161" i="106"/>
  <c r="D5161" i="106" s="1"/>
  <c r="F128" i="34"/>
  <c r="B4373" i="106"/>
  <c r="D4373" i="106" s="1"/>
  <c r="K173" i="5"/>
  <c r="K6" i="4" s="1"/>
  <c r="B3570" i="106" s="1"/>
  <c r="D3570" i="106" s="1"/>
  <c r="F136" i="34"/>
  <c r="K285" i="29"/>
  <c r="B3724" i="106" s="1"/>
  <c r="D3724" i="106" s="1"/>
  <c r="L367" i="29"/>
  <c r="B7074" i="106"/>
  <c r="D7074" i="106" s="1"/>
  <c r="G29" i="108"/>
  <c r="E29" i="108"/>
  <c r="F66" i="34"/>
  <c r="G26" i="108"/>
  <c r="B1223" i="106"/>
  <c r="D1223" i="106" s="1"/>
  <c r="B1274" i="106"/>
  <c r="D1274" i="106" s="1"/>
  <c r="G38" i="108"/>
  <c r="G34" i="108"/>
  <c r="F28" i="108"/>
  <c r="E28" i="108"/>
  <c r="B2724" i="106"/>
  <c r="D2724" i="106" s="1"/>
  <c r="F42" i="34"/>
  <c r="F36" i="34"/>
  <c r="F50" i="34"/>
  <c r="F44" i="34"/>
  <c r="F46" i="34"/>
  <c r="K274" i="5"/>
  <c r="B6022" i="106" s="1"/>
  <c r="D6022" i="106" s="1"/>
  <c r="F130" i="34"/>
  <c r="F127" i="34"/>
  <c r="J274" i="5"/>
  <c r="B7054" i="106" s="1"/>
  <c r="D7054" i="106" s="1"/>
  <c r="F172" i="5"/>
  <c r="B5644" i="106" s="1"/>
  <c r="D5644" i="106" s="1"/>
  <c r="C172" i="5"/>
  <c r="B5214" i="106" s="1"/>
  <c r="D5214" i="106" s="1"/>
  <c r="H173" i="5"/>
  <c r="C109" i="5"/>
  <c r="B5121" i="106" s="1"/>
  <c r="D5121" i="106" s="1"/>
  <c r="D109" i="5"/>
  <c r="B5356" i="106" s="1"/>
  <c r="D5356" i="106" s="1"/>
  <c r="H109" i="5"/>
  <c r="B6025" i="106" s="1"/>
  <c r="D6025" i="106" s="1"/>
  <c r="G109" i="5"/>
  <c r="B6024" i="106" s="1"/>
  <c r="D6024" i="106" s="1"/>
  <c r="D15" i="7"/>
  <c r="B1772" i="106" s="1"/>
  <c r="D1772" i="106" s="1"/>
  <c r="D7" i="7"/>
  <c r="B1763" i="106" s="1"/>
  <c r="D1763" i="106" s="1"/>
  <c r="B2895" i="106"/>
  <c r="D2895" i="106" s="1"/>
  <c r="J77" i="4"/>
  <c r="B6262" i="106" s="1"/>
  <c r="D6262" i="106" s="1"/>
  <c r="I173" i="5"/>
  <c r="B4216" i="106" s="1"/>
  <c r="D4216" i="106" s="1"/>
  <c r="F111" i="34"/>
  <c r="F131" i="34"/>
  <c r="G5" i="4"/>
  <c r="B3409" i="106" s="1"/>
  <c r="D3409" i="106" s="1"/>
  <c r="B7041" i="106"/>
  <c r="D7041" i="106" s="1"/>
  <c r="E109" i="5"/>
  <c r="E4" i="4" s="1"/>
  <c r="B2630" i="106" s="1"/>
  <c r="D2630" i="106" s="1"/>
  <c r="B3649" i="106"/>
  <c r="D3649" i="106" s="1"/>
  <c r="G367" i="29"/>
  <c r="B3650" i="106" s="1"/>
  <c r="D3650" i="106" s="1"/>
  <c r="K350" i="29"/>
  <c r="F77" i="4"/>
  <c r="B3255" i="106" s="1"/>
  <c r="D3255" i="106" s="1"/>
  <c r="K184" i="29"/>
  <c r="F13" i="4" s="1"/>
  <c r="B2596" i="106" s="1"/>
  <c r="D2596" i="106" s="1"/>
  <c r="K24" i="12"/>
  <c r="L342" i="29"/>
  <c r="B3647" i="106"/>
  <c r="D3647" i="106" s="1"/>
  <c r="C352" i="29"/>
  <c r="L15" i="11"/>
  <c r="B3459" i="106" s="1"/>
  <c r="D3459" i="106" s="1"/>
  <c r="G210" i="29"/>
  <c r="L312"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J24" i="12"/>
  <c r="B7730" i="106"/>
  <c r="D7730" i="106" s="1"/>
  <c r="B7270" i="106"/>
  <c r="B1328" i="106" l="1"/>
  <c r="D1328" i="106" s="1"/>
  <c r="G6" i="4"/>
  <c r="B2604" i="106" s="1"/>
  <c r="D2604" i="106" s="1"/>
  <c r="C4" i="4"/>
  <c r="B2551" i="106" s="1"/>
  <c r="D2551" i="106" s="1"/>
  <c r="B7235" i="106"/>
  <c r="D7235" i="106" s="1"/>
  <c r="H77" i="4"/>
  <c r="B3299" i="106" s="1"/>
  <c r="D3299" i="106" s="1"/>
  <c r="B1266" i="106"/>
  <c r="D1266" i="106" s="1"/>
  <c r="F41" i="108"/>
  <c r="G43" i="108" s="1"/>
  <c r="B5770" i="106"/>
  <c r="D5770" i="106" s="1"/>
  <c r="M23" i="3"/>
  <c r="B276" i="106"/>
  <c r="D276" i="106" s="1"/>
  <c r="I26" i="12"/>
  <c r="B7741" i="106" s="1"/>
  <c r="D7741" i="106" s="1"/>
  <c r="D7254" i="106"/>
  <c r="D7255" i="106"/>
  <c r="D7256" i="106"/>
  <c r="D7251" i="106"/>
  <c r="D7250" i="106"/>
  <c r="J151" i="29"/>
  <c r="B7052" i="106" s="1"/>
  <c r="D7052" i="106" s="1"/>
  <c r="K28" i="118"/>
  <c r="O27" i="118" s="1"/>
  <c r="O29" i="118" s="1"/>
  <c r="L16" i="11"/>
  <c r="B2061" i="106" s="1"/>
  <c r="D2061" i="106" s="1"/>
  <c r="B1879" i="106"/>
  <c r="D1879" i="106" s="1"/>
  <c r="H22" i="37"/>
  <c r="K365" i="29"/>
  <c r="B7243" i="106" s="1"/>
  <c r="D7243" i="106" s="1"/>
  <c r="K7" i="4"/>
  <c r="B3718" i="106" s="1"/>
  <c r="D3718" i="106" s="1"/>
  <c r="F173" i="5"/>
  <c r="B5653" i="106" s="1"/>
  <c r="D5653" i="106" s="1"/>
  <c r="D19" i="7"/>
  <c r="B1775" i="106" s="1"/>
  <c r="D1775" i="106" s="1"/>
  <c r="K77" i="4"/>
  <c r="B3587" i="106" s="1"/>
  <c r="D3587" i="106" s="1"/>
  <c r="I6" i="4"/>
  <c r="B5011" i="106" s="1"/>
  <c r="D5011" i="106" s="1"/>
  <c r="B6014" i="106"/>
  <c r="D6014" i="106" s="1"/>
  <c r="B1317" i="106"/>
  <c r="D1317" i="106" s="1"/>
  <c r="I151" i="29"/>
  <c r="F59" i="34" s="1"/>
  <c r="F73" i="34"/>
  <c r="G15" i="4"/>
  <c r="B6032" i="106" s="1"/>
  <c r="D6032" i="106" s="1"/>
  <c r="K342" i="29"/>
  <c r="F13" i="34" s="1"/>
  <c r="B3628" i="106"/>
  <c r="D3628" i="106" s="1"/>
  <c r="J16" i="4"/>
  <c r="B6226" i="106" s="1"/>
  <c r="D6226" i="106" s="1"/>
  <c r="B7215" i="106"/>
  <c r="D7215" i="106" s="1"/>
  <c r="B1381" i="106"/>
  <c r="D1381" i="106" s="1"/>
  <c r="L114" i="29"/>
  <c r="C114" i="29"/>
  <c r="B757" i="106" s="1"/>
  <c r="D757" i="106" s="1"/>
  <c r="B5914" i="106"/>
  <c r="D5914" i="106" s="1"/>
  <c r="J7" i="4"/>
  <c r="B6222" i="106" s="1"/>
  <c r="D6222" i="106" s="1"/>
  <c r="F274" i="5"/>
  <c r="F7" i="4" s="1"/>
  <c r="B2594" i="106" s="1"/>
  <c r="D2594" i="106" s="1"/>
  <c r="D274" i="5"/>
  <c r="B5507" i="106" s="1"/>
  <c r="D5507" i="106" s="1"/>
  <c r="C173" i="5"/>
  <c r="B5223" i="106" s="1"/>
  <c r="D5223" i="106" s="1"/>
  <c r="B5906" i="106"/>
  <c r="D5906" i="106" s="1"/>
  <c r="H6" i="4"/>
  <c r="B2656" i="106" s="1"/>
  <c r="D2656" i="106" s="1"/>
  <c r="B5527" i="106"/>
  <c r="D5527" i="106" s="1"/>
  <c r="D4" i="4"/>
  <c r="B2564" i="106" s="1"/>
  <c r="D2564" i="106" s="1"/>
  <c r="H275" i="5"/>
  <c r="B5915" i="106" s="1"/>
  <c r="D5915" i="106" s="1"/>
  <c r="H4" i="4"/>
  <c r="G4" i="4"/>
  <c r="B2603" i="106" s="1"/>
  <c r="D2603" i="106" s="1"/>
  <c r="L34" i="3"/>
  <c r="B2914" i="106"/>
  <c r="D2914" i="106" s="1"/>
  <c r="B3670" i="106"/>
  <c r="D3670" i="106" s="1"/>
  <c r="K352" i="29"/>
  <c r="H367" i="29"/>
  <c r="B3660" i="106" s="1"/>
  <c r="D3660" i="106" s="1"/>
  <c r="B3621" i="106"/>
  <c r="D3621" i="106" s="1"/>
  <c r="C367" i="29"/>
  <c r="B3622" i="106" s="1"/>
  <c r="D3622" i="106" s="1"/>
  <c r="B7733" i="106"/>
  <c r="D7733" i="106" s="1"/>
  <c r="K26" i="12"/>
  <c r="B7743" i="106" s="1"/>
  <c r="D7743" i="106" s="1"/>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D275" i="5"/>
  <c r="B5508" i="106" s="1"/>
  <c r="D5508" i="106" s="1"/>
  <c r="B7051" i="106"/>
  <c r="D7051" i="106" s="1"/>
  <c r="B7224" i="106"/>
  <c r="D7224" i="106" s="1"/>
  <c r="B279" i="106"/>
  <c r="D279" i="106" s="1"/>
  <c r="J17" i="4"/>
  <c r="F6" i="4"/>
  <c r="B2593" i="106" s="1"/>
  <c r="D2593" i="106" s="1"/>
  <c r="D7" i="4"/>
  <c r="B2567" i="106" s="1"/>
  <c r="D2567" i="106" s="1"/>
  <c r="F275" i="5"/>
  <c r="B5720" i="106" s="1"/>
  <c r="D5720" i="106" s="1"/>
  <c r="B5719" i="106"/>
  <c r="D5719" i="106" s="1"/>
  <c r="B1145" i="106"/>
  <c r="D1145" i="106" s="1"/>
  <c r="G41" i="108"/>
  <c r="G44" i="108" s="1"/>
  <c r="G45" i="108" s="1"/>
  <c r="C6" i="4"/>
  <c r="B2553" i="106" s="1"/>
  <c r="D2553" i="106" s="1"/>
  <c r="J8" i="4"/>
  <c r="J20" i="4" s="1"/>
  <c r="B2655" i="106"/>
  <c r="D2655" i="106" s="1"/>
  <c r="H8" i="4"/>
  <c r="B2916" i="106"/>
  <c r="D2916" i="106" s="1"/>
  <c r="L41" i="3"/>
  <c r="E41" i="108"/>
  <c r="E44" i="108" s="1"/>
  <c r="E45" i="108" s="1"/>
  <c r="K13" i="4"/>
  <c r="B3572" i="106" s="1"/>
  <c r="D3572" i="106" s="1"/>
  <c r="B3672" i="106"/>
  <c r="D3672" i="106" s="1"/>
  <c r="K367" i="29"/>
  <c r="K368" i="29" s="1"/>
  <c r="B3681" i="106" s="1"/>
  <c r="D3681"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80" i="106" l="1"/>
  <c r="D280" i="106" s="1"/>
  <c r="M41" i="3"/>
  <c r="F8" i="4"/>
  <c r="D8" i="146" s="1"/>
  <c r="D8" i="4"/>
  <c r="B2568" i="106" s="1"/>
  <c r="D2568" i="106" s="1"/>
  <c r="B6223" i="106"/>
  <c r="D6223" i="106" s="1"/>
  <c r="K17" i="4"/>
  <c r="B3575" i="106" s="1"/>
  <c r="D3575" i="106" s="1"/>
  <c r="B3678" i="106"/>
  <c r="D3678" i="106" s="1"/>
  <c r="F76" i="34"/>
  <c r="J10" i="4"/>
  <c r="B6225" i="106" s="1"/>
  <c r="D6225" i="106" s="1"/>
  <c r="B2658" i="106"/>
  <c r="D2658" i="106" s="1"/>
  <c r="H10" i="4"/>
  <c r="B4127" i="106" s="1"/>
  <c r="D4127" i="106" s="1"/>
  <c r="B2917" i="106"/>
  <c r="D2917" i="106" s="1"/>
  <c r="D53" i="3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81" i="106"/>
  <c r="D281" i="106" s="1"/>
  <c r="D54" i="36"/>
  <c r="C8" i="146"/>
  <c r="D20" i="4"/>
  <c r="B2574" i="106" s="1"/>
  <c r="D2574" i="106" s="1"/>
  <c r="H13" i="118"/>
  <c r="F10" i="4"/>
  <c r="B4125" i="106" s="1"/>
  <c r="D4125" i="106" s="1"/>
  <c r="B2595" i="106"/>
  <c r="D2595" i="106" s="1"/>
  <c r="K20" i="4"/>
  <c r="B3576" i="106" s="1"/>
  <c r="D3576" i="106" s="1"/>
  <c r="K19" i="4"/>
  <c r="B4144" i="106" s="1"/>
  <c r="D414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J81" i="4"/>
  <c r="B6263" i="106"/>
  <c r="D6263" i="106" s="1"/>
  <c r="D78" i="4"/>
  <c r="K78" i="4" l="1"/>
  <c r="B3588" i="106" s="1"/>
  <c r="D3588" i="106" s="1"/>
  <c r="C10" i="146"/>
  <c r="F8" i="146"/>
  <c r="F179" i="34"/>
  <c r="F79" i="34"/>
  <c r="J41" i="3"/>
  <c r="B6215" i="106"/>
  <c r="D6215" i="106" s="1"/>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K81" i="4"/>
  <c r="D65" i="36" s="1"/>
  <c r="F181" i="34"/>
  <c r="F183" i="34" s="1"/>
  <c r="D51" i="36"/>
  <c r="B6216" i="106"/>
  <c r="D6216" i="106" s="1"/>
  <c r="B123" i="106"/>
  <c r="D123" i="106" s="1"/>
  <c r="D41" i="3"/>
  <c r="B3567" i="106"/>
  <c r="D3567" i="106" s="1"/>
  <c r="K41" i="3"/>
  <c r="B212" i="106"/>
  <c r="D212" i="106" s="1"/>
  <c r="H41" i="3"/>
  <c r="B2912" i="106"/>
  <c r="D2912" i="106" s="1"/>
  <c r="I41" i="3"/>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K82" i="4" l="1"/>
  <c r="K83" i="4" s="1"/>
  <c r="B6284" i="106" s="1"/>
  <c r="D6284" i="106" s="1"/>
  <c r="B3591" i="106"/>
  <c r="D3591" i="106" s="1"/>
  <c r="B189" i="106"/>
  <c r="D189" i="106" s="1"/>
  <c r="G41" i="3"/>
  <c r="B140" i="106"/>
  <c r="D140" i="106" s="1"/>
  <c r="E41" i="3"/>
  <c r="B170" i="106"/>
  <c r="D170" i="106" s="1"/>
  <c r="F41" i="3"/>
  <c r="B3568" i="106"/>
  <c r="D3568" i="106" s="1"/>
  <c r="D52" i="36"/>
  <c r="B213" i="106"/>
  <c r="D213" i="106" s="1"/>
  <c r="D49" i="36"/>
  <c r="B124" i="106"/>
  <c r="D124" i="106" s="1"/>
  <c r="D45" i="36"/>
  <c r="J16" i="37"/>
  <c r="B4269" i="106" s="1"/>
  <c r="D4269" i="106" s="1"/>
  <c r="D76" i="36"/>
  <c r="B92" i="106"/>
  <c r="D92" i="106" s="1"/>
  <c r="C41" i="3"/>
  <c r="D50" i="36"/>
  <c r="B2913" i="106"/>
  <c r="D2913" i="106" s="1"/>
  <c r="H12" i="118"/>
  <c r="K12" i="118"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6275" i="106" l="1"/>
  <c r="D6275" i="106" s="1"/>
  <c r="O11" i="118"/>
  <c r="O13" i="118" s="1"/>
  <c r="J20" i="118"/>
  <c r="B171" i="106"/>
  <c r="D171" i="106" s="1"/>
  <c r="D47" i="36"/>
  <c r="B282" i="106"/>
  <c r="D282" i="106" s="1"/>
  <c r="N23" i="3"/>
  <c r="B190" i="106"/>
  <c r="D190" i="106" s="1"/>
  <c r="D48" i="36"/>
  <c r="B141" i="106"/>
  <c r="D141" i="106" s="1"/>
  <c r="D46" i="36"/>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<sst xmlns="http://schemas.openxmlformats.org/spreadsheetml/2006/main" count="5105" uniqueCount="2150">
  <si>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</si>
  <si>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</si>
  <si>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</si>
  <si>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</si>
  <si>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</si>
  <si>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</si>
  <si>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</si>
  <si>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</si>
  <si>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</si>
  <si>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</si>
  <si>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</si>
  <si>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</si>
  <si>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</si>
  <si>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</si>
  <si>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</si>
  <si>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</si>
  <si>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</si>
  <si>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</si>
  <si>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</si>
  <si>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</si>
  <si>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</si>
  <si>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</si>
  <si>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</si>
  <si>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</si>
  <si>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</si>
  <si>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</si>
  <si>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</si>
  <si>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</si>
  <si>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</si>
  <si>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</si>
  <si>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</si>
  <si>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</si>
  <si>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</si>
  <si>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</si>
  <si>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</si>
  <si>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</si>
  <si>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</si>
  <si>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</si>
  <si>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</si>
  <si>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</si>
  <si>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</si>
  <si>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</si>
  <si>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</si>
  <si>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</si>
  <si>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</si>
  <si>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</si>
  <si>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</si>
  <si>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</si>
  <si>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</si>
  <si>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</si>
  <si>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</si>
  <si>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</si>
  <si>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</si>
  <si>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</si>
  <si>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</si>
  <si>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</si>
  <si>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</si>
  <si>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</si>
  <si>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</si>
  <si>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</si>
  <si>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</si>
  <si>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</si>
  <si>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</si>
  <si>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</si>
  <si>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</si>
  <si>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</si>
  <si>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</si>
  <si>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</si>
  <si>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</si>
  <si>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</si>
  <si>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</si>
  <si>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</si>
  <si>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</si>
  <si>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</si>
  <si>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</si>
  <si>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</si>
  <si>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</si>
  <si>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</si>
  <si>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</si>
  <si>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</si>
  <si>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</si>
  <si>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</si>
  <si>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</si>
  <si>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</si>
  <si>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</si>
  <si>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</si>
  <si>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</si>
  <si>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</si>
  <si>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</si>
  <si>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</si>
  <si>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</si>
  <si>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</si>
  <si>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</si>
  <si>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</si>
  <si>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</si>
  <si>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</si>
  <si>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</si>
  <si>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</si>
  <si>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</si>
  <si>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</si>
  <si>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</si>
  <si>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</si>
  <si>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</si>
  <si>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</si>
  <si>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</si>
  <si>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</si>
  <si>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</si>
  <si>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</si>
  <si>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</si>
  <si>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</si>
  <si>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</si>
  <si>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</si>
  <si>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</si>
  <si>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</si>
  <si>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</si>
  <si>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</si>
  <si>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</si>
  <si>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</si>
  <si>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</si>
  <si>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</si>
  <si>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</si>
  <si>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</si>
  <si>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</si>
  <si>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</si>
  <si>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</si>
  <si>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</si>
  <si>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</si>
  <si>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</si>
  <si>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</si>
  <si>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</si>
  <si>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</si>
  <si>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</si>
  <si>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</si>
  <si>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</si>
  <si>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</si>
  <si>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</si>
  <si>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</si>
  <si>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</si>
  <si>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</si>
  <si>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</si>
  <si>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</si>
  <si>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</si>
  <si>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</si>
  <si>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</si>
  <si>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</si>
  <si>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</si>
  <si>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</si>
  <si>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</si>
  <si>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</si>
  <si>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</si>
  <si>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</si>
  <si>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</si>
  <si>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</si>
  <si>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</si>
  <si>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</si>
  <si>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</si>
  <si>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</si>
  <si>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</si>
  <si>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</si>
  <si>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</si>
  <si>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</si>
  <si>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</si>
  <si>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</si>
  <si>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</si>
  <si>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</si>
  <si>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</si>
  <si>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</si>
  <si>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</si>
  <si>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</si>
  <si>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</si>
  <si>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</si>
  <si>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</si>
  <si>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</si>
  <si>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</si>
  <si>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</si>
  <si>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</si>
  <si>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</si>
  <si>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</si>
  <si>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</si>
  <si>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</si>
  <si>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</si>
  <si>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</si>
  <si>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</si>
  <si>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</si>
  <si>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</si>
  <si>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</si>
  <si>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</si>
  <si>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</si>
  <si>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</si>
  <si>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</si>
  <si>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</si>
  <si>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</si>
  <si>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</si>
  <si>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</si>
  <si>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</si>
  <si>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</si>
  <si>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</si>
  <si>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</si>
  <si>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</si>
  <si>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</si>
  <si>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</si>
  <si>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</si>
  <si>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</si>
  <si>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</si>
  <si>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</si>
  <si>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</si>
  <si>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</si>
  <si>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</si>
  <si>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</si>
  <si>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</si>
  <si>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</si>
  <si>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</si>
  <si>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</si>
  <si>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</si>
  <si>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</si>
  <si>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</si>
  <si>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</si>
  <si>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</si>
  <si>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</si>
  <si>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</si>
  <si>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</si>
  <si>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</si>
  <si>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</si>
  <si>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</si>
  <si>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</si>
  <si>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</si>
  <si>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</si>
  <si>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</si>
  <si>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</si>
  <si>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</si>
  <si>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</si>
  <si>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</si>
  <si>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</si>
  <si>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</si>
  <si>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</si>
  <si>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</si>
  <si>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</si>
  <si>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</si>
  <si>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</si>
  <si>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</si>
  <si>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</si>
  <si>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</si>
  <si>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</si>
  <si>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</si>
  <si>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</si>
  <si>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</si>
  <si>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</si>
  <si>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</si>
  <si>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</si>
  <si>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</si>
  <si>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</si>
  <si>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</si>
  <si>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</si>
  <si>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</si>
  <si>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</si>
  <si>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</si>
  <si>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</si>
  <si>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</si>
  <si>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</si>
  <si>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</si>
  <si>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</si>
  <si>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</si>
  <si>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</si>
  <si>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</si>
  <si>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</si>
  <si>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</si>
  <si>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</si>
  <si>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</si>
  <si>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</si>
  <si>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</si>
  <si>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</si>
  <si>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</si>
  <si>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</si>
  <si>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</si>
  <si>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</si>
  <si>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</si>
  <si>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</si>
  <si>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</si>
  <si>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</si>
  <si>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</si>
  <si>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</si>
  <si>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</si>
  <si>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</si>
  <si>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</si>
  <si>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</si>
  <si>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</si>
  <si>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</si>
  <si>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</si>
  <si>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</si>
  <si>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</si>
  <si>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</si>
  <si>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</si>
  <si>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</si>
  <si>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</si>
  <si>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</si>
  <si>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</si>
  <si>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</si>
  <si>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</si>
  <si>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</si>
  <si>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</si>
  <si>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</si>
  <si>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</si>
  <si>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</si>
  <si>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</si>
  <si>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</si>
  <si>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</si>
  <si>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</si>
  <si>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</si>
  <si>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</si>
  <si>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</si>
  <si>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</si>
  <si>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</si>
  <si>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</si>
  <si>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</si>
  <si>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</si>
  <si>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</si>
  <si>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</si>
  <si>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</si>
  <si>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</si>
  <si>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</si>
  <si>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</si>
  <si>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</si>
  <si>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</si>
  <si>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</si>
  <si>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</si>
  <si>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</si>
  <si>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</si>
  <si>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</si>
  <si>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</si>
  <si>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</si>
  <si>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</si>
  <si>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</si>
  <si>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</si>
  <si>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</si>
  <si>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</si>
  <si>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</si>
  <si>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</si>
  <si>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</si>
  <si>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</si>
  <si>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</si>
  <si>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</si>
  <si>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</si>
  <si>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</si>
  <si>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</si>
  <si>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</si>
  <si>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</si>
  <si>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</si>
  <si>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</si>
  <si>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</si>
  <si>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</si>
  <si>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</si>
  <si>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</si>
  <si>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</si>
  <si>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</si>
  <si>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</si>
  <si>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</si>
  <si>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</si>
  <si>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</si>
  <si>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</si>
  <si>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</si>
  <si>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</si>
  <si>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</si>
  <si>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</si>
  <si>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</si>
  <si>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</si>
  <si>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</si>
  <si>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</si>
  <si>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</si>
  <si>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</si>
  <si>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</si>
  <si>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</si>
  <si>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</si>
  <si>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</si>
  <si>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</si>
  <si>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</si>
  <si>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</si>
  <si>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</si>
  <si>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</si>
  <si>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</si>
  <si>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</si>
  <si>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</si>
  <si>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</si>
  <si>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</si>
  <si>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</si>
  <si>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</si>
  <si>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</si>
  <si>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</si>
  <si>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</si>
  <si>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</si>
  <si>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</si>
  <si>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</si>
  <si>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</si>
  <si>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</si>
  <si>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</si>
  <si>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</si>
  <si>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</si>
  <si>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</si>
  <si>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</si>
  <si>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</si>
  <si>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</si>
  <si>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</si>
  <si>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</si>
  <si>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</si>
  <si>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</si>
  <si>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</si>
  <si>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</si>
  <si>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</si>
  <si>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</si>
  <si>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</si>
  <si>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</si>
  <si>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</si>
  <si>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</si>
  <si>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</si>
  <si>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</si>
  <si>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</si>
  <si>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</si>
  <si>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</si>
  <si>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</si>
  <si>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</si>
  <si>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</si>
  <si>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</si>
  <si>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</si>
  <si>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</si>
  <si>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</si>
  <si>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</si>
  <si>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</si>
  <si>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</si>
  <si>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</si>
  <si>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</si>
  <si>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</si>
  <si>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</si>
  <si>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</si>
  <si>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</si>
  <si>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</si>
  <si>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</si>
  <si>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</si>
  <si>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</si>
  <si>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</si>
  <si>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</si>
  <si>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</si>
  <si>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</si>
  <si>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</si>
  <si>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</si>
  <si>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</si>
  <si>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</si>
  <si>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</si>
  <si>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</si>
  <si>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</si>
  <si>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</si>
  <si>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</si>
  <si>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</si>
  <si>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</si>
  <si>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</si>
  <si>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</si>
  <si>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</si>
  <si>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</si>
  <si>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</si>
  <si>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</si>
  <si>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</si>
  <si>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</si>
  <si>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</si>
  <si>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</si>
  <si>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</si>
  <si>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</si>
  <si>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</si>
  <si>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</si>
  <si>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</si>
  <si>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</si>
  <si>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</si>
  <si>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</si>
  <si>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</si>
  <si>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</si>
  <si>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</si>
  <si>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</si>
  <si>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</si>
  <si>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</si>
  <si>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</si>
  <si>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</si>
  <si>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</si>
  <si>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</si>
  <si>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</si>
  <si>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</si>
  <si>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</si>
  <si>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</si>
  <si>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</si>
  <si>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</si>
  <si>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</si>
  <si>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</si>
  <si>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</si>
  <si>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</si>
  <si>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</si>
  <si>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</si>
  <si>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</si>
  <si>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</si>
  <si>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</si>
  <si>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</si>
  <si>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</si>
  <si>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</si>
  <si>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</si>
  <si>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</si>
  <si>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</si>
  <si>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</si>
  <si>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</si>
  <si>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</si>
  <si>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</si>
  <si>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</si>
  <si>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</si>
  <si>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</si>
  <si>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</si>
  <si>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</si>
  <si>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</si>
  <si>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</si>
  <si>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</si>
  <si>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</si>
  <si>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</si>
  <si>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</si>
  <si>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</si>
  <si>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</si>
  <si>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</si>
  <si>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</si>
  <si>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</si>
  <si>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</si>
  <si>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</si>
  <si>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</si>
  <si>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</si>
  <si>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</si>
  <si>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</si>
  <si>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</si>
  <si>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</si>
  <si>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</si>
  <si>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</si>
  <si>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</si>
  <si>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</si>
  <si>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</si>
  <si>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</si>
  <si>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</si>
  <si>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</si>
  <si>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</si>
  <si>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</si>
  <si>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</si>
  <si>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</si>
  <si>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</si>
  <si>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</si>
  <si>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</si>
  <si>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</si>
  <si>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</si>
  <si>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</si>
  <si>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</si>
  <si>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</si>
  <si>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</si>
  <si>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</si>
  <si>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</si>
  <si>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</si>
  <si>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</si>
  <si>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</si>
  <si>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</si>
  <si>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</si>
  <si>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</si>
  <si>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</si>
  <si>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</si>
  <si>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</si>
  <si>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</si>
  <si>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</si>
  <si>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</si>
  <si>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</si>
  <si>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</si>
  <si>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</si>
  <si>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</si>
  <si>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</si>
  <si>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</si>
  <si>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</si>
  <si>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</si>
  <si>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</si>
  <si>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</si>
  <si>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</si>
  <si>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</si>
  <si>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</si>
  <si>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</si>
  <si>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</si>
  <si>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</si>
  <si>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</si>
  <si>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</si>
  <si>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</si>
  <si>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</si>
  <si>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</si>
  <si>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</si>
  <si>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</si>
  <si>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</si>
  <si>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</si>
  <si>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</si>
  <si>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</si>
  <si>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</si>
  <si>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</si>
  <si>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</si>
  <si>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</si>
  <si>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</si>
  <si>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</si>
  <si>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</si>
  <si>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</si>
  <si>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</si>
  <si>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</si>
  <si>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</si>
  <si>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</si>
  <si>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</si>
  <si>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</si>
  <si>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</si>
  <si>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</si>
  <si>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</si>
  <si>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</si>
  <si>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</si>
  <si>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</si>
  <si>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</si>
  <si>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</si>
  <si>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</si>
  <si>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</si>
  <si>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</si>
  <si>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</si>
  <si>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</si>
  <si>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</si>
  <si>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</si>
  <si>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</si>
  <si>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</si>
  <si>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</si>
  <si>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</si>
  <si>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</si>
  <si>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</si>
  <si>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</si>
  <si>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</si>
  <si>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</si>
  <si>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</si>
  <si>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</si>
  <si>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</si>
  <si>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</si>
  <si>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</si>
  <si>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</si>
  <si>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</si>
  <si>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</si>
  <si>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</si>
  <si>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</si>
  <si>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</si>
  <si>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</si>
  <si>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</si>
  <si>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</si>
  <si>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</si>
  <si>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</si>
  <si>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</si>
  <si>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</si>
  <si>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</si>
  <si>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</si>
  <si>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</si>
  <si>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</si>
  <si>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</si>
  <si>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</si>
  <si>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</si>
  <si>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</si>
  <si>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</si>
  <si>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</si>
  <si>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</si>
  <si>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</si>
  <si>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</si>
  <si>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</si>
  <si>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</si>
  <si>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</si>
  <si>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</si>
  <si>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</si>
  <si>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</si>
  <si>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</si>
  <si>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</si>
  <si>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</si>
  <si>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</si>
  <si>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</si>
  <si>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</si>
  <si>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</si>
  <si>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</si>
  <si>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</si>
  <si>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</si>
  <si>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</si>
  <si>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</si>
  <si>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</si>
  <si>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</si>
  <si>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</si>
  <si>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</si>
  <si>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</si>
  <si>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</si>
  <si>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</si>
  <si>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</si>
  <si>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</si>
  <si>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</si>
  <si>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</si>
  <si>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</si>
  <si>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</si>
  <si>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</si>
  <si>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</si>
  <si>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</si>
  <si>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</si>
  <si>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</si>
  <si>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</si>
  <si>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</si>
  <si>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</si>
  <si>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</si>
  <si>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</si>
  <si>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</si>
  <si>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</si>
  <si>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</si>
  <si>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</si>
  <si>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</si>
  <si>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</si>
  <si>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</si>
  <si>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</si>
  <si>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</si>
  <si>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</si>
  <si>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</si>
  <si>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</si>
  <si>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</si>
  <si>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</si>
  <si>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</si>
  <si>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</si>
  <si>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</si>
  <si>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</si>
  <si>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</si>
  <si>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</si>
  <si>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</si>
  <si>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</si>
  <si>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</si>
  <si>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</si>
  <si>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</si>
  <si>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</si>
  <si>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</si>
  <si>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</si>
  <si>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</si>
  <si>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</si>
  <si>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</si>
  <si>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</si>
  <si>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</si>
  <si>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</si>
  <si>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</si>
  <si>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</si>
  <si>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</si>
  <si>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</si>
  <si>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</si>
  <si>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</si>
  <si>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</si>
  <si>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</si>
  <si>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</si>
  <si>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</si>
  <si>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</si>
  <si>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</si>
  <si>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</si>
  <si>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</si>
  <si>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</si>
  <si>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</si>
  <si>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</si>
  <si>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</si>
  <si>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</si>
  <si>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</si>
  <si>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</si>
  <si>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</si>
  <si>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</si>
  <si>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</si>
  <si>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</si>
  <si>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</si>
  <si>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</si>
  <si>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</si>
  <si>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</si>
  <si>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</si>
  <si>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</si>
  <si>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</si>
  <si>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</si>
  <si>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</si>
  <si>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</si>
  <si>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</si>
  <si>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</si>
  <si>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</si>
  <si>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</si>
  <si>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</si>
  <si>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</si>
  <si>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</si>
  <si>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</si>
  <si>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</si>
  <si>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</si>
  <si>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</si>
  <si>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</si>
  <si>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</si>
  <si>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</si>
  <si>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</si>
  <si>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</si>
  <si>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</si>
  <si>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</si>
  <si>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</si>
  <si>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</si>
  <si>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</si>
  <si>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</si>
  <si>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</si>
  <si>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</si>
  <si>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</si>
  <si>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</si>
  <si>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</si>
  <si>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</si>
  <si>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</si>
  <si>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</si>
  <si>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</si>
  <si>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</si>
  <si>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</si>
  <si>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</si>
  <si>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</si>
  <si>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</si>
  <si>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</si>
  <si>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</si>
  <si>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</si>
  <si>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</si>
  <si>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</si>
  <si>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</si>
  <si>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</si>
  <si>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</si>
  <si>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</si>
  <si>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</si>
  <si>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</si>
  <si>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</si>
  <si>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</si>
  <si>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</si>
  <si>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</si>
  <si>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</si>
  <si>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</si>
  <si>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</si>
  <si>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</si>
  <si>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</si>
  <si>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</si>
  <si>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</si>
  <si>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</si>
  <si>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</si>
  <si>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</si>
  <si>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</si>
  <si>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</si>
  <si>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</si>
  <si>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</si>
  <si>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</si>
  <si>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</si>
  <si>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</si>
  <si>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</si>
  <si>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</si>
  <si>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</si>
  <si>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</si>
  <si>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</si>
  <si>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</si>
  <si>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</si>
  <si>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</si>
  <si>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</si>
  <si>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</si>
  <si>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</si>
  <si>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</si>
  <si>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</si>
  <si>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</si>
  <si>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</si>
  <si>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</si>
  <si>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</si>
  <si>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</si>
  <si>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</si>
  <si>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</si>
  <si>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</si>
  <si>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</si>
  <si>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</si>
  <si>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</si>
  <si>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</si>
  <si>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</si>
  <si>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</si>
  <si>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</si>
  <si>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</si>
  <si>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</si>
  <si>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</si>
  <si>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</si>
  <si>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</si>
  <si>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</si>
  <si>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</si>
  <si>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</si>
  <si>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</si>
  <si>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</si>
  <si>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</si>
  <si>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</si>
  <si>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</si>
  <si>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</si>
  <si>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</si>
  <si>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</si>
  <si>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</si>
  <si>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</si>
  <si>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</si>
  <si>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</si>
  <si>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</si>
  <si>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</si>
  <si>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</si>
  <si>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</si>
  <si>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</si>
  <si>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</si>
  <si>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</si>
  <si>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</si>
  <si>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</si>
  <si>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</si>
  <si>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</si>
  <si>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</si>
  <si>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</si>
  <si>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</si>
  <si>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</si>
  <si>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</si>
  <si>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</si>
  <si>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</si>
  <si>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</si>
  <si>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</si>
  <si>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</si>
  <si>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</si>
  <si>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</si>
  <si>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</si>
  <si>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</si>
  <si>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</si>
  <si>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</si>
  <si>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</si>
  <si>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</si>
  <si>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</si>
  <si>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</si>
  <si>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</si>
  <si>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</si>
  <si>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</si>
  <si>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</si>
  <si>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</si>
  <si>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</si>
  <si>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</si>
  <si>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</si>
  <si>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</si>
  <si>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</si>
  <si>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</si>
  <si>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</si>
  <si>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</si>
  <si>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</si>
  <si>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</si>
  <si>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</si>
  <si>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</si>
  <si>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</si>
  <si>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</si>
  <si>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</si>
  <si>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</si>
  <si>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</si>
  <si>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</si>
  <si>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</si>
  <si>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</si>
  <si>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</si>
  <si>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</si>
  <si>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</si>
  <si>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</si>
  <si>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</si>
  <si>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</si>
  <si>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</si>
  <si>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</si>
  <si>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</si>
  <si>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</si>
  <si>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</si>
  <si>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</si>
  <si>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</si>
  <si>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</si>
  <si>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</si>
  <si>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</si>
  <si>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</si>
  <si>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</si>
  <si>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</si>
  <si>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</si>
  <si>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</si>
  <si>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</si>
  <si>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</si>
  <si>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</si>
  <si>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</si>
  <si>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</si>
  <si>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</si>
  <si>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</si>
  <si>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</si>
  <si>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</si>
  <si>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</si>
  <si>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</si>
  <si>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</si>
  <si>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</si>
  <si>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</si>
  <si>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</si>
  <si>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</si>
  <si>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</si>
  <si>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</si>
  <si>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</si>
  <si>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</si>
  <si>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</si>
  <si>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</si>
  <si>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</si>
  <si>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</si>
  <si>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</si>
  <si>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</si>
  <si>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</si>
  <si>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</si>
  <si>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</si>
  <si>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</si>
  <si>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</si>
  <si>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</si>
  <si>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</si>
  <si>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</si>
  <si>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</si>
  <si>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</si>
  <si>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</si>
  <si>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</si>
  <si>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</si>
  <si>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</si>
  <si>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</si>
  <si>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</si>
  <si>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</si>
  <si>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</si>
  <si>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</si>
  <si>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</si>
  <si>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</si>
  <si>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</si>
  <si>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</si>
  <si>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</si>
  <si>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</si>
  <si>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</si>
  <si>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</si>
  <si>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</si>
  <si>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</si>
  <si>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</si>
  <si>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</si>
  <si>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</si>
  <si>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</si>
  <si>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</si>
  <si>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</si>
  <si>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</si>
  <si>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</si>
  <si>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</si>
  <si>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</si>
  <si>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</si>
  <si>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</si>
  <si>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</si>
  <si>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</si>
  <si>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</si>
  <si>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</si>
  <si>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</si>
  <si>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</si>
  <si>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</si>
  <si>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</si>
  <si>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</si>
  <si>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</si>
  <si>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</si>
  <si>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</si>
  <si>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</si>
  <si>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</si>
  <si>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</si>
  <si>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</si>
  <si>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</si>
  <si>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</si>
  <si>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</si>
  <si>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</si>
  <si>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</si>
  <si>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</si>
  <si>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</si>
  <si>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</si>
  <si>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</si>
  <si>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</si>
  <si>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</si>
  <si>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</si>
  <si>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</si>
  <si>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</si>
  <si>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</si>
  <si>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</si>
  <si>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</si>
  <si>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</si>
  <si>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</si>
  <si>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</si>
  <si>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</si>
  <si>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</si>
  <si>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</si>
  <si>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</si>
  <si>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</si>
  <si>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</si>
  <si>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</si>
  <si>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</si>
  <si>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</si>
  <si>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</si>
  <si>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</si>
  <si>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</si>
  <si>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</si>
  <si>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</si>
  <si>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</si>
  <si>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</si>
  <si>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</si>
  <si>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</si>
  <si>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</si>
  <si>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</si>
  <si>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</si>
  <si>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</si>
  <si>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</si>
  <si>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</si>
  <si>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</si>
  <si>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</si>
  <si>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</si>
  <si>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</si>
  <si>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</si>
  <si>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</si>
  <si>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</si>
  <si>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</si>
  <si>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</si>
  <si>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</si>
  <si>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</si>
  <si>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</si>
  <si>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</si>
  <si>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</si>
  <si>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</si>
  <si>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</si>
  <si>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</si>
  <si>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</si>
  <si>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</si>
  <si>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</si>
  <si>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</si>
  <si>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</si>
  <si>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</si>
  <si>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</si>
  <si>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</si>
  <si>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</si>
  <si>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</si>
  <si>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</si>
  <si>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</si>
  <si>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</si>
  <si>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</si>
  <si>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</si>
  <si>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</si>
  <si>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</si>
  <si>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</si>
  <si>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</si>
  <si>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</si>
  <si>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</si>
  <si>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</si>
  <si>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</si>
  <si>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</si>
  <si>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</si>
  <si>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</si>
  <si>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</si>
  <si>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</si>
  <si>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</si>
  <si>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</si>
  <si>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</si>
  <si>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</si>
  <si>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</si>
  <si>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</si>
  <si>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</si>
  <si>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</si>
  <si>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</si>
  <si>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</si>
  <si>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</si>
  <si>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</si>
  <si>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</si>
  <si>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</si>
  <si>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</si>
  <si>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</si>
  <si>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</si>
  <si>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</si>
  <si>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</si>
  <si>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</si>
  <si>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</si>
  <si>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</si>
  <si>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</si>
  <si>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</si>
  <si>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</si>
  <si>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</si>
  <si>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</si>
  <si>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</si>
  <si>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</si>
  <si>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</si>
  <si>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</si>
  <si>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</si>
  <si>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</si>
  <si>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</si>
  <si>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</si>
  <si>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</si>
  <si>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</si>
  <si>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</si>
  <si>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</si>
  <si>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</si>
  <si>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</si>
  <si>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</si>
  <si>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</si>
  <si>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</si>
  <si>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</si>
  <si>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</si>
  <si>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</si>
  <si>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</si>
  <si>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</si>
  <si>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</si>
  <si>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</si>
  <si>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</si>
  <si>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</si>
  <si>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</si>
  <si>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</si>
  <si>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</si>
  <si>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</si>
  <si>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</si>
  <si>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</si>
  <si>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</si>
  <si>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</si>
  <si>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</si>
  <si>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</si>
  <si>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</si>
  <si>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</si>
  <si>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</si>
  <si>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</si>
  <si>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</si>
  <si>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</si>
  <si>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</si>
  <si>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</si>
  <si>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</si>
  <si>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</si>
  <si>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</si>
  <si>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</si>
  <si>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</si>
  <si>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</si>
  <si>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</si>
  <si>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</si>
  <si>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</si>
  <si>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</si>
  <si>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</si>
  <si>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</si>
  <si>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</si>
  <si>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</si>
  <si>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</si>
  <si>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</si>
  <si>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</si>
  <si>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</si>
  <si>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</si>
  <si>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</si>
  <si>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</si>
  <si>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</si>
  <si>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</si>
  <si>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</si>
  <si>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</si>
  <si>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</si>
  <si>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</si>
  <si>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</si>
  <si>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</si>
  <si>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</si>
  <si>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</si>
  <si>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</si>
  <si>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</si>
  <si>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</si>
  <si>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</si>
  <si>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</si>
  <si>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</si>
  <si>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</si>
  <si>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</si>
  <si>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</si>
  <si>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</si>
  <si>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</si>
  <si>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</si>
  <si>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</si>
  <si>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</si>
  <si>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</si>
  <si>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</si>
  <si>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</si>
  <si>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</si>
  <si>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</si>
  <si>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</si>
  <si>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</si>
  <si>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</si>
  <si>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</si>
  <si>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</si>
  <si>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</si>
  <si>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</si>
  <si>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</si>
  <si>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</si>
  <si>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</si>
  <si>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</si>
  <si>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</si>
  <si>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</si>
  <si>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</si>
  <si>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</si>
  <si>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</si>
  <si>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</si>
  <si>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</si>
  <si>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</si>
  <si>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</si>
  <si>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</si>
  <si>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</si>
  <si>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</si>
  <si>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</si>
  <si>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</si>
  <si>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</si>
  <si>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</si>
  <si>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</si>
  <si>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</si>
  <si>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</si>
  <si>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</si>
  <si>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</si>
  <si>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</si>
  <si>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</si>
  <si>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</si>
  <si>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</si>
  <si>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</si>
  <si>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</si>
  <si>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</si>
  <si>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</si>
  <si>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</si>
  <si>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</si>
  <si>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</si>
  <si>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</si>
  <si>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</si>
  <si>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</si>
  <si>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</si>
  <si>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</si>
  <si>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</si>
  <si>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</si>
  <si>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</si>
  <si>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</si>
  <si>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</si>
  <si>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</si>
  <si>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</si>
  <si>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</si>
  <si>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</si>
  <si>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</si>
  <si>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</si>
  <si>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</si>
  <si>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</si>
  <si>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</si>
  <si>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</si>
  <si>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</si>
  <si>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</si>
  <si>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</si>
  <si>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</si>
  <si>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</si>
  <si>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</si>
  <si>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</si>
  <si>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</si>
  <si>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</si>
  <si>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</si>
  <si>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</si>
  <si>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</si>
  <si>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</si>
  <si>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</si>
  <si>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</si>
  <si>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</si>
  <si>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</si>
  <si>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</si>
  <si>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</si>
  <si>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</si>
  <si>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</si>
  <si>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</si>
  <si>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</si>
  <si>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</si>
  <si>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</si>
  <si>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</si>
  <si>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</si>
  <si>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</si>
  <si>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</si>
  <si>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</si>
  <si>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</si>
  <si>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</si>
  <si>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</si>
  <si>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</si>
  <si>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</si>
  <si>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</si>
  <si>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</si>
  <si>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</si>
  <si>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</si>
  <si>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</si>
  <si>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</si>
  <si>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</si>
  <si>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</si>
  <si>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</si>
  <si>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</si>
  <si>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</si>
  <si>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</si>
  <si>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</si>
  <si>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</si>
  <si>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</si>
  <si>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</si>
  <si>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</si>
  <si>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</si>
  <si>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</si>
  <si>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</si>
  <si>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</si>
  <si>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</si>
  <si>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</si>
  <si>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</si>
  <si>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</si>
  <si>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</si>
  <si>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</si>
  <si>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</si>
  <si>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</si>
  <si>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</si>
  <si>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</si>
  <si>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</si>
  <si>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</si>
  <si>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</si>
  <si>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</si>
  <si>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</si>
  <si>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</si>
  <si>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</si>
  <si>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</si>
  <si>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</si>
  <si>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</si>
  <si>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</si>
  <si>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</si>
  <si>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</si>
  <si>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</si>
  <si>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</si>
  <si>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</si>
  <si>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</si>
  <si>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</si>
  <si>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</si>
  <si>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</si>
  <si>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</si>
  <si>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</si>
  <si>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</si>
  <si>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</si>
  <si>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</si>
  <si>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</si>
  <si>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</si>
  <si>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</si>
  <si>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</si>
  <si>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</si>
  <si>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</si>
  <si>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</si>
  <si>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</si>
  <si>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</si>
  <si>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</si>
  <si>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</si>
  <si>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</si>
  <si>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</si>
  <si>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</si>
  <si>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</si>
  <si>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</si>
  <si>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</si>
  <si>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</si>
  <si>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</si>
  <si>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</si>
  <si>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</si>
  <si>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</si>
  <si>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</si>
  <si>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</si>
  <si>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</si>
  <si>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</si>
  <si>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</si>
  <si>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</si>
  <si>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</si>
  <si>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</si>
  <si>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</si>
  <si>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</si>
  <si>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</si>
  <si>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</si>
  <si>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</si>
  <si>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</si>
  <si>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</si>
  <si>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</si>
  <si>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</si>
  <si>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</si>
  <si>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</si>
  <si>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</si>
  <si>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</si>
  <si>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</si>
  <si>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</si>
  <si>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</si>
  <si>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</si>
  <si>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</si>
  <si>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</si>
  <si>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</si>
  <si>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</si>
  <si>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</si>
  <si>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</si>
  <si>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</si>
  <si>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</si>
  <si>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</si>
  <si>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</si>
  <si>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</si>
  <si>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</si>
  <si>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</si>
  <si>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</si>
  <si>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</si>
  <si>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</si>
  <si>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</si>
  <si>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</si>
  <si>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</si>
  <si>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</si>
  <si>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</si>
  <si>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</si>
  <si>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</si>
  <si>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</si>
  <si>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</si>
  <si>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</si>
  <si>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</si>
  <si>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</si>
  <si>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</si>
  <si>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</si>
  <si>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</si>
  <si>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</si>
  <si>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</si>
  <si>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</si>
  <si>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</si>
  <si>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</si>
  <si>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</si>
  <si>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</si>
  <si>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</si>
  <si>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</si>
  <si>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</si>
  <si>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</si>
  <si>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</si>
  <si>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</si>
  <si>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</si>
  <si>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</si>
  <si>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</si>
  <si>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</si>
  <si>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</si>
  <si>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</si>
  <si>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</si>
  <si>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</si>
  <si>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</si>
  <si>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</si>
  <si>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</si>
  <si>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</si>
  <si>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</si>
  <si>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</si>
  <si>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</si>
  <si>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</si>
  <si>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</si>
  <si>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</si>
  <si>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</si>
  <si>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</si>
  <si>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</si>
  <si>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</si>
  <si>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</si>
  <si>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</si>
  <si>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</si>
  <si>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</si>
  <si>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</si>
  <si>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</si>
  <si>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</si>
  <si>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</si>
  <si>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</si>
  <si>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</si>
  <si>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</si>
  <si>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</si>
  <si>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</si>
  <si>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</si>
  <si>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</si>
  <si>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</si>
  <si>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</si>
  <si>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</si>
  <si>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</si>
  <si>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</si>
  <si>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</si>
  <si>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</si>
  <si>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</si>
  <si>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</si>
  <si>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</si>
  <si>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</si>
  <si>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</si>
  <si>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</si>
  <si>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</si>
  <si>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</si>
  <si>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</si>
  <si>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</si>
  <si>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</si>
  <si>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</si>
  <si>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</si>
  <si>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</si>
  <si>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</si>
  <si>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</si>
  <si>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</si>
  <si>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</si>
  <si>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</si>
  <si>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</si>
  <si>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</si>
  <si>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</si>
  <si>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</si>
  <si>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</si>
  <si>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</si>
  <si>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</si>
  <si>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</si>
  <si>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</si>
  <si>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</si>
  <si>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</si>
  <si>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</si>
  <si>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</si>
  <si>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</si>
  <si>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</si>
  <si>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</si>
  <si>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</si>
  <si>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</si>
  <si>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</si>
  <si>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</si>
  <si>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</si>
  <si>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</si>
  <si>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</si>
  <si>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</si>
  <si>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</si>
  <si>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</si>
  <si>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</si>
  <si>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</si>
  <si>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</si>
  <si>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</si>
  <si>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</si>
  <si>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</si>
  <si>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</si>
  <si>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</si>
  <si>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</si>
  <si>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</si>
  <si>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</si>
  <si>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</si>
  <si>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</si>
  <si>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</si>
  <si>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</si>
  <si>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</si>
  <si>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</si>
  <si>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</si>
  <si>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</si>
  <si>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</si>
  <si>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</si>
  <si>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</si>
  <si>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</si>
  <si>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</si>
  <si>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</si>
  <si>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</si>
  <si>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</si>
  <si>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</si>
  <si>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</si>
  <si>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</si>
  <si>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</si>
  <si>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</si>
  <si>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</si>
  <si>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</si>
  <si>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</si>
  <si>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</si>
  <si>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</si>
  <si>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</si>
  <si>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</si>
  <si>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</si>
  <si>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</si>
  <si>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</si>
  <si>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</si>
  <si>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</si>
  <si>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</si>
  <si>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</si>
  <si>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</si>
  <si>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</si>
  <si>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</si>
  <si>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</si>
  <si>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</si>
  <si>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</si>
  <si>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</si>
  <si>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</si>
  <si>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</si>
  <si>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</si>
  <si>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</si>
  <si>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</si>
  <si>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</si>
  <si>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</si>
  <si>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</si>
  <si>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</si>
  <si>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</si>
  <si>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</si>
  <si>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</si>
  <si>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</si>
  <si>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</si>
  <si>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</si>
  <si>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</si>
  <si>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</si>
  <si>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</si>
  <si>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</si>
  <si>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</si>
  <si>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</si>
  <si>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</si>
  <si>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</si>
  <si>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</si>
  <si>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</si>
  <si>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</si>
  <si>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</si>
  <si>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</si>
  <si>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</si>
  <si>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</si>
  <si>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</si>
  <si>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</si>
  <si>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</si>
  <si>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</si>
  <si>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</si>
  <si>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</si>
  <si>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</si>
  <si>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</si>
  <si>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</si>
  <si>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</si>
  <si>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</si>
  <si>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</si>
  <si>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</si>
  <si>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</si>
  <si>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</si>
  <si>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</si>
  <si>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</si>
  <si>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</si>
  <si>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</si>
  <si>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</si>
  <si>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</si>
  <si>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</si>
  <si>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</si>
  <si>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</si>
  <si>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</si>
  <si>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</si>
  <si>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</si>
  <si>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</si>
  <si>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</si>
  <si>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</si>
  <si>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</si>
  <si>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</si>
  <si>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</si>
  <si>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</si>
  <si>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</si>
  <si>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</si>
  <si>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</si>
  <si>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</si>
  <si>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</si>
  <si>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</si>
  <si>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</si>
  <si>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</si>
  <si>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</si>
  <si>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</si>
  <si>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</si>
  <si>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</si>
  <si>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</si>
  <si>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</si>
  <si>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</si>
  <si>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</si>
  <si>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</si>
  <si>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</si>
  <si>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</si>
  <si>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</si>
  <si>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</si>
  <si>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</si>
  <si>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</si>
  <si>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</si>
  <si>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</si>
  <si>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</si>
  <si>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</si>
  <si>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</si>
  <si>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</si>
  <si>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</si>
  <si>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</si>
  <si>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</si>
  <si>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</si>
  <si>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</si>
  <si>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</si>
  <si>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</si>
  <si>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</si>
  <si>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</si>
  <si>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</si>
  <si>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</si>
  <si>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</si>
  <si>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</si>
  <si>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</si>
  <si>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</si>
  <si>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</si>
  <si>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</si>
  <si>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</si>
  <si>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</si>
  <si>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</si>
  <si>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</si>
  <si>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</si>
  <si>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</si>
  <si>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</si>
  <si>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</si>
  <si>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</si>
  <si>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</si>
  <si>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</si>
  <si>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</si>
  <si>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</si>
  <si>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</si>
  <si>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</si>
  <si>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</si>
  <si>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</si>
  <si>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</si>
  <si>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</si>
  <si>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</si>
  <si>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</si>
  <si>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</si>
  <si>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</si>
  <si>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</si>
  <si>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</si>
  <si>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</si>
  <si>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</si>
  <si>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</si>
  <si>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</si>
  <si>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</si>
  <si>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</si>
  <si>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</si>
  <si>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</si>
  <si>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</si>
  <si>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</si>
  <si>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</si>
  <si>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</si>
  <si>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</si>
  <si>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</si>
  <si>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</si>
  <si>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</si>
  <si>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</si>
  <si>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</si>
  <si>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</si>
  <si>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</si>
  <si>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</si>
  <si>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</si>
  <si>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</si>
  <si>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</si>
  <si>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</si>
  <si>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</si>
  <si>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</si>
  <si>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</si>
  <si>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</si>
  <si>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</si>
  <si>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</si>
  <si>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</si>
  <si>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</si>
  <si>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</si>
  <si>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</si>
  <si>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</si>
  <si>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</si>
  <si>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</si>
  <si>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</si>
  <si>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</si>
  <si>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</si>
  <si>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</si>
  <si>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</si>
  <si>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</si>
  <si>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</si>
  <si>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</si>
  <si>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</si>
  <si>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</si>
  <si>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</si>
  <si>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</si>
  <si>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</si>
  <si>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</si>
  <si>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</si>
  <si>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</si>
  <si>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</si>
  <si>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</si>
  <si>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</si>
  <si>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</si>
  <si>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</si>
  <si>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</si>
  <si>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</si>
  <si>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</si>
  <si>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</si>
  <si>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</si>
  <si>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</si>
  <si>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</si>
  <si>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</si>
  <si>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</si>
  <si>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</si>
  <si>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</si>
  <si>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</si>
  <si>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</si>
  <si>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</si>
  <si>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</si>
  <si>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</si>
  <si>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</si>
  <si>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</si>
  <si>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</si>
  <si>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</si>
  <si>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</si>
  <si>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</si>
  <si>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</si>
  <si>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</si>
  <si>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</si>
  <si>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</si>
  <si>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</si>
  <si>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</si>
  <si>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</si>
  <si>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</si>
  <si>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</si>
  <si>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</si>
  <si>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</si>
  <si>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</si>
  <si>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</si>
  <si>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</si>
  <si>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</si>
  <si>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</si>
  <si>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</si>
  <si>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</si>
  <si>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</si>
  <si>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</si>
  <si>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</si>
  <si>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</si>
  <si>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</si>
  <si>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</si>
  <si>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</si>
  <si>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</si>
  <si>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</si>
  <si>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</si>
  <si>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</si>
  <si>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</si>
  <si>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</si>
  <si>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</si>
  <si>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</si>
  <si>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</si>
  <si>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</si>
  <si>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</si>
  <si>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</si>
  <si>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</si>
  <si>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</si>
  <si>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</si>
  <si>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</si>
  <si>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</si>
  <si>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</si>
  <si>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</si>
  <si>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</si>
  <si>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</si>
  <si>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</si>
  <si>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</si>
  <si>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</si>
  <si>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</si>
  <si>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</si>
  <si>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</si>
  <si>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</si>
  <si>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</si>
  <si>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</si>
  <si>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</si>
  <si>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</si>
  <si>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</si>
  <si>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</si>
  <si>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</si>
  <si>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</si>
  <si>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</si>
  <si>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</si>
  <si>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</si>
  <si>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</si>
  <si>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</si>
  <si>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</si>
  <si>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</si>
  <si>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</si>
  <si>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</si>
  <si>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</si>
  <si>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</si>
  <si>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</si>
  <si>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</si>
  <si>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</si>
  <si>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</si>
  <si>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</si>
  <si>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</si>
  <si>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</si>
  <si>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</si>
  <si>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</si>
  <si>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</si>
  <si>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</si>
  <si>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</si>
  <si>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</si>
  <si>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</si>
  <si>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</si>
  <si>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</si>
  <si>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</si>
  <si>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</si>
  <si>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</si>
  <si>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</si>
  <si>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</si>
  <si>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</si>
  <si>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</si>
  <si>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</si>
  <si>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</si>
  <si>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</si>
  <si>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</si>
  <si>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</si>
  <si>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</si>
  <si>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</si>
  <si>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</si>
  <si>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</si>
  <si>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</si>
  <si>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</si>
  <si>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</si>
  <si>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</si>
  <si>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</si>
  <si>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</si>
  <si>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</si>
  <si>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</si>
  <si>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</si>
  <si>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</si>
  <si>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</si>
  <si>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</si>
  <si>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</si>
  <si>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</si>
  <si>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</si>
  <si>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</si>
  <si>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</si>
  <si>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</si>
  <si>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</si>
  <si>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</si>
  <si>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</si>
  <si>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</si>
  <si>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</si>
  <si>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</si>
  <si>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</si>
  <si>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</si>
  <si>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</si>
  <si>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</si>
  <si>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</si>
  <si>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</si>
  <si>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</si>
  <si>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</si>
  <si>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</si>
  <si>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</si>
  <si>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</si>
  <si>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</si>
  <si>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</si>
  <si>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</si>
  <si>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</si>
  <si>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</si>
  <si>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</si>
  <si>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</si>
  <si>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</si>
  <si>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</si>
  <si>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</si>
  <si>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</si>
  <si>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</si>
  <si>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</si>
  <si>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</si>
  <si>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</si>
  <si>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</si>
  <si>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</si>
  <si>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</si>
  <si>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</si>
  <si>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</si>
  <si>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</si>
  <si>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</si>
  <si>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</si>
  <si>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</si>
  <si>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</si>
  <si>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</si>
  <si>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</si>
  <si>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</si>
  <si>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</si>
  <si>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</si>
  <si>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</si>
  <si>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</si>
  <si>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</si>
  <si>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</si>
  <si>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</si>
  <si>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</si>
  <si>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</si>
  <si>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</si>
  <si>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</si>
  <si>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</si>
  <si>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</si>
  <si>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</si>
  <si>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</si>
  <si>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</si>
  <si>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</si>
  <si>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</si>
  <si>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</si>
  <si>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</si>
  <si>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</si>
  <si>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</si>
  <si>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</si>
  <si>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</si>
  <si>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</si>
  <si>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</si>
  <si>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</si>
  <si>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</si>
  <si>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</si>
  <si>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</si>
  <si>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</si>
  <si>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</si>
  <si>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</si>
  <si>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</si>
  <si>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</si>
  <si>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</si>
  <si>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</si>
  <si>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</si>
  <si>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</si>
  <si>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</si>
  <si>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</si>
  <si>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</si>
  <si>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</si>
  <si>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</si>
  <si>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</si>
  <si>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</si>
  <si>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</si>
  <si>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</si>
  <si>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</si>
  <si>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</si>
  <si>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</si>
  <si>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</si>
  <si>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44-063-0360-02</t>
  </si>
  <si>
    <t>MCHENRY</t>
  </si>
  <si>
    <t>6809 MCCULLOM LAKE ROAD</t>
  </si>
  <si>
    <t>WONDER LAKE</t>
  </si>
  <si>
    <t>SWINGS@HSD36.ORG</t>
  </si>
  <si>
    <t>EDER, CASELLA &amp; CO.</t>
  </si>
  <si>
    <t>5400 WEST ELM STREET, SUITE 203</t>
  </si>
  <si>
    <t>IL</t>
  </si>
  <si>
    <t>815-344-1300</t>
  </si>
  <si>
    <t>815-344-1320</t>
  </si>
  <si>
    <t>066-005142</t>
  </si>
  <si>
    <t>CPAS@EDERCASELLA.COM</t>
  </si>
  <si>
    <t>CHERYDEN JUERGENSEN</t>
  </si>
  <si>
    <t>SUSAN WINGS</t>
  </si>
  <si>
    <t>815-653-2311</t>
  </si>
  <si>
    <t>815-653-1712</t>
  </si>
  <si>
    <t>LIMITED TAX SCHOOL BONDS, SEREIES 2009</t>
  </si>
  <si>
    <t>x</t>
  </si>
  <si>
    <t>GCA Services Group, Inc.</t>
  </si>
  <si>
    <t>Health &amp; Dental Broker - Weiss Insurance, TSA Consulting</t>
  </si>
  <si>
    <t>Preferred Meals Systems, Inc.</t>
  </si>
  <si>
    <t>Illinois Energy Consortium</t>
  </si>
  <si>
    <t>ASPMG Inc.</t>
  </si>
  <si>
    <t>CLIC Cooperative</t>
  </si>
  <si>
    <t>PMA</t>
  </si>
  <si>
    <t>Hodges, Loizzi, Eisenhammer, Rodick &amp; Kohn</t>
  </si>
  <si>
    <t>Altholff Industries, HoH Water Technology, Therm Flo Inc., Jensen's</t>
  </si>
  <si>
    <t>SEDOM</t>
  </si>
  <si>
    <t>PLTW, Code to the Future</t>
  </si>
  <si>
    <t>Get Funded, Unified Concepts</t>
  </si>
  <si>
    <t xml:space="preserve">McHenry District 15 </t>
  </si>
  <si>
    <t>Lakeside Transportation, Ride-On Transit, 1st Choice Transit (PY)</t>
  </si>
  <si>
    <t>Page 10, Line 78 - Admissions - Other</t>
  </si>
  <si>
    <t>PE Uniforms</t>
  </si>
  <si>
    <t>Page 10, Line 81 - Other District/School Activity Revenue</t>
  </si>
  <si>
    <t>Field Trips</t>
  </si>
  <si>
    <t>Page 10, Line 92 - Other Textbook Income</t>
  </si>
  <si>
    <t>Technology Purchases</t>
  </si>
  <si>
    <t>Page 12, Line 171 - Other Restricted Revenue from State Sources</t>
  </si>
  <si>
    <t>REAP Deposit</t>
  </si>
  <si>
    <t>E-Rate Payments, and Miscellaneous Local Revenues</t>
  </si>
  <si>
    <t>State Library Grant</t>
  </si>
  <si>
    <t>Special Education Bilingual Speech Evaluation</t>
  </si>
  <si>
    <t>Ed Fund - Page 16, Line 73 - Other Support Services</t>
  </si>
  <si>
    <t>Medicaid Outreach</t>
  </si>
  <si>
    <t>Bond Fees</t>
  </si>
  <si>
    <t>Tort - General Admin - Insurance</t>
  </si>
  <si>
    <t>CLIC</t>
  </si>
  <si>
    <t>Ed- Instruction - Purchased Services</t>
  </si>
  <si>
    <t>Code to the Future</t>
  </si>
  <si>
    <t>10-1250-300</t>
  </si>
  <si>
    <t>O&amp;M - Oper &amp; Maint - Purchased Services</t>
  </si>
  <si>
    <t>20-2540-300</t>
  </si>
  <si>
    <t>GCA Services Group</t>
  </si>
  <si>
    <t>Tort - General Admin -Attorney</t>
  </si>
  <si>
    <t>80-2364-300</t>
  </si>
  <si>
    <t>Ed- Food Services - Purchased Services</t>
  </si>
  <si>
    <t>10-2560-300</t>
  </si>
  <si>
    <t>Preferred Meals</t>
  </si>
  <si>
    <t xml:space="preserve">Trans - Pupil Transportation - Purchased Services </t>
  </si>
  <si>
    <t>40-2550-300</t>
  </si>
  <si>
    <t>Ride-On Transportation</t>
  </si>
  <si>
    <t>Lakeside Transportation</t>
  </si>
  <si>
    <t>Ed - Instructional Staff- Purchased Services</t>
  </si>
  <si>
    <t>10-2220-300</t>
  </si>
  <si>
    <t>Unified Concepts</t>
  </si>
  <si>
    <t>Page 14, Line 272 - Other Restricted Revenue from Federal Sources</t>
  </si>
  <si>
    <t>DS Fund - Page 18, Line 171 - Debt Services - Other</t>
  </si>
  <si>
    <t>Ed Fund - Page 15, Line 41 - Other Support Services - Pupils</t>
  </si>
  <si>
    <t>Eder, Casella &amp; Co.</t>
  </si>
  <si>
    <t>Page 11, Line 107 - Other Local Revenues</t>
  </si>
  <si>
    <t>Harrison SD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</si>
</sst>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41" fillId="31" borderId="0" applyNumberFormat="0" applyBorder="0" applyAlignment="0" applyProtection="0"/>
    <xf numFmtId="0" fontId="141" fillId="35"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28" borderId="0" applyNumberFormat="0" applyBorder="0" applyAlignment="0" applyProtection="0"/>
    <xf numFmtId="0" fontId="141" fillId="32" borderId="0" applyNumberFormat="0" applyBorder="0" applyAlignment="0" applyProtection="0"/>
    <xf numFmtId="0" fontId="153" fillId="32"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6"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41" fillId="31" borderId="0" applyNumberFormat="0" applyBorder="0" applyAlignment="0" applyProtection="0"/>
    <xf numFmtId="0" fontId="141" fillId="38"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194" fontId="161" fillId="0" borderId="0" applyFill="0" applyBorder="0" applyProtection="0">
      <alignment horizontal="right"/>
    </xf>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cellStyleXfs>
  <cellXfs count="250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268</xdr:row>
          <xdr:rowOff>0</xdr:rowOff>
        </xdr:from>
        <xdr:to>
          <xdr:col>9</xdr:col>
          <xdr:colOff>304800</xdr:colOff>
          <xdr:row>272</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t="s">
        <v>2078</v>
      </c>
      <c r="B13" s="2004"/>
      <c r="C13" s="2004"/>
      <c r="D13" s="2004"/>
      <c r="E13" s="2004"/>
      <c r="F13" s="2004"/>
      <c r="G13" s="2004"/>
      <c r="H13" s="2005"/>
      <c r="I13" s="31"/>
      <c r="J13" s="30"/>
      <c r="K13" s="28"/>
      <c r="L13" s="30"/>
      <c r="M13" s="30"/>
      <c r="N13" s="30"/>
      <c r="O13" s="30"/>
      <c r="P13" s="30"/>
      <c r="Q13" s="30"/>
      <c r="R13" s="30"/>
      <c r="S13" s="30"/>
      <c r="T13" s="2008" t="s">
        <v>2083</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2079</v>
      </c>
      <c r="B15" s="2006"/>
      <c r="C15" s="2006"/>
      <c r="D15" s="2006"/>
      <c r="E15" s="2006"/>
      <c r="F15" s="2006"/>
      <c r="G15" s="2006"/>
      <c r="H15" s="2007"/>
      <c r="T15" s="1969" t="s">
        <v>2090</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2149</v>
      </c>
      <c r="B17" s="2031"/>
      <c r="C17" s="2031"/>
      <c r="D17" s="2031"/>
      <c r="E17" s="2031"/>
      <c r="F17" s="2031"/>
      <c r="G17" s="2031"/>
      <c r="H17" s="2032"/>
      <c r="T17" s="2018" t="s">
        <v>2084</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2080</v>
      </c>
      <c r="B19" s="2002"/>
      <c r="C19" s="2002"/>
      <c r="D19" s="2002"/>
      <c r="E19" s="2002"/>
      <c r="F19" s="2002"/>
      <c r="G19" s="2002"/>
      <c r="H19" s="2000"/>
      <c r="I19" s="30"/>
      <c r="J19" s="99"/>
      <c r="K19" s="40"/>
      <c r="L19" s="38"/>
      <c r="M19" s="112" t="s">
        <v>333</v>
      </c>
      <c r="P19" s="27"/>
      <c r="Q19" s="27"/>
      <c r="R19" s="27"/>
      <c r="S19" s="31"/>
      <c r="T19" s="2001" t="s">
        <v>2079</v>
      </c>
      <c r="U19" s="1999"/>
      <c r="V19" s="1999"/>
      <c r="W19" s="2000"/>
      <c r="X19" s="2016" t="s">
        <v>2085</v>
      </c>
      <c r="Y19" s="2017"/>
      <c r="Z19" s="2014">
        <v>60050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2081</v>
      </c>
      <c r="B21" s="1999"/>
      <c r="C21" s="1999"/>
      <c r="D21" s="1999"/>
      <c r="E21" s="1999"/>
      <c r="F21" s="1999"/>
      <c r="G21" s="1999"/>
      <c r="H21" s="2000"/>
      <c r="I21" s="2024" t="s">
        <v>699</v>
      </c>
      <c r="J21" s="1987"/>
      <c r="K21" s="1987"/>
      <c r="L21" s="1987"/>
      <c r="M21" s="1987"/>
      <c r="N21" s="1987"/>
      <c r="O21" s="1987"/>
      <c r="P21" s="1987"/>
      <c r="Q21" s="1987"/>
      <c r="R21" s="1987"/>
      <c r="S21" s="1988"/>
      <c r="T21" s="1966" t="s">
        <v>2086</v>
      </c>
      <c r="U21" s="1967"/>
      <c r="V21" s="1967"/>
      <c r="W21" s="1967"/>
      <c r="X21" s="1980" t="s">
        <v>2087</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2082</v>
      </c>
      <c r="B23" s="2022"/>
      <c r="C23" s="2022"/>
      <c r="D23" s="2022"/>
      <c r="E23" s="2022"/>
      <c r="F23" s="2022"/>
      <c r="G23" s="2022"/>
      <c r="H23" s="2023"/>
      <c r="T23" s="1961" t="s">
        <v>2088</v>
      </c>
      <c r="U23" s="1962"/>
      <c r="V23" s="1962"/>
      <c r="W23" s="1962"/>
      <c r="X23" s="1977">
        <v>43434</v>
      </c>
      <c r="Y23" s="1978"/>
      <c r="Z23" s="1978"/>
      <c r="AA23" s="1979"/>
    </row>
    <row r="24" spans="1:27" ht="14.1" customHeight="1" x14ac:dyDescent="0.2">
      <c r="A24" s="88" t="s">
        <v>698</v>
      </c>
      <c r="B24" s="49"/>
      <c r="C24" s="49"/>
      <c r="D24" s="49"/>
      <c r="E24" s="49"/>
      <c r="F24" s="49"/>
      <c r="G24" s="49"/>
      <c r="H24" s="61"/>
      <c r="J24" s="2063" t="str">
        <f>IF(B5="x",IF(AUDITCHECK!D29="AFR form Incomplete.","",IF(AUDITCHECK!D29="Deficit reduction plan is required.","School District must complete a deficit reduction plan in the 2018-2019 Budget",)),"")</f>
        <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60097</v>
      </c>
      <c r="B25" s="1999"/>
      <c r="C25" s="1999"/>
      <c r="D25" s="1999"/>
      <c r="E25" s="1999"/>
      <c r="F25" s="1999"/>
      <c r="G25" s="1999"/>
      <c r="H25" s="2000"/>
      <c r="I25" s="113"/>
      <c r="J25" s="2065"/>
      <c r="K25" s="2065"/>
      <c r="L25" s="2065"/>
      <c r="M25" s="2065"/>
      <c r="N25" s="2065"/>
      <c r="O25" s="2065"/>
      <c r="P25" s="2065"/>
      <c r="Q25" s="2065"/>
      <c r="R25" s="2065"/>
      <c r="S25" s="2066"/>
      <c r="T25" s="1958" t="s">
        <v>2089</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2091</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2082</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2092</v>
      </c>
      <c r="B42" s="2048"/>
      <c r="C42" s="2049"/>
      <c r="D42" s="2062" t="s">
        <v>2093</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I269" sqref="I26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2169369</v>
      </c>
      <c r="C4" s="1546">
        <v>1160534</v>
      </c>
      <c r="D4" s="1774">
        <f>B4-C4</f>
        <v>1008835</v>
      </c>
      <c r="E4" s="1546">
        <v>2161450</v>
      </c>
      <c r="F4" s="1774">
        <f>E4-C4</f>
        <v>1000916</v>
      </c>
    </row>
    <row r="5" spans="1:6" ht="13.7" customHeight="1" x14ac:dyDescent="0.2">
      <c r="A5" s="716" t="s">
        <v>925</v>
      </c>
      <c r="B5" s="1772">
        <f>'Revenues 9-14'!D5</f>
        <v>340901</v>
      </c>
      <c r="C5" s="585">
        <v>182370</v>
      </c>
      <c r="D5" s="1775">
        <f t="shared" ref="D5:D18" si="0">B5-C5</f>
        <v>158531</v>
      </c>
      <c r="E5" s="585">
        <v>339657</v>
      </c>
      <c r="F5" s="1775">
        <f>E5-C5</f>
        <v>157287</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405884</v>
      </c>
      <c r="C7" s="585">
        <v>214770</v>
      </c>
      <c r="D7" s="1775">
        <f t="shared" si="0"/>
        <v>191114</v>
      </c>
      <c r="E7" s="585">
        <v>400000</v>
      </c>
      <c r="F7" s="1775">
        <f t="shared" si="1"/>
        <v>185230</v>
      </c>
    </row>
    <row r="8" spans="1:6" ht="13.7" customHeight="1" x14ac:dyDescent="0.2">
      <c r="A8" s="716" t="s">
        <v>1241</v>
      </c>
      <c r="B8" s="1772">
        <f>'Revenues 9-14'!G5</f>
        <v>24078</v>
      </c>
      <c r="C8" s="585"/>
      <c r="D8" s="1775">
        <f t="shared" si="0"/>
        <v>24078</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30990</v>
      </c>
      <c r="C10" s="585">
        <v>16579</v>
      </c>
      <c r="D10" s="1775">
        <f t="shared" si="0"/>
        <v>14411</v>
      </c>
      <c r="E10" s="585">
        <v>30879</v>
      </c>
      <c r="F10" s="1775">
        <f t="shared" si="1"/>
        <v>14300</v>
      </c>
    </row>
    <row r="11" spans="1:6" x14ac:dyDescent="0.2">
      <c r="A11" s="716" t="s">
        <v>429</v>
      </c>
      <c r="B11" s="1772">
        <f>'Revenues 9-14'!J5</f>
        <v>41293</v>
      </c>
      <c r="C11" s="585">
        <v>26847</v>
      </c>
      <c r="D11" s="1775">
        <f t="shared" si="0"/>
        <v>14446</v>
      </c>
      <c r="E11" s="585">
        <v>50000</v>
      </c>
      <c r="F11" s="1775">
        <f t="shared" si="1"/>
        <v>23153</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247929</v>
      </c>
      <c r="C14" s="585">
        <v>132633</v>
      </c>
      <c r="D14" s="1775">
        <f t="shared" si="0"/>
        <v>115296</v>
      </c>
      <c r="E14" s="585">
        <v>247024</v>
      </c>
      <c r="F14" s="1775">
        <f t="shared" si="1"/>
        <v>114391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51776</v>
      </c>
      <c r="C16" s="585">
        <v>27699</v>
      </c>
      <c r="D16" s="1775">
        <f t="shared" si="0"/>
        <v>24077</v>
      </c>
      <c r="E16" s="585">
        <v>51589</v>
      </c>
      <c r="F16" s="1775">
        <f t="shared" si="1"/>
        <v>23890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3312220</v>
      </c>
      <c r="C19" s="1773">
        <f>SUM(C4:C18)</f>
        <v>1761432</v>
      </c>
      <c r="D19" s="1773">
        <f>SUM(D4:D18)</f>
        <v>1550788</v>
      </c>
      <c r="E19" s="1773">
        <f>SUM(E4:E18)</f>
        <v>3280599</v>
      </c>
      <c r="F19" s="1773">
        <f>SUM(F4:F18)</f>
        <v>1519167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28" colorId="8" zoomScale="110" zoomScaleNormal="110" workbookViewId="0">
      <selection activeCell="I269" sqref="I26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8" t="s">
        <v>2038</v>
      </c>
      <c r="D2" s="724" t="s">
        <v>2045</v>
      </c>
      <c r="E2" s="724" t="s">
        <v>2046</v>
      </c>
      <c r="F2" s="1908" t="s">
        <v>2039</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7">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4" t="s">
        <v>652</v>
      </c>
      <c r="B15" s="2205"/>
      <c r="C15" s="1777">
        <f>SUM(C6:C14)</f>
        <v>0</v>
      </c>
      <c r="D15" s="1777">
        <f>SUM(D6:D14)</f>
        <v>0</v>
      </c>
      <c r="E15" s="1777">
        <f>SUM(E6:E14)</f>
        <v>0</v>
      </c>
      <c r="F15" s="1777">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406</v>
      </c>
      <c r="B19" s="2228"/>
      <c r="C19" s="727"/>
      <c r="D19" s="585"/>
      <c r="E19" s="727"/>
      <c r="F19" s="1777">
        <f>SUM(C19+D19)-E19</f>
        <v>0</v>
      </c>
    </row>
    <row r="20" spans="1:11" ht="12.75" customHeight="1" thickTop="1" thickBot="1" x14ac:dyDescent="0.25">
      <c r="A20" s="2227" t="s">
        <v>468</v>
      </c>
      <c r="B20" s="2228"/>
      <c r="C20" s="727"/>
      <c r="D20" s="585"/>
      <c r="E20" s="727"/>
      <c r="F20" s="1777">
        <f>SUM(C20+D20)-E20</f>
        <v>0</v>
      </c>
    </row>
    <row r="21" spans="1:11" ht="14.25" thickTop="1" thickBot="1" x14ac:dyDescent="0.25">
      <c r="A21" s="2204" t="s">
        <v>653</v>
      </c>
      <c r="B21" s="2205"/>
      <c r="C21" s="1777">
        <f>SUM(C17:C20)</f>
        <v>0</v>
      </c>
      <c r="D21" s="1777">
        <f>SUM(D17:D20)</f>
        <v>0</v>
      </c>
      <c r="E21" s="1777">
        <f>SUM(E17:E20)</f>
        <v>0</v>
      </c>
      <c r="F21" s="1777">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7">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7">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7">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2094</v>
      </c>
      <c r="B31" s="734">
        <v>40036</v>
      </c>
      <c r="C31" s="735">
        <v>1500000</v>
      </c>
      <c r="D31" s="736">
        <v>1</v>
      </c>
      <c r="E31" s="735">
        <v>1095000</v>
      </c>
      <c r="F31" s="735"/>
      <c r="G31" s="735"/>
      <c r="H31" s="735">
        <v>1095000</v>
      </c>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1500000</v>
      </c>
      <c r="D49" s="746"/>
      <c r="E49" s="1778">
        <f t="shared" ref="E49:J49" si="2">SUM(E31:E48)</f>
        <v>1095000</v>
      </c>
      <c r="F49" s="1778">
        <f t="shared" si="2"/>
        <v>0</v>
      </c>
      <c r="G49" s="1778">
        <f t="shared" si="2"/>
        <v>0</v>
      </c>
      <c r="H49" s="1778">
        <f t="shared" si="2"/>
        <v>1095000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pageSetUpPr fitToPage="1"/>
  </sheetPr>
  <dimension ref="A1:K48"/>
  <sheetViews>
    <sheetView showGridLines="0" defaultGridColor="0" topLeftCell="A4" colorId="8" zoomScale="110" zoomScaleNormal="110" workbookViewId="0">
      <selection activeCell="I269" sqref="I26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f>'Revenues 9-14'!C7</f>
        <v>247929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9"/>
      <c r="G12" s="1780">
        <f>SUM(G5:G11)</f>
        <v>0</v>
      </c>
      <c r="H12" s="1780">
        <f>SUM(H5:H11)</f>
        <v>247929</v>
      </c>
      <c r="I12" s="1780">
        <f>SUM(I5:I11)</f>
        <v>0</v>
      </c>
      <c r="J12" s="1780">
        <f>SUM(J5:J11)</f>
        <v>0</v>
      </c>
      <c r="K12" s="1780">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247929</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1"/>
      <c r="G21" s="793"/>
      <c r="H21" s="797"/>
      <c r="I21" s="797"/>
      <c r="J21" s="1782">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3"/>
      <c r="G23" s="1780">
        <f>SUM(G14:G16,G21,G22)</f>
        <v>0</v>
      </c>
      <c r="H23" s="1780">
        <f>SUM(H14:H16,H21,H22)</f>
        <v>247929</v>
      </c>
      <c r="I23" s="1780">
        <f>SUM(I14:I16,I21,I22)</f>
        <v>0</v>
      </c>
      <c r="J23" s="1780">
        <f>SUM(J14:J16,J21,J22)</f>
        <v>0</v>
      </c>
      <c r="K23" s="1780">
        <f>SUM(K14:K16,K21,K22)</f>
        <v>0</v>
      </c>
    </row>
    <row r="24" spans="1:11" ht="14.25" thickTop="1" thickBot="1" x14ac:dyDescent="0.25">
      <c r="A24" s="2252" t="s">
        <v>2026</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73" bottom="0.4" header="0.42"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topLeftCell="B1" colorId="8" zoomScale="110" zoomScaleNormal="110" workbookViewId="0">
      <selection activeCell="I269" sqref="I26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24363</v>
      </c>
      <c r="D5" s="842"/>
      <c r="E5" s="842"/>
      <c r="F5" s="1782">
        <f>(C5+D5)-E5</f>
        <v>24363</v>
      </c>
      <c r="G5" s="838"/>
      <c r="H5" s="843"/>
      <c r="I5" s="843"/>
      <c r="J5" s="843"/>
      <c r="K5" s="794"/>
      <c r="L5" s="1791">
        <f>F5-K5</f>
        <v>24363</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6446170</v>
      </c>
      <c r="D8" s="845">
        <v>67255</v>
      </c>
      <c r="E8" s="845"/>
      <c r="F8" s="1782">
        <f>(C8+D8)-E8</f>
        <v>6513425</v>
      </c>
      <c r="G8" s="844">
        <v>50</v>
      </c>
      <c r="H8" s="766">
        <v>3228700</v>
      </c>
      <c r="I8" s="766">
        <v>232008</v>
      </c>
      <c r="J8" s="766"/>
      <c r="K8" s="1791">
        <f>(H8+I8)-J8</f>
        <v>3460708</v>
      </c>
      <c r="L8" s="1791">
        <f>F8-K8</f>
        <v>3052717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360108</v>
      </c>
      <c r="D10" s="847"/>
      <c r="E10" s="847">
        <v>20535</v>
      </c>
      <c r="F10" s="1786">
        <f>(C10+D10)-E10</f>
        <v>339573</v>
      </c>
      <c r="G10" s="844">
        <v>20</v>
      </c>
      <c r="H10" s="848">
        <v>157896</v>
      </c>
      <c r="I10" s="848">
        <v>16128</v>
      </c>
      <c r="J10" s="848">
        <v>19930</v>
      </c>
      <c r="K10" s="1791">
        <f>(H10+I10)-J10</f>
        <v>154094</v>
      </c>
      <c r="L10" s="1791">
        <f>F10-K10</f>
        <v>185479</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820717</v>
      </c>
      <c r="D12" s="845">
        <v>31766</v>
      </c>
      <c r="E12" s="845">
        <v>8854</v>
      </c>
      <c r="F12" s="1782">
        <f>(C12+D12)-E12</f>
        <v>843629</v>
      </c>
      <c r="G12" s="844">
        <v>10</v>
      </c>
      <c r="H12" s="766">
        <v>636614</v>
      </c>
      <c r="I12" s="766">
        <v>19647</v>
      </c>
      <c r="J12" s="766">
        <v>8136</v>
      </c>
      <c r="K12" s="1791">
        <f>(H12+I12)-J12</f>
        <v>648125</v>
      </c>
      <c r="L12" s="1791">
        <f>F12-K12</f>
        <v>195504</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419451</v>
      </c>
      <c r="D15" s="845">
        <v>5402487</v>
      </c>
      <c r="E15" s="845"/>
      <c r="F15" s="1782">
        <f>(C15+D15)-E15</f>
        <v>5821938</v>
      </c>
      <c r="G15" s="850" t="s">
        <v>917</v>
      </c>
      <c r="H15" s="782"/>
      <c r="I15" s="782"/>
      <c r="J15" s="782"/>
      <c r="K15" s="782"/>
      <c r="L15" s="1791">
        <f>F15-K15</f>
        <v>5821938</v>
      </c>
    </row>
    <row r="16" spans="1:14" ht="15" customHeight="1" thickTop="1" thickBot="1" x14ac:dyDescent="0.25">
      <c r="A16" s="1787" t="s">
        <v>664</v>
      </c>
      <c r="B16" s="1788">
        <v>200</v>
      </c>
      <c r="C16" s="1782">
        <f>SUM(C3,C5:C6,C8:C10,C12:C15)</f>
        <v>8070809</v>
      </c>
      <c r="D16" s="1782">
        <f>SUM(D3,D5:D6,D8:D10,D12:D15)</f>
        <v>5501508</v>
      </c>
      <c r="E16" s="1782">
        <f>SUM(E3,E5:E6,E8:E10,E12:E15)</f>
        <v>29389</v>
      </c>
      <c r="F16" s="1782">
        <f>SUM(F3,F5:F6,F8:F10,F12:F15)</f>
        <v>13542928</v>
      </c>
      <c r="G16" s="844"/>
      <c r="H16" s="1782">
        <f>SUM(H3,H6,H8:H10,H12:H14,)</f>
        <v>4023210</v>
      </c>
      <c r="I16" s="1782">
        <f>SUM(I3,I6,I8:I10,I12:I14,)</f>
        <v>267783</v>
      </c>
      <c r="J16" s="1782">
        <f>SUM(J3,J6,J8:J10,J12:J14,)</f>
        <v>28066</v>
      </c>
      <c r="K16" s="1782">
        <f>(H16+I16)-J16</f>
        <v>4262927</v>
      </c>
      <c r="L16" s="1782">
        <f>F16-K16</f>
        <v>9280001</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44460</v>
      </c>
      <c r="G17" s="838">
        <v>10</v>
      </c>
      <c r="H17" s="770"/>
      <c r="I17" s="1791">
        <f>F17/G17</f>
        <v>4446</v>
      </c>
      <c r="J17" s="770"/>
      <c r="K17" s="796"/>
      <c r="L17" s="796"/>
    </row>
    <row r="18" spans="1:12" ht="14.25" thickTop="1" thickBot="1" x14ac:dyDescent="0.25">
      <c r="A18" s="1789" t="s">
        <v>706</v>
      </c>
      <c r="B18" s="1790"/>
      <c r="C18" s="772"/>
      <c r="D18" s="772"/>
      <c r="E18" s="772"/>
      <c r="F18" s="851"/>
      <c r="G18" s="852"/>
      <c r="H18" s="774"/>
      <c r="I18" s="1782">
        <f>SUM(I16,I17)</f>
        <v>272229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activeCell="I269" sqref="I269"/>
      <selection pane="bottomLeft" activeCell="I269" sqref="I26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4140705</v>
      </c>
      <c r="G8" s="866"/>
    </row>
    <row r="9" spans="1:7" x14ac:dyDescent="0.2">
      <c r="A9" s="870" t="s">
        <v>480</v>
      </c>
      <c r="B9" s="871" t="s">
        <v>1989</v>
      </c>
      <c r="C9" s="872"/>
      <c r="D9" s="870" t="s">
        <v>522</v>
      </c>
      <c r="E9" s="869"/>
      <c r="F9" s="1934">
        <f>'Expenditures 15-22'!K151</f>
        <v>647760</v>
      </c>
      <c r="G9" s="873"/>
    </row>
    <row r="10" spans="1:7" x14ac:dyDescent="0.2">
      <c r="A10" s="870" t="s">
        <v>520</v>
      </c>
      <c r="B10" s="871" t="s">
        <v>1990</v>
      </c>
      <c r="C10" s="872"/>
      <c r="D10" s="870" t="s">
        <v>522</v>
      </c>
      <c r="E10" s="869"/>
      <c r="F10" s="1934">
        <f>'Expenditures 15-22'!K174</f>
        <v>1119676</v>
      </c>
      <c r="G10" s="873"/>
    </row>
    <row r="11" spans="1:7" x14ac:dyDescent="0.2">
      <c r="A11" s="870" t="s">
        <v>481</v>
      </c>
      <c r="B11" s="871" t="s">
        <v>1991</v>
      </c>
      <c r="C11" s="872"/>
      <c r="D11" s="870" t="s">
        <v>522</v>
      </c>
      <c r="E11" s="869"/>
      <c r="F11" s="1934">
        <f>'Expenditures 15-22'!K210</f>
        <v>638693</v>
      </c>
      <c r="G11" s="873"/>
    </row>
    <row r="12" spans="1:7" x14ac:dyDescent="0.2">
      <c r="A12" s="870" t="s">
        <v>482</v>
      </c>
      <c r="B12" s="871" t="s">
        <v>1992</v>
      </c>
      <c r="C12" s="872"/>
      <c r="D12" s="870" t="s">
        <v>522</v>
      </c>
      <c r="E12" s="869"/>
      <c r="F12" s="1934">
        <f>'Expenditures 15-22'!K295</f>
        <v>78886</v>
      </c>
      <c r="G12" s="873"/>
    </row>
    <row r="13" spans="1:7" x14ac:dyDescent="0.2">
      <c r="A13" s="870" t="s">
        <v>108</v>
      </c>
      <c r="B13" s="871" t="s">
        <v>1993</v>
      </c>
      <c r="C13" s="872"/>
      <c r="D13" s="870" t="s">
        <v>522</v>
      </c>
      <c r="E13" s="869"/>
      <c r="F13" s="1934">
        <f>'Expenditures 15-22'!K342</f>
        <v>80760</v>
      </c>
      <c r="G13" s="874"/>
    </row>
    <row r="14" spans="1:7" ht="12" customHeight="1" thickBot="1" x14ac:dyDescent="0.25">
      <c r="A14" s="1792"/>
      <c r="B14" s="1793"/>
      <c r="C14" s="1794"/>
      <c r="D14" s="1795" t="s">
        <v>522</v>
      </c>
      <c r="E14" s="1796" t="s">
        <v>1015</v>
      </c>
      <c r="F14" s="1797">
        <f>SUM(F8:F13)</f>
        <v>6706480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109652</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124997</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600538</v>
      </c>
      <c r="G53" s="866"/>
    </row>
    <row r="54" spans="1:7" x14ac:dyDescent="0.2">
      <c r="A54" s="870" t="s">
        <v>479</v>
      </c>
      <c r="B54" s="870" t="s">
        <v>1552</v>
      </c>
      <c r="C54" s="890" t="s">
        <v>1039</v>
      </c>
      <c r="D54" s="886" t="s">
        <v>1157</v>
      </c>
      <c r="E54" s="869"/>
      <c r="F54" s="1938">
        <f>'Expenditures 15-22'!G114</f>
        <v>15512</v>
      </c>
      <c r="G54" s="866"/>
    </row>
    <row r="55" spans="1:7" x14ac:dyDescent="0.2">
      <c r="A55" s="870" t="s">
        <v>479</v>
      </c>
      <c r="B55" s="870" t="s">
        <v>1553</v>
      </c>
      <c r="C55" s="890" t="s">
        <v>1039</v>
      </c>
      <c r="D55" s="886" t="s">
        <v>309</v>
      </c>
      <c r="E55" s="869"/>
      <c r="F55" s="1938">
        <f>'Expenditures 15-22'!I114</f>
        <v>39331</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83509</v>
      </c>
      <c r="G58" s="866"/>
    </row>
    <row r="59" spans="1:7" x14ac:dyDescent="0.2">
      <c r="A59" s="894" t="s">
        <v>480</v>
      </c>
      <c r="B59" s="857" t="s">
        <v>1996</v>
      </c>
      <c r="C59" s="895" t="s">
        <v>1039</v>
      </c>
      <c r="D59" s="857" t="s">
        <v>309</v>
      </c>
      <c r="F59" s="1941">
        <f>'Expenditures 15-22'!I151</f>
        <v>5129</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1095000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3554</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2077222</v>
      </c>
      <c r="G76" s="866"/>
    </row>
    <row r="77" spans="1:8" s="894" customFormat="1" ht="12" customHeight="1" thickTop="1" thickBot="1" x14ac:dyDescent="0.25">
      <c r="A77" s="1801"/>
      <c r="B77" s="1798"/>
      <c r="C77" s="1794"/>
      <c r="D77" s="1799" t="s">
        <v>2012</v>
      </c>
      <c r="E77" s="1796"/>
      <c r="F77" s="1802">
        <f>(F14-F76)</f>
        <v>4629258</v>
      </c>
      <c r="G77" s="870"/>
    </row>
    <row r="78" spans="1:8" s="894" customFormat="1" ht="12" customHeight="1" thickTop="1" x14ac:dyDescent="0.2">
      <c r="A78" s="1803"/>
      <c r="B78" s="1798"/>
      <c r="C78" s="1794"/>
      <c r="D78" s="1799" t="s">
        <v>2059</v>
      </c>
      <c r="E78" s="1796"/>
      <c r="F78" s="899">
        <v>345.2</v>
      </c>
      <c r="G78" s="900"/>
      <c r="H78" s="870"/>
    </row>
    <row r="79" spans="1:8" s="894" customFormat="1" ht="12" customHeight="1" thickBot="1" x14ac:dyDescent="0.25">
      <c r="A79" s="1804"/>
      <c r="B79" s="1798"/>
      <c r="C79" s="1794"/>
      <c r="D79" s="1799" t="s">
        <v>2013</v>
      </c>
      <c r="E79" s="1796" t="s">
        <v>1015</v>
      </c>
      <c r="F79" s="1805">
        <f>IF(F78&gt;0,F77/F78," Complete Line 78")</f>
        <v>13410.365005793743</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13171</v>
      </c>
      <c r="G94" s="913"/>
    </row>
    <row r="95" spans="1:7" x14ac:dyDescent="0.2">
      <c r="A95" s="909" t="s">
        <v>142</v>
      </c>
      <c r="B95" s="909" t="s">
        <v>177</v>
      </c>
      <c r="C95" s="911">
        <v>1700</v>
      </c>
      <c r="D95" s="919" t="str">
        <f>'Revenues 9-14'!A82</f>
        <v>Total District/School Activity Income</v>
      </c>
      <c r="E95" s="907"/>
      <c r="F95" s="1811">
        <f>SUM('Revenues 9-14'!C82,'Revenues 9-14'!D82)</f>
        <v>8208</v>
      </c>
      <c r="G95" s="913"/>
    </row>
    <row r="96" spans="1:7" x14ac:dyDescent="0.2">
      <c r="A96" s="909" t="s">
        <v>479</v>
      </c>
      <c r="B96" s="909" t="s">
        <v>178</v>
      </c>
      <c r="C96" s="911">
        <f>'Revenues 9-14'!B84</f>
        <v>1811</v>
      </c>
      <c r="D96" s="912" t="str">
        <f>'Revenues 9-14'!A84</f>
        <v>Rentals - Regular Textbooks</v>
      </c>
      <c r="E96" s="907"/>
      <c r="F96" s="1811">
        <f>'Revenues 9-14'!C84</f>
        <v>21344</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354</v>
      </c>
      <c r="G100" s="913"/>
    </row>
    <row r="101" spans="1:7" x14ac:dyDescent="0.2">
      <c r="A101" s="909" t="s">
        <v>142</v>
      </c>
      <c r="B101" s="909" t="s">
        <v>183</v>
      </c>
      <c r="C101" s="911">
        <f>'Revenues 9-14'!B95</f>
        <v>1910</v>
      </c>
      <c r="D101" s="912" t="str">
        <f>'Revenues 9-14'!A95</f>
        <v>Rentals</v>
      </c>
      <c r="E101" s="907"/>
      <c r="F101" s="1811">
        <f>SUM('Revenues 9-14'!C95:D95)</f>
        <v>173</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117408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1343</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246279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2000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83256</v>
      </c>
      <c r="G129" s="931"/>
    </row>
    <row r="130" spans="1:7" x14ac:dyDescent="0.2">
      <c r="A130" s="928" t="s">
        <v>689</v>
      </c>
      <c r="B130" s="928" t="s">
        <v>804</v>
      </c>
      <c r="C130" s="933">
        <v>4300</v>
      </c>
      <c r="D130" s="934" t="str">
        <f>'Revenues 9-14'!A211</f>
        <v>Total Title I</v>
      </c>
      <c r="E130" s="907"/>
      <c r="F130" s="1811">
        <f>SUM('Revenues 9-14'!C211,'Revenues 9-14'!D211,'Revenues 9-14'!F211,'Revenues 9-14'!G211)</f>
        <v>84110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90405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5092</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4601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4306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3130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35917</v>
      </c>
      <c r="G174" s="928"/>
    </row>
    <row r="175" spans="1:7" x14ac:dyDescent="0.2">
      <c r="A175" s="1943" t="s">
        <v>5</v>
      </c>
      <c r="B175" s="1944" t="s">
        <v>2058</v>
      </c>
      <c r="C175" s="1945">
        <v>3100</v>
      </c>
      <c r="D175" s="1946" t="s">
        <v>2061</v>
      </c>
      <c r="E175" s="907"/>
      <c r="F175" s="1930">
        <v>133214</v>
      </c>
      <c r="G175" s="928"/>
    </row>
    <row r="176" spans="1:7" x14ac:dyDescent="0.2">
      <c r="A176" s="1943" t="s">
        <v>685</v>
      </c>
      <c r="B176" s="1944" t="s">
        <v>2058</v>
      </c>
      <c r="C176" s="1945">
        <v>3300</v>
      </c>
      <c r="D176" s="1946" t="s">
        <v>2062</v>
      </c>
      <c r="E176" s="907"/>
      <c r="F176" s="1930">
        <v>467</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864778</v>
      </c>
    </row>
    <row r="179" spans="1:7" ht="12" customHeight="1" x14ac:dyDescent="0.2">
      <c r="A179" s="1792"/>
      <c r="B179" s="1806"/>
      <c r="C179" s="1807"/>
      <c r="D179" s="1808" t="s">
        <v>2015</v>
      </c>
      <c r="E179" s="1809"/>
      <c r="F179" s="1811">
        <f>'PCTC-OEPP 27-28'!F77-F178</f>
        <v>3764480</v>
      </c>
    </row>
    <row r="180" spans="1:7" ht="12" customHeight="1" x14ac:dyDescent="0.2">
      <c r="A180" s="1792"/>
      <c r="B180" s="1806"/>
      <c r="C180" s="1807"/>
      <c r="D180" s="1808" t="s">
        <v>1924</v>
      </c>
      <c r="E180" s="1809"/>
      <c r="F180" s="1811">
        <f>'Cap Outlay Deprec 26'!I18</f>
        <v>272229</v>
      </c>
    </row>
    <row r="181" spans="1:7" ht="12" customHeight="1" x14ac:dyDescent="0.2">
      <c r="A181" s="1792"/>
      <c r="B181" s="1806"/>
      <c r="C181" s="1807"/>
      <c r="D181" s="1808" t="s">
        <v>2016</v>
      </c>
      <c r="E181" s="1809"/>
      <c r="F181" s="1811">
        <f>F179+F180</f>
        <v>4036709</v>
      </c>
    </row>
    <row r="182" spans="1:7" ht="12" customHeight="1" x14ac:dyDescent="0.2">
      <c r="A182" s="1792"/>
      <c r="B182" s="1812"/>
      <c r="C182" s="1807"/>
      <c r="D182" s="1808" t="str">
        <f>D78</f>
        <v>9 Month ADA from District Average Daily Attendance/Prior General State Aid Inquiry 2017-2018</v>
      </c>
      <c r="E182" s="1809"/>
      <c r="F182" s="1813">
        <f>'PCTC-OEPP 27-28'!F78</f>
        <v>345.2</v>
      </c>
      <c r="G182" s="931"/>
    </row>
    <row r="183" spans="1:7" ht="12" customHeight="1" thickBot="1" x14ac:dyDescent="0.25">
      <c r="A183" s="1792"/>
      <c r="B183" s="1812"/>
      <c r="C183" s="1807"/>
      <c r="D183" s="1808" t="s">
        <v>2017</v>
      </c>
      <c r="E183" s="1809" t="s">
        <v>1626</v>
      </c>
      <c r="F183" s="1814">
        <f>F181/F182</f>
        <v>11693.826767091541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workbookViewId="0">
      <pane ySplit="16" topLeftCell="A17" activePane="bottomLeft" state="frozen"/>
      <selection activeCell="I269" sqref="I269"/>
      <selection pane="bottomLeft" activeCell="I269" sqref="I269"/>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2124</v>
      </c>
      <c r="B17" s="1956" t="s">
        <v>2133</v>
      </c>
      <c r="C17" s="1957" t="s">
        <v>2125</v>
      </c>
      <c r="D17" s="1867">
        <v>44735</v>
      </c>
      <c r="E17" s="1562">
        <f t="shared" ref="E17:E141" si="1">IF(D17&lt;=25000,D17,IF(D17&gt;25000,25000,0))</f>
        <v>25000</v>
      </c>
      <c r="F17" s="1815">
        <f t="shared" si="0"/>
        <v>0</v>
      </c>
      <c r="G17" s="1816">
        <f>IF(F17=0,0,D17-F17)</f>
        <v>0</v>
      </c>
      <c r="H17" s="1669"/>
    </row>
    <row r="18" spans="1:8" x14ac:dyDescent="0.25">
      <c r="A18" s="1955" t="s">
        <v>2126</v>
      </c>
      <c r="B18" s="1956" t="s">
        <v>2142</v>
      </c>
      <c r="C18" s="1957" t="s">
        <v>2127</v>
      </c>
      <c r="D18" s="1867">
        <v>100000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955" t="s">
        <v>2126</v>
      </c>
      <c r="B19" s="1956" t="s">
        <v>2128</v>
      </c>
      <c r="C19" s="1957" t="s">
        <v>2127</v>
      </c>
      <c r="D19" s="1867">
        <v>20000</v>
      </c>
      <c r="E19" s="1562">
        <f t="shared" si="2"/>
        <v>20000</v>
      </c>
      <c r="F19" s="1815">
        <f t="shared" si="3"/>
        <v>0</v>
      </c>
      <c r="G19" s="1816">
        <f t="shared" si="4"/>
        <v>0</v>
      </c>
    </row>
    <row r="20" spans="1:8" x14ac:dyDescent="0.25">
      <c r="A20" s="1955" t="s">
        <v>2129</v>
      </c>
      <c r="B20" s="1956" t="s">
        <v>2130</v>
      </c>
      <c r="C20" s="1957" t="s">
        <v>2131</v>
      </c>
      <c r="D20" s="1867">
        <v>100189</v>
      </c>
      <c r="E20" s="1562">
        <f t="shared" si="2"/>
        <v>25000</v>
      </c>
      <c r="F20" s="1815">
        <f t="shared" si="3"/>
        <v>25000</v>
      </c>
      <c r="G20" s="1816">
        <f t="shared" si="4"/>
        <v>75189</v>
      </c>
    </row>
    <row r="21" spans="1:8" x14ac:dyDescent="0.25">
      <c r="A21" s="1955" t="s">
        <v>2132</v>
      </c>
      <c r="B21" s="1956" t="s">
        <v>2133</v>
      </c>
      <c r="C21" s="1957" t="s">
        <v>2103</v>
      </c>
      <c r="D21" s="1867">
        <v>26447</v>
      </c>
      <c r="E21" s="1562">
        <f t="shared" si="2"/>
        <v>25000</v>
      </c>
      <c r="F21" s="1815">
        <f t="shared" si="3"/>
        <v>0</v>
      </c>
      <c r="G21" s="1816">
        <f t="shared" si="4"/>
        <v>0</v>
      </c>
    </row>
    <row r="22" spans="1:8" x14ac:dyDescent="0.25">
      <c r="A22" s="1955" t="s">
        <v>2134</v>
      </c>
      <c r="B22" s="1956" t="s">
        <v>2135</v>
      </c>
      <c r="C22" s="1957" t="s">
        <v>2136</v>
      </c>
      <c r="D22" s="1867">
        <v>85445</v>
      </c>
      <c r="E22" s="1562">
        <f t="shared" si="2"/>
        <v>25000</v>
      </c>
      <c r="F22" s="1815">
        <f t="shared" si="3"/>
        <v>25000</v>
      </c>
      <c r="G22" s="1816">
        <f t="shared" si="4"/>
        <v>60445</v>
      </c>
    </row>
    <row r="23" spans="1:8" x14ac:dyDescent="0.25">
      <c r="A23" s="1955" t="s">
        <v>2137</v>
      </c>
      <c r="B23" s="1956" t="s">
        <v>2138</v>
      </c>
      <c r="C23" s="1957" t="s">
        <v>2139</v>
      </c>
      <c r="D23" s="1867">
        <v>294244</v>
      </c>
      <c r="E23" s="1562">
        <f t="shared" si="2"/>
        <v>25000</v>
      </c>
      <c r="F23" s="1815">
        <f t="shared" si="3"/>
        <v>25000</v>
      </c>
      <c r="G23" s="1816">
        <f t="shared" si="4"/>
        <v>269244</v>
      </c>
    </row>
    <row r="24" spans="1:8" x14ac:dyDescent="0.25">
      <c r="A24" s="1955" t="s">
        <v>2137</v>
      </c>
      <c r="B24" s="1956" t="s">
        <v>2138</v>
      </c>
      <c r="C24" s="1957" t="s">
        <v>2140</v>
      </c>
      <c r="D24" s="1867">
        <v>307545</v>
      </c>
      <c r="E24" s="1562">
        <f t="shared" si="2"/>
        <v>25000</v>
      </c>
      <c r="F24" s="1815">
        <f t="shared" si="3"/>
        <v>25000</v>
      </c>
      <c r="G24" s="1816">
        <f t="shared" si="4"/>
        <v>282545</v>
      </c>
    </row>
    <row r="25" spans="1:8" x14ac:dyDescent="0.25">
      <c r="A25" s="1955" t="s">
        <v>2141</v>
      </c>
      <c r="B25" s="1956" t="s">
        <v>2142</v>
      </c>
      <c r="C25" s="1957" t="s">
        <v>2143</v>
      </c>
      <c r="D25" s="1867">
        <v>142392</v>
      </c>
      <c r="E25" s="1562">
        <f t="shared" si="2"/>
        <v>25000</v>
      </c>
      <c r="F25" s="1815">
        <f t="shared" si="3"/>
        <v>0</v>
      </c>
      <c r="G25" s="1816">
        <f t="shared" si="4"/>
        <v>0</v>
      </c>
    </row>
    <row r="26" spans="1:8" x14ac:dyDescent="0.25">
      <c r="A26" s="1675"/>
      <c r="B26" s="1868"/>
      <c r="C26" s="1676"/>
      <c r="D26" s="1867"/>
      <c r="E26" s="1562">
        <f t="shared" si="2"/>
        <v>0</v>
      </c>
      <c r="F26" s="1815">
        <f t="shared" si="3"/>
        <v>0</v>
      </c>
      <c r="G26" s="1816">
        <f t="shared" si="4"/>
        <v>0</v>
      </c>
    </row>
    <row r="27" spans="1:8" x14ac:dyDescent="0.25">
      <c r="A27" s="1675"/>
      <c r="B27" s="1868"/>
      <c r="C27" s="1676"/>
      <c r="D27" s="1867"/>
      <c r="E27" s="1562">
        <f t="shared" si="2"/>
        <v>0</v>
      </c>
      <c r="F27" s="1815">
        <f t="shared" si="3"/>
        <v>0</v>
      </c>
      <c r="G27" s="1816">
        <f t="shared" si="4"/>
        <v>0</v>
      </c>
    </row>
    <row r="28" spans="1:8" x14ac:dyDescent="0.25">
      <c r="A28" s="1675"/>
      <c r="B28" s="1868"/>
      <c r="C28" s="1676"/>
      <c r="D28" s="1867"/>
      <c r="E28" s="1562">
        <f t="shared" si="2"/>
        <v>0</v>
      </c>
      <c r="F28" s="1815">
        <f t="shared" si="3"/>
        <v>0</v>
      </c>
      <c r="G28" s="1816">
        <f t="shared" si="4"/>
        <v>0</v>
      </c>
    </row>
    <row r="29" spans="1:8" x14ac:dyDescent="0.25">
      <c r="A29" s="1675"/>
      <c r="B29" s="1868"/>
      <c r="C29" s="1676"/>
      <c r="D29" s="1867"/>
      <c r="E29" s="1562">
        <f t="shared" si="2"/>
        <v>0</v>
      </c>
      <c r="F29" s="1815">
        <f t="shared" si="3"/>
        <v>0</v>
      </c>
      <c r="G29" s="1816">
        <f t="shared" si="4"/>
        <v>0</v>
      </c>
    </row>
    <row r="30" spans="1:8" x14ac:dyDescent="0.25">
      <c r="A30" s="1675"/>
      <c r="B30" s="1868"/>
      <c r="C30" s="1676"/>
      <c r="D30" s="1867"/>
      <c r="E30" s="1562">
        <f t="shared" si="2"/>
        <v>0</v>
      </c>
      <c r="F30" s="1815">
        <f t="shared" si="3"/>
        <v>0</v>
      </c>
      <c r="G30" s="1816">
        <f t="shared" si="4"/>
        <v>0</v>
      </c>
    </row>
    <row r="31" spans="1:8" x14ac:dyDescent="0.25">
      <c r="A31" s="1675"/>
      <c r="B31" s="1868"/>
      <c r="C31" s="1676"/>
      <c r="D31" s="1867"/>
      <c r="E31" s="1562">
        <f t="shared" si="2"/>
        <v>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1120997</v>
      </c>
      <c r="E141" s="1563">
        <f t="shared" si="1"/>
        <v>25000</v>
      </c>
      <c r="F141" s="1817">
        <f>SUM(F17:F140)</f>
        <v>100000</v>
      </c>
      <c r="G141" s="1818">
        <f>SUM(G17:G140)</f>
        <v>687423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topLeftCell="A10" colorId="8" zoomScale="110" zoomScaleNormal="110" workbookViewId="0">
      <selection activeCell="I269" sqref="I26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81876</v>
      </c>
      <c r="F10" s="975"/>
      <c r="G10" s="976"/>
      <c r="H10" s="162"/>
      <c r="I10" s="162"/>
    </row>
    <row r="11" spans="1:9" s="669" customFormat="1" ht="22.5" customHeight="1" x14ac:dyDescent="0.2">
      <c r="A11" s="2304" t="s">
        <v>1945</v>
      </c>
      <c r="B11" s="2305"/>
      <c r="C11" s="2305"/>
      <c r="D11" s="2306"/>
      <c r="E11" s="978">
        <v>9050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2332468</v>
      </c>
      <c r="F19" s="1822"/>
      <c r="G19" s="1824">
        <f>'Expenditures 15-22'!K33-SUM('Expenditures 15-22'!G33,'Expenditures 15-22'!I33)+'Expenditures 15-22'!D229</f>
        <v>2332468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297135</v>
      </c>
      <c r="F21" s="1825"/>
      <c r="G21" s="1828">
        <f>'Expenditures 15-22'!K42-SUM('Expenditures 15-22'!G42,'Expenditures 15-22'!I42)+'Expenditures 15-22'!K120-SUM('Expenditures 15-22'!G120,'Expenditures 15-22'!I120)+'Expenditures 15-22'!K180-SUM('Expenditures 15-22'!G180,'Expenditures 15-22'!I180)+'Expenditures 15-22'!D238</f>
        <v>297135</v>
      </c>
      <c r="H21" s="988"/>
      <c r="I21" s="162"/>
    </row>
    <row r="22" spans="1:9" s="669" customFormat="1" ht="12" customHeight="1" x14ac:dyDescent="0.2">
      <c r="A22" s="995" t="s">
        <v>585</v>
      </c>
      <c r="B22" s="996"/>
      <c r="C22" s="994">
        <v>2200</v>
      </c>
      <c r="D22" s="1825"/>
      <c r="E22" s="1827">
        <f>'Expenditures 15-22'!K47-SUM('Expenditures 15-22'!G47,'Expenditures 15-22'!I47)+'Expenditures 15-22'!D243</f>
        <v>243694</v>
      </c>
      <c r="F22" s="1825"/>
      <c r="G22" s="1828">
        <f>'Expenditures 15-22'!K47-SUM('Expenditures 15-22'!G47,'Expenditures 15-22'!I47)+'Expenditures 15-22'!D243</f>
        <v>243694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273739</v>
      </c>
      <c r="F23" s="1825"/>
      <c r="G23" s="1827">
        <f>'Expenditures 15-22'!K53-SUM('Expenditures 15-22'!G53,'Expenditures 15-22'!I53)+'Expenditures 15-22'!D257+'Expenditures 15-22'!K330-SUM('Expenditures 15-22'!G330,'Expenditures 15-22'!I330)</f>
        <v>273739</v>
      </c>
      <c r="H23" s="988"/>
      <c r="I23" s="162"/>
    </row>
    <row r="24" spans="1:9" s="669" customFormat="1" ht="12" customHeight="1" x14ac:dyDescent="0.2">
      <c r="A24" s="995" t="s">
        <v>587</v>
      </c>
      <c r="B24" s="996"/>
      <c r="C24" s="994">
        <v>2400</v>
      </c>
      <c r="D24" s="1825"/>
      <c r="E24" s="1827">
        <f>'Expenditures 15-22'!K57-SUM('Expenditures 15-22'!G57,'Expenditures 15-22'!I57)+'Expenditures 15-22'!D261</f>
        <v>268086</v>
      </c>
      <c r="F24" s="1825"/>
      <c r="G24" s="1828">
        <f>'Expenditures 15-22'!K57-SUM('Expenditures 15-22'!G57,'Expenditures 15-22'!I57)+'Expenditures 15-22'!D261</f>
        <v>268086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109833</v>
      </c>
      <c r="E27" s="1827">
        <f>E8</f>
        <v>0</v>
      </c>
      <c r="F27" s="1827">
        <f>'Expenditures 15-22'!K60-SUM('Expenditures 15-22'!G60,'Expenditures 15-22'!I60)+'Expenditures 15-22'!D264-E8</f>
        <v>109833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509693</v>
      </c>
      <c r="F28" s="1829">
        <f>'Expenditures 15-22'!K61-SUM('Expenditures 15-22'!G61,'Expenditures 15-22'!I61)+'Expenditures 15-22'!K124-SUM('Expenditures 15-22'!G124,'Expenditures 15-22'!I124)+'Expenditures 15-22'!D266-E9</f>
        <v>509693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638821</v>
      </c>
      <c r="F29" s="1825"/>
      <c r="G29" s="1828">
        <f>'Expenditures 15-22'!K62-SUM('Expenditures 15-22'!G62,'Expenditures 15-22'!I62)+'Expenditures 15-22'!K125-SUM('Expenditures 15-22'!G125,'Expenditures 15-22'!I125)+'Expenditures 15-22'!K182-SUM('Expenditures 15-22'!G182,'Expenditures 15-22'!I182)+'Expenditures 15-22'!D267</f>
        <v>638821</v>
      </c>
      <c r="H29" s="986"/>
    </row>
    <row r="30" spans="1:9" ht="12" customHeight="1" x14ac:dyDescent="0.2">
      <c r="A30" s="995" t="s">
        <v>102</v>
      </c>
      <c r="B30" s="998"/>
      <c r="C30" s="994">
        <v>2560</v>
      </c>
      <c r="D30" s="1825"/>
      <c r="E30" s="1827">
        <f>'Expenditures 15-22'!K63-SUM('Expenditures 15-22'!G63,'Expenditures 15-22'!I63)+'Expenditures 15-22'!D268-E10</f>
        <v>9119</v>
      </c>
      <c r="F30" s="1825"/>
      <c r="G30" s="1827">
        <f>'Expenditures 15-22'!K63-SUM('Expenditures 15-22'!G63,'Expenditures 15-22'!I63)+'Expenditures 15-22'!D268-E10</f>
        <v>9119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91</v>
      </c>
      <c r="F38" s="1825"/>
      <c r="G38" s="1827">
        <f>'Expenditures 15-22'!K73-SUM('Expenditures 15-22'!G73,'Expenditures 15-22'!I73)+'Expenditures 15-22'!K128-SUM('Expenditures 15-22'!G128,'Expenditures 15-22'!I128)+'Expenditures 15-22'!K183-SUM('Expenditures 15-22'!G183,'Expenditures 15-22'!I183)+'Expenditures 15-22'!D278</f>
        <v>91</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-687423</v>
      </c>
      <c r="F40" s="1825"/>
      <c r="G40" s="1829">
        <f>-'Contracts Paid in CY 29'!G141</f>
        <v>-687423</v>
      </c>
    </row>
    <row r="41" spans="1:7" ht="12" customHeight="1" x14ac:dyDescent="0.2">
      <c r="A41" s="999" t="s">
        <v>158</v>
      </c>
      <c r="B41" s="1000"/>
      <c r="C41" s="1001"/>
      <c r="D41" s="1829">
        <f>SUM(D19:D39)</f>
        <v>109833</v>
      </c>
      <c r="E41" s="1829">
        <f>SUM(E19:E40)</f>
        <v>3885423</v>
      </c>
      <c r="F41" s="1829">
        <f>SUM(F19:F39)</f>
        <v>619526</v>
      </c>
      <c r="G41" s="1829">
        <f>SUM(G19:G40)</f>
        <v>3375730</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109833</v>
      </c>
      <c r="F43" s="1830" t="s">
        <v>495</v>
      </c>
      <c r="G43" s="1831">
        <f>F41</f>
        <v>619526</v>
      </c>
    </row>
    <row r="44" spans="1:7" ht="12" customHeight="1" x14ac:dyDescent="0.2">
      <c r="A44" s="988"/>
      <c r="B44" s="162"/>
      <c r="C44" s="1002"/>
      <c r="D44" s="1830" t="s">
        <v>494</v>
      </c>
      <c r="E44" s="1831">
        <f>E41</f>
        <v>3885423</v>
      </c>
      <c r="F44" s="1830" t="s">
        <v>494</v>
      </c>
      <c r="G44" s="1831">
        <f>G41</f>
        <v>3375730</v>
      </c>
    </row>
    <row r="45" spans="1:7" ht="12" customHeight="1" x14ac:dyDescent="0.2">
      <c r="A45" s="988"/>
      <c r="B45" s="162"/>
      <c r="C45" s="162"/>
      <c r="D45" s="1832" t="s">
        <v>1063</v>
      </c>
      <c r="E45" s="1833">
        <f>(E43/E44)</f>
        <v>2.8267964646320361E-2</v>
      </c>
      <c r="F45" s="1832" t="s">
        <v>1063</v>
      </c>
      <c r="G45" s="1833">
        <f>(G43/G44)</f>
        <v>0.18352356379212792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23" activePane="bottomLeft" state="frozen"/>
      <selection activeCell="I269" sqref="I269"/>
      <selection pane="bottomLeft" activeCell="I269" sqref="I269"/>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1446</v>
      </c>
      <c r="B1" s="2310"/>
      <c r="C1" s="2310"/>
      <c r="D1" s="2310"/>
      <c r="E1" s="2310"/>
      <c r="F1" s="2310"/>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1" t="s">
        <v>1627</v>
      </c>
      <c r="B5" s="2312"/>
      <c r="C5" s="2313"/>
      <c r="D5" s="2313"/>
      <c r="E5" s="2313"/>
      <c r="F5" s="2313"/>
    </row>
    <row r="6" spans="1:10" ht="12" customHeight="1" x14ac:dyDescent="0.25">
      <c r="A6" s="1874"/>
      <c r="B6" s="1875"/>
      <c r="C6" s="2314" t="str">
        <f>COVER!A17</f>
        <v>Harrison SD 36</v>
      </c>
      <c r="D6" s="2314"/>
      <c r="E6" s="2314"/>
      <c r="F6" s="1876"/>
    </row>
    <row r="7" spans="1:10" ht="11.25" customHeight="1" thickBot="1" x14ac:dyDescent="0.3">
      <c r="A7" s="1874"/>
      <c r="B7" s="1875"/>
      <c r="C7" s="2315" t="str">
        <f>COVER!A13</f>
        <v>44-063-0360-02</v>
      </c>
      <c r="D7" s="2315"/>
      <c r="E7" s="2315"/>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t="s">
        <v>2095</v>
      </c>
      <c r="D12" s="1889" t="s">
        <v>2095</v>
      </c>
      <c r="E12" s="1892"/>
      <c r="F12" s="1891" t="s">
        <v>2096</v>
      </c>
      <c r="H12" s="1902">
        <f t="shared" ref="H12:H33" si="0">IF(C12="X",5,0)</f>
        <v>5</v>
      </c>
      <c r="I12" s="1902">
        <f t="shared" ref="I12:I33" si="1">IF(D12="X",5,0)</f>
        <v>5</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2095</v>
      </c>
      <c r="D14" s="1889" t="s">
        <v>2095</v>
      </c>
      <c r="E14" s="1892"/>
      <c r="F14" s="1891" t="s">
        <v>2097</v>
      </c>
      <c r="H14" s="1902">
        <f t="shared" si="0"/>
        <v>5</v>
      </c>
      <c r="I14" s="1902">
        <f t="shared" si="1"/>
        <v>5</v>
      </c>
      <c r="J14" s="1902">
        <f t="shared" si="2"/>
        <v>0</v>
      </c>
    </row>
    <row r="15" spans="1:10" ht="12" customHeight="1" x14ac:dyDescent="0.2">
      <c r="A15" s="1887" t="s">
        <v>1454</v>
      </c>
      <c r="B15" s="1888"/>
      <c r="C15" s="1889" t="s">
        <v>2095</v>
      </c>
      <c r="D15" s="1889" t="s">
        <v>2095</v>
      </c>
      <c r="E15" s="1892"/>
      <c r="F15" s="1891" t="s">
        <v>2099</v>
      </c>
      <c r="H15" s="1902">
        <f t="shared" si="0"/>
        <v>5</v>
      </c>
      <c r="I15" s="1902">
        <f t="shared" si="1"/>
        <v>5</v>
      </c>
      <c r="J15" s="1902">
        <f t="shared" si="2"/>
        <v>0</v>
      </c>
    </row>
    <row r="16" spans="1:10" ht="12" customHeight="1" x14ac:dyDescent="0.2">
      <c r="A16" s="1887" t="s">
        <v>1455</v>
      </c>
      <c r="B16" s="1888"/>
      <c r="C16" s="1889" t="s">
        <v>2095</v>
      </c>
      <c r="D16" s="1889" t="s">
        <v>2095</v>
      </c>
      <c r="E16" s="1892"/>
      <c r="F16" s="1891" t="s">
        <v>2098</v>
      </c>
      <c r="H16" s="1902">
        <f t="shared" si="0"/>
        <v>5</v>
      </c>
      <c r="I16" s="1902">
        <f t="shared" si="1"/>
        <v>5</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t="s">
        <v>2095</v>
      </c>
      <c r="D18" s="1889" t="s">
        <v>2095</v>
      </c>
      <c r="E18" s="1892"/>
      <c r="F18" s="1891" t="s">
        <v>2100</v>
      </c>
      <c r="H18" s="1902">
        <f t="shared" si="0"/>
        <v>5</v>
      </c>
      <c r="I18" s="1902">
        <f t="shared" si="1"/>
        <v>5</v>
      </c>
      <c r="J18" s="1902">
        <f t="shared" si="2"/>
        <v>0</v>
      </c>
    </row>
    <row r="19" spans="1:12" ht="12" customHeight="1" x14ac:dyDescent="0.2">
      <c r="A19" s="1887" t="s">
        <v>1608</v>
      </c>
      <c r="B19" s="1888"/>
      <c r="C19" s="1889" t="s">
        <v>2095</v>
      </c>
      <c r="D19" s="1889" t="s">
        <v>2095</v>
      </c>
      <c r="E19" s="1892"/>
      <c r="F19" s="1891" t="s">
        <v>2101</v>
      </c>
      <c r="H19" s="1902">
        <f t="shared" si="0"/>
        <v>5</v>
      </c>
      <c r="I19" s="1902">
        <f t="shared" si="1"/>
        <v>5</v>
      </c>
      <c r="J19" s="1902">
        <f t="shared" si="2"/>
        <v>0</v>
      </c>
    </row>
    <row r="20" spans="1:12" ht="12" customHeight="1" x14ac:dyDescent="0.2">
      <c r="A20" s="1887" t="s">
        <v>1609</v>
      </c>
      <c r="B20" s="1888"/>
      <c r="C20" s="1889" t="s">
        <v>2095</v>
      </c>
      <c r="D20" s="1889" t="s">
        <v>2095</v>
      </c>
      <c r="E20" s="1892"/>
      <c r="F20" s="1891" t="s">
        <v>2102</v>
      </c>
      <c r="H20" s="1902">
        <f t="shared" si="0"/>
        <v>5</v>
      </c>
      <c r="I20" s="1902">
        <f t="shared" si="1"/>
        <v>5</v>
      </c>
      <c r="J20" s="1902">
        <f t="shared" si="2"/>
        <v>0</v>
      </c>
    </row>
    <row r="21" spans="1:12" ht="12" customHeight="1" x14ac:dyDescent="0.2">
      <c r="A21" s="1887" t="s">
        <v>1610</v>
      </c>
      <c r="B21" s="1888"/>
      <c r="C21" s="1889" t="s">
        <v>2095</v>
      </c>
      <c r="D21" s="1889" t="s">
        <v>2095</v>
      </c>
      <c r="E21" s="1892"/>
      <c r="F21" s="1891" t="s">
        <v>2103</v>
      </c>
      <c r="H21" s="1902">
        <f t="shared" si="0"/>
        <v>5</v>
      </c>
      <c r="I21" s="1902">
        <f t="shared" si="1"/>
        <v>5</v>
      </c>
      <c r="J21" s="1902">
        <f t="shared" si="2"/>
        <v>0</v>
      </c>
    </row>
    <row r="22" spans="1:12" ht="12" customHeight="1" x14ac:dyDescent="0.2">
      <c r="A22" s="1887" t="s">
        <v>1611</v>
      </c>
      <c r="B22" s="1888"/>
      <c r="C22" s="1889" t="s">
        <v>2095</v>
      </c>
      <c r="D22" s="1889" t="s">
        <v>2095</v>
      </c>
      <c r="E22" s="1892"/>
      <c r="F22" s="1891" t="s">
        <v>2104</v>
      </c>
      <c r="H22" s="1902">
        <f t="shared" si="0"/>
        <v>5</v>
      </c>
      <c r="I22" s="1902">
        <f t="shared" si="1"/>
        <v>5</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2095</v>
      </c>
      <c r="D25" s="1889"/>
      <c r="E25" s="1892"/>
      <c r="F25" s="1891" t="s">
        <v>2108</v>
      </c>
      <c r="H25" s="1902">
        <f t="shared" si="0"/>
        <v>5</v>
      </c>
      <c r="I25" s="1902">
        <f t="shared" si="1"/>
        <v>0</v>
      </c>
      <c r="J25" s="1902">
        <f t="shared" si="2"/>
        <v>0</v>
      </c>
    </row>
    <row r="26" spans="1:12" ht="12" customHeight="1" x14ac:dyDescent="0.2">
      <c r="A26" s="1887" t="s">
        <v>1615</v>
      </c>
      <c r="B26" s="1888"/>
      <c r="C26" s="1889" t="s">
        <v>2095</v>
      </c>
      <c r="D26" s="1889" t="s">
        <v>2095</v>
      </c>
      <c r="E26" s="1892"/>
      <c r="F26" s="1891" t="s">
        <v>2105</v>
      </c>
      <c r="H26" s="1902">
        <f t="shared" si="0"/>
        <v>5</v>
      </c>
      <c r="I26" s="1902">
        <f t="shared" si="1"/>
        <v>5</v>
      </c>
      <c r="J26" s="1902">
        <f t="shared" si="2"/>
        <v>0</v>
      </c>
    </row>
    <row r="27" spans="1:12" ht="18.75" x14ac:dyDescent="0.2">
      <c r="A27" s="1887" t="s">
        <v>1616</v>
      </c>
      <c r="B27" s="1888"/>
      <c r="C27" s="1889" t="s">
        <v>2095</v>
      </c>
      <c r="D27" s="1889" t="s">
        <v>2095</v>
      </c>
      <c r="E27" s="1892"/>
      <c r="F27" s="1891" t="s">
        <v>2106</v>
      </c>
      <c r="H27" s="1902">
        <f t="shared" si="0"/>
        <v>5</v>
      </c>
      <c r="I27" s="1902">
        <f t="shared" si="1"/>
        <v>5</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t="s">
        <v>2095</v>
      </c>
      <c r="D29" s="1889" t="s">
        <v>2095</v>
      </c>
      <c r="E29" s="1892"/>
      <c r="F29" s="1891" t="s">
        <v>2107</v>
      </c>
      <c r="H29" s="1902">
        <f t="shared" si="0"/>
        <v>5</v>
      </c>
      <c r="I29" s="1902">
        <f t="shared" si="1"/>
        <v>5</v>
      </c>
      <c r="J29" s="1902">
        <f t="shared" si="2"/>
        <v>0</v>
      </c>
    </row>
    <row r="30" spans="1:12" ht="12" customHeight="1" x14ac:dyDescent="0.2">
      <c r="A30" s="1887" t="s">
        <v>1619</v>
      </c>
      <c r="B30" s="1888"/>
      <c r="C30" s="1889" t="s">
        <v>2095</v>
      </c>
      <c r="D30" s="1889" t="s">
        <v>2095</v>
      </c>
      <c r="E30" s="1892"/>
      <c r="F30" s="1891" t="s">
        <v>2109</v>
      </c>
      <c r="H30" s="1902">
        <f t="shared" si="0"/>
        <v>5</v>
      </c>
      <c r="I30" s="1902">
        <f t="shared" si="1"/>
        <v>5</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70</v>
      </c>
      <c r="I34" s="1902">
        <f>SUM(I11:I32)</f>
        <v>65</v>
      </c>
      <c r="J34" s="1902">
        <f>SUM(J11:J32)</f>
        <v>0</v>
      </c>
      <c r="K34" s="1902">
        <f>SUM(H34:J34)</f>
        <v>135</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I269" sqref="I26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4" t="str">
        <f>COVER!A17</f>
        <v>Harrison SD 36</v>
      </c>
      <c r="J6" s="2335"/>
      <c r="Q6" s="1686"/>
    </row>
    <row r="7" spans="1:17" x14ac:dyDescent="0.2">
      <c r="A7" s="2336" t="s">
        <v>924</v>
      </c>
      <c r="B7" s="2337"/>
      <c r="C7" s="2337"/>
      <c r="D7" s="2337"/>
      <c r="E7" s="2338"/>
      <c r="F7" s="1018"/>
      <c r="G7" s="1010"/>
      <c r="H7" s="1017" t="s">
        <v>390</v>
      </c>
      <c r="I7" s="2339" t="str">
        <f>COVER!A13</f>
        <v>44-063-0360-02</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137283</v>
      </c>
      <c r="F12" s="1040"/>
      <c r="G12" s="1834">
        <f t="shared" ref="G12:G18" si="0">SUM(E12:F12)</f>
        <v>137283</v>
      </c>
      <c r="H12" s="1041">
        <v>140516</v>
      </c>
      <c r="I12" s="1040"/>
      <c r="J12" s="1834">
        <f t="shared" ref="J12:J18" si="1">SUM(H12:I12)</f>
        <v>140516</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137283</v>
      </c>
      <c r="F19" s="1836">
        <f t="shared" si="2"/>
        <v>0</v>
      </c>
      <c r="G19" s="1836">
        <f t="shared" si="2"/>
        <v>137283</v>
      </c>
      <c r="H19" s="1836">
        <f t="shared" si="2"/>
        <v>140516</v>
      </c>
      <c r="I19" s="1836">
        <f t="shared" si="2"/>
        <v>0</v>
      </c>
      <c r="J19" s="1836">
        <f t="shared" si="2"/>
        <v>140516</v>
      </c>
    </row>
    <row r="20" spans="1:10" ht="13.5" thickTop="1" x14ac:dyDescent="0.2">
      <c r="A20" s="1036">
        <v>9</v>
      </c>
      <c r="B20" s="2346" t="s">
        <v>1703</v>
      </c>
      <c r="C20" s="2346"/>
      <c r="D20" s="2347"/>
      <c r="E20" s="1047"/>
      <c r="F20" s="1047"/>
      <c r="G20" s="1047"/>
      <c r="H20" s="1047"/>
      <c r="I20" s="1047"/>
      <c r="J20" s="1837">
        <f>IF(AND(G19&gt;0,J19&gt;0),(((J19-G19)/G19)),"Enter Budget Data")</f>
        <v>2.3549893286131569E-2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C65"/>
  <sheetViews>
    <sheetView showGridLines="0" zoomScale="110" zoomScaleNormal="110" workbookViewId="0">
      <selection activeCell="B11" sqref="B11"/>
    </sheetView>
  </sheetViews>
  <sheetFormatPr defaultColWidth="9.140625" defaultRowHeight="12.75" x14ac:dyDescent="0.2"/>
  <cols>
    <col min="1" max="1" width="3" style="329" customWidth="1"/>
    <col min="2" max="2" width="54.28515625" style="329" customWidth="1"/>
    <col min="3" max="3" width="3.140625" style="329" customWidth="1"/>
    <col min="4" max="16384" width="9.140625" style="329"/>
  </cols>
  <sheetData>
    <row r="2" spans="1:3" x14ac:dyDescent="0.2">
      <c r="A2" s="389" t="s">
        <v>276</v>
      </c>
    </row>
    <row r="3" spans="1:3" x14ac:dyDescent="0.2">
      <c r="A3" s="329" t="s">
        <v>277</v>
      </c>
    </row>
    <row r="5" spans="1:3" x14ac:dyDescent="0.2">
      <c r="A5" s="1069">
        <v>1</v>
      </c>
      <c r="B5" s="329" t="s">
        <v>2110</v>
      </c>
      <c r="C5" s="329" t="s">
        <v>2111</v>
      </c>
    </row>
    <row r="6" spans="1:3" x14ac:dyDescent="0.2">
      <c r="A6" s="1069">
        <v>2</v>
      </c>
      <c r="B6" s="329" t="s">
        <v>2112</v>
      </c>
      <c r="C6" s="329" t="s">
        <v>2113</v>
      </c>
    </row>
    <row r="7" spans="1:3" x14ac:dyDescent="0.2">
      <c r="A7" s="1069">
        <v>3</v>
      </c>
      <c r="B7" s="329" t="s">
        <v>2114</v>
      </c>
      <c r="C7" s="329" t="s">
        <v>2115</v>
      </c>
    </row>
    <row r="8" spans="1:3" x14ac:dyDescent="0.2">
      <c r="A8" s="1069">
        <v>4</v>
      </c>
      <c r="B8" s="329" t="s">
        <v>2148</v>
      </c>
      <c r="C8" s="329" t="s">
        <v>2118</v>
      </c>
    </row>
    <row r="9" spans="1:3" x14ac:dyDescent="0.2">
      <c r="A9" s="1070">
        <v>5</v>
      </c>
      <c r="B9" s="329" t="s">
        <v>2116</v>
      </c>
      <c r="C9" s="329" t="s">
        <v>2119</v>
      </c>
    </row>
    <row r="10" spans="1:3" x14ac:dyDescent="0.2">
      <c r="A10" s="1070">
        <v>6</v>
      </c>
      <c r="B10" s="329" t="s">
        <v>2144</v>
      </c>
      <c r="C10" s="329" t="s">
        <v>2117</v>
      </c>
    </row>
    <row r="11" spans="1:3" x14ac:dyDescent="0.2">
      <c r="A11" s="1070">
        <v>7</v>
      </c>
      <c r="B11" s="329" t="s">
        <v>2146</v>
      </c>
      <c r="C11" s="329" t="s">
        <v>2120</v>
      </c>
    </row>
    <row r="12" spans="1:3" x14ac:dyDescent="0.2">
      <c r="A12" s="1070">
        <v>8</v>
      </c>
      <c r="B12" s="329" t="s">
        <v>2121</v>
      </c>
      <c r="C12" s="329" t="s">
        <v>2122</v>
      </c>
    </row>
    <row r="13" spans="1:3" x14ac:dyDescent="0.2">
      <c r="A13" s="1070">
        <v>9</v>
      </c>
      <c r="B13" s="329" t="s">
        <v>2145</v>
      </c>
      <c r="C13" s="329" t="s">
        <v>2123</v>
      </c>
    </row>
    <row r="14" spans="1:3" x14ac:dyDescent="0.2">
      <c r="A14" s="1070"/>
    </row>
    <row r="15" spans="1:3" x14ac:dyDescent="0.2">
      <c r="A15" s="1070"/>
    </row>
    <row r="16" spans="1:3"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Harrison SD 36</v>
      </c>
    </row>
    <row r="65" spans="2:2" x14ac:dyDescent="0.2">
      <c r="B65" s="1071" t="str">
        <f>COVER!A13</f>
        <v>44-063-0360-02</v>
      </c>
    </row>
  </sheetData>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22" zoomScale="110" zoomScaleNormal="110" workbookViewId="0">
      <selection activeCell="I269" sqref="I26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I269" sqref="I26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8</xdr:col>
                <xdr:colOff>0</xdr:colOff>
                <xdr:row>268</xdr:row>
                <xdr:rowOff>0</xdr:rowOff>
              </from>
              <to>
                <xdr:col>9</xdr:col>
                <xdr:colOff>304800</xdr:colOff>
                <xdr:row>272</xdr:row>
                <xdr:rowOff>38100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80" r:id="rId6">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018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topLeftCell="A4" zoomScale="110" zoomScaleNormal="110" workbookViewId="0">
      <selection activeCell="I269" sqref="I26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4504053</v>
      </c>
      <c r="C8" s="1838">
        <f>'Acct Summary 7-8'!D8</f>
        <v>348036</v>
      </c>
      <c r="D8" s="1838">
        <f>'Acct Summary 7-8'!F8</f>
        <v>654728</v>
      </c>
      <c r="E8" s="1838">
        <f>'Acct Summary 7-8'!I8</f>
        <v>30990</v>
      </c>
      <c r="F8" s="1838">
        <f>SUM(B8:E8)</f>
        <v>5537807</v>
      </c>
    </row>
    <row r="9" spans="1:8" s="1080" customFormat="1" ht="14.25" customHeight="1" thickBot="1" x14ac:dyDescent="0.25">
      <c r="A9" s="1079" t="s">
        <v>1436</v>
      </c>
      <c r="B9" s="1839">
        <f>'Acct Summary 7-8'!C17</f>
        <v>4140705</v>
      </c>
      <c r="C9" s="1839">
        <f>'Acct Summary 7-8'!D17</f>
        <v>647760</v>
      </c>
      <c r="D9" s="1839">
        <f>'Acct Summary 7-8'!F17</f>
        <v>638693</v>
      </c>
      <c r="E9" s="1838"/>
      <c r="F9" s="1838">
        <f>SUM(B9:E9)</f>
        <v>5427158</v>
      </c>
    </row>
    <row r="10" spans="1:8" s="1080" customFormat="1" ht="14.25" thickTop="1" thickBot="1" x14ac:dyDescent="0.25">
      <c r="A10" s="1081" t="s">
        <v>1437</v>
      </c>
      <c r="B10" s="1840">
        <f>(B8-B9)</f>
        <v>363348</v>
      </c>
      <c r="C10" s="1840">
        <f>(C8-C9)</f>
        <v>-299724</v>
      </c>
      <c r="D10" s="1840">
        <f>(D8-D9)</f>
        <v>16035</v>
      </c>
      <c r="E10" s="1839">
        <f>(E8-E9)</f>
        <v>30990</v>
      </c>
      <c r="F10" s="1841">
        <f>SUM(F8-F9)</f>
        <v>110649</v>
      </c>
    </row>
    <row r="11" spans="1:8" s="1080" customFormat="1" ht="14.25" thickTop="1" thickBot="1" x14ac:dyDescent="0.25">
      <c r="A11" s="1082" t="s">
        <v>1785</v>
      </c>
      <c r="B11" s="1842">
        <f>'Acct Summary 7-8'!C81</f>
        <v>3744807</v>
      </c>
      <c r="C11" s="1842">
        <f>'Acct Summary 7-8'!D81</f>
        <v>603509</v>
      </c>
      <c r="D11" s="1842">
        <f>'Acct Summary 7-8'!F81</f>
        <v>196540</v>
      </c>
      <c r="E11" s="1842">
        <f>'Acct Summary 7-8'!I81</f>
        <v>424850</v>
      </c>
      <c r="F11" s="1843">
        <f>SUM(B11:E11)</f>
        <v>4969706</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2" colorId="8" zoomScale="110" zoomScaleNormal="110" workbookViewId="0">
      <selection activeCell="I269" sqref="I26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44-063-0360-02</v>
      </c>
    </row>
    <row r="3" spans="1:2" x14ac:dyDescent="0.2">
      <c r="A3" t="s">
        <v>1013</v>
      </c>
      <c r="B3" s="138" t="str">
        <f>COVER!A15</f>
        <v>MCHENRY</v>
      </c>
    </row>
    <row r="4" spans="1:2" x14ac:dyDescent="0.2">
      <c r="A4" t="s">
        <v>1064</v>
      </c>
      <c r="B4" s="138" t="str">
        <f>COVER!A17</f>
        <v>Harrison SD 36</v>
      </c>
    </row>
    <row r="5" spans="1:2" x14ac:dyDescent="0.2">
      <c r="A5" t="s">
        <v>728</v>
      </c>
      <c r="B5" s="138" t="str">
        <f>COVER!A38</f>
        <v>SUSAN WINGS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CHERYDEN JUERGENSEN</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3749336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4529</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4529</v>
      </c>
      <c r="C91" s="2" t="s">
        <v>594</v>
      </c>
      <c r="D91" s="2" t="str">
        <f t="shared" si="0"/>
        <v>Error?</v>
      </c>
    </row>
    <row r="92" spans="1:4" x14ac:dyDescent="0.2">
      <c r="A92" s="5">
        <v>31</v>
      </c>
      <c r="B92" s="138">
        <f>'Assets-Liab 5-6'!C39</f>
        <v>3744807</v>
      </c>
      <c r="D92" s="2" t="str">
        <f t="shared" si="0"/>
        <v>Error?</v>
      </c>
    </row>
    <row r="93" spans="1:4" x14ac:dyDescent="0.2">
      <c r="A93" s="5">
        <v>32</v>
      </c>
      <c r="B93" s="138">
        <f>'Assets-Liab 5-6'!C41</f>
        <v>3749336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603509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603509</v>
      </c>
      <c r="D123" s="2" t="str">
        <f t="shared" si="0"/>
        <v>Error?</v>
      </c>
    </row>
    <row r="124" spans="1:4" x14ac:dyDescent="0.2">
      <c r="A124" s="5">
        <v>63</v>
      </c>
      <c r="B124" s="138">
        <f>'Assets-Liab 5-6'!D41</f>
        <v>603509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1336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1336</v>
      </c>
      <c r="D140" s="2" t="str">
        <f t="shared" si="1"/>
        <v>Error?</v>
      </c>
    </row>
    <row r="141" spans="1:4" x14ac:dyDescent="0.2">
      <c r="A141" s="5">
        <v>80</v>
      </c>
      <c r="B141" s="138">
        <f>'Assets-Liab 5-6'!E41</f>
        <v>1336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196540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196540</v>
      </c>
      <c r="D170" s="2" t="str">
        <f t="shared" si="1"/>
        <v>Error?</v>
      </c>
    </row>
    <row r="171" spans="1:4" x14ac:dyDescent="0.2">
      <c r="A171" s="5">
        <v>110</v>
      </c>
      <c r="B171" s="138">
        <f>'Assets-Liab 5-6'!F41</f>
        <v>196540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145695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80557</v>
      </c>
      <c r="D189" s="2" t="str">
        <f t="shared" si="1"/>
        <v>Error?</v>
      </c>
    </row>
    <row r="190" spans="1:4" x14ac:dyDescent="0.2">
      <c r="A190" s="5">
        <v>129</v>
      </c>
      <c r="B190" s="138">
        <f>'Assets-Liab 5-6'!G41</f>
        <v>145695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928153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928153</v>
      </c>
      <c r="D212" s="2" t="str">
        <f t="shared" si="2"/>
        <v>Error?</v>
      </c>
    </row>
    <row r="213" spans="1:4" x14ac:dyDescent="0.2">
      <c r="A213" s="12">
        <v>152</v>
      </c>
      <c r="B213" s="138">
        <f>'Assets-Liab 5-6'!H41</f>
        <v>928153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24363</v>
      </c>
      <c r="D273" s="2" t="str">
        <f t="shared" si="3"/>
        <v>Error?</v>
      </c>
    </row>
    <row r="274" spans="1:4" x14ac:dyDescent="0.2">
      <c r="A274" s="5">
        <v>213</v>
      </c>
      <c r="B274" s="138">
        <f>'Assets-Liab 5-6'!M17</f>
        <v>6513425</v>
      </c>
      <c r="D274" s="2" t="str">
        <f t="shared" si="3"/>
        <v>Error?</v>
      </c>
    </row>
    <row r="275" spans="1:4" x14ac:dyDescent="0.2">
      <c r="A275" s="5">
        <v>214</v>
      </c>
      <c r="B275" s="138">
        <f>'Assets-Liab 5-6'!M18</f>
        <v>339573</v>
      </c>
      <c r="D275" s="2" t="str">
        <f t="shared" si="3"/>
        <v>Error?</v>
      </c>
    </row>
    <row r="276" spans="1:4" x14ac:dyDescent="0.2">
      <c r="A276" s="5">
        <v>215</v>
      </c>
      <c r="B276" s="138">
        <f>'Assets-Liab 5-6'!M19</f>
        <v>843629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13542928</v>
      </c>
      <c r="C279" s="2" t="s">
        <v>594</v>
      </c>
      <c r="D279" s="2" t="str">
        <f t="shared" si="3"/>
        <v>Error?</v>
      </c>
    </row>
    <row r="280" spans="1:4" x14ac:dyDescent="0.2">
      <c r="A280" s="5">
        <v>219</v>
      </c>
      <c r="B280" s="138">
        <f>'Assets-Liab 5-6'!M40</f>
        <v>13542928</v>
      </c>
      <c r="D280" s="2" t="str">
        <f t="shared" si="3"/>
        <v>Error?</v>
      </c>
    </row>
    <row r="281" spans="1:4" x14ac:dyDescent="0.2">
      <c r="A281" s="5">
        <v>220</v>
      </c>
      <c r="B281" s="138">
        <f>'Assets-Liab 5-6'!M41</f>
        <v>13542928</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1175757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53634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1569990</v>
      </c>
      <c r="C720" s="2" t="s">
        <v>594</v>
      </c>
      <c r="D720" s="2" t="str">
        <f t="shared" si="10"/>
        <v>Error?</v>
      </c>
    </row>
    <row r="721" spans="1:4" x14ac:dyDescent="0.2">
      <c r="A721" s="5">
        <v>660</v>
      </c>
      <c r="B721" s="138">
        <f>'Expenditures 15-22'!C36</f>
        <v>49136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112651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56737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218524</v>
      </c>
      <c r="C727" s="2" t="s">
        <v>594</v>
      </c>
      <c r="D727" s="2" t="str">
        <f t="shared" si="10"/>
        <v>Error?</v>
      </c>
    </row>
    <row r="728" spans="1:4" x14ac:dyDescent="0.2">
      <c r="A728" s="5">
        <v>667</v>
      </c>
      <c r="B728" s="138">
        <f>'Expenditures 15-22'!C44</f>
        <v>60074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60074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102483</v>
      </c>
      <c r="D733" s="2" t="str">
        <f t="shared" si="10"/>
        <v>Error?</v>
      </c>
    </row>
    <row r="734" spans="1:4" x14ac:dyDescent="0.2">
      <c r="A734" s="5">
        <v>673</v>
      </c>
      <c r="B734" s="138">
        <f>'Expenditures 15-22'!C53</f>
        <v>102483</v>
      </c>
      <c r="C734" s="2" t="s">
        <v>594</v>
      </c>
      <c r="D734" s="2" t="str">
        <f t="shared" si="10"/>
        <v>Error?</v>
      </c>
    </row>
    <row r="735" spans="1:4" x14ac:dyDescent="0.2">
      <c r="A735" s="5">
        <v>674</v>
      </c>
      <c r="B735" s="138">
        <f>'Expenditures 15-22'!C55</f>
        <v>215412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215412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63797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7870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71667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668160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2238150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257161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2724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341130</v>
      </c>
      <c r="C778" s="2" t="s">
        <v>594</v>
      </c>
      <c r="D778" s="2" t="str">
        <f t="shared" si="11"/>
        <v>Error?</v>
      </c>
    </row>
    <row r="779" spans="1:4" x14ac:dyDescent="0.2">
      <c r="A779" s="5">
        <v>718</v>
      </c>
      <c r="B779" s="138">
        <f>'Expenditures 15-22'!D36</f>
        <v>12618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9697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13238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35553</v>
      </c>
      <c r="C785" s="2" t="s">
        <v>594</v>
      </c>
      <c r="D785" s="2" t="str">
        <f t="shared" si="11"/>
        <v>Error?</v>
      </c>
    </row>
    <row r="786" spans="1:4" x14ac:dyDescent="0.2">
      <c r="A786" s="5">
        <v>725</v>
      </c>
      <c r="B786" s="138">
        <f>'Expenditures 15-22'!D44</f>
        <v>3749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3749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33060</v>
      </c>
      <c r="D791" s="2" t="str">
        <f t="shared" si="11"/>
        <v>Error?</v>
      </c>
    </row>
    <row r="792" spans="1:4" x14ac:dyDescent="0.2">
      <c r="A792" s="5">
        <v>731</v>
      </c>
      <c r="B792" s="138">
        <f>'Expenditures 15-22'!D53</f>
        <v>33060</v>
      </c>
      <c r="C792" s="2" t="s">
        <v>594</v>
      </c>
      <c r="D792" s="2" t="str">
        <f t="shared" si="11"/>
        <v>Error?</v>
      </c>
    </row>
    <row r="793" spans="1:4" x14ac:dyDescent="0.2">
      <c r="A793" s="5">
        <v>732</v>
      </c>
      <c r="B793" s="138">
        <f>'Expenditures 15-22'!D55</f>
        <v>43890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43890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9697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9697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125949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467079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17553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750</v>
      </c>
      <c r="D833" s="2" t="str">
        <f t="shared" si="12"/>
        <v>Error?</v>
      </c>
    </row>
    <row r="834" spans="1:4" x14ac:dyDescent="0.2">
      <c r="A834" s="5">
        <v>773</v>
      </c>
      <c r="B834" s="138">
        <f>'Expenditures 15-22'!E14</f>
        <v>6987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96609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4842</v>
      </c>
      <c r="D839" s="2" t="str">
        <f t="shared" si="12"/>
        <v>Error?</v>
      </c>
    </row>
    <row r="840" spans="1:4" x14ac:dyDescent="0.2">
      <c r="A840" s="5">
        <v>779</v>
      </c>
      <c r="B840" s="138">
        <f>'Expenditures 15-22'!E39</f>
        <v>23000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550</v>
      </c>
      <c r="D842" s="2" t="str">
        <f t="shared" si="12"/>
        <v>Error?</v>
      </c>
    </row>
    <row r="843" spans="1:4" x14ac:dyDescent="0.2">
      <c r="A843" s="5">
        <v>782</v>
      </c>
      <c r="B843" s="138">
        <f>'Expenditures 15-22'!E42</f>
        <v>28392</v>
      </c>
      <c r="C843" s="2" t="s">
        <v>594</v>
      </c>
      <c r="D843" s="2" t="str">
        <f t="shared" si="12"/>
        <v>Error?</v>
      </c>
    </row>
    <row r="844" spans="1:4" x14ac:dyDescent="0.2">
      <c r="A844" s="5">
        <v>783</v>
      </c>
      <c r="B844" s="138">
        <f>'Expenditures 15-22'!E44</f>
        <v>10063</v>
      </c>
      <c r="D844" s="2" t="str">
        <f t="shared" si="12"/>
        <v>Error?</v>
      </c>
    </row>
    <row r="845" spans="1:4" x14ac:dyDescent="0.2">
      <c r="A845" s="5">
        <v>784</v>
      </c>
      <c r="B845" s="138">
        <f>'Expenditures 15-22'!E45</f>
        <v>104566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114629</v>
      </c>
      <c r="C847" s="2" t="s">
        <v>594</v>
      </c>
      <c r="D847" s="2" t="str">
        <f t="shared" si="12"/>
        <v>Error?</v>
      </c>
    </row>
    <row r="848" spans="1:4" x14ac:dyDescent="0.2">
      <c r="A848" s="5">
        <v>787</v>
      </c>
      <c r="B848" s="138">
        <f>'Expenditures 15-22'!E49</f>
        <v>54226</v>
      </c>
      <c r="D848" s="2" t="str">
        <f t="shared" si="12"/>
        <v>Error?</v>
      </c>
    </row>
    <row r="849" spans="1:4" x14ac:dyDescent="0.2">
      <c r="A849" s="5">
        <v>788</v>
      </c>
      <c r="B849" s="138">
        <f>'Expenditures 15-22'!E50</f>
        <v>412</v>
      </c>
      <c r="D849" s="2" t="str">
        <f t="shared" si="12"/>
        <v>Error?</v>
      </c>
    </row>
    <row r="850" spans="1:4" x14ac:dyDescent="0.2">
      <c r="A850" s="5">
        <v>789</v>
      </c>
      <c r="B850" s="138">
        <f>'Expenditures 15-22'!E53</f>
        <v>54638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27526</v>
      </c>
      <c r="D855" s="2" t="str">
        <f t="shared" si="12"/>
        <v>Error?</v>
      </c>
    </row>
    <row r="856" spans="1:4" x14ac:dyDescent="0.2">
      <c r="A856" s="5">
        <v>795</v>
      </c>
      <c r="B856" s="138">
        <f>'Expenditures 15-22'!E61</f>
        <v>19512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81876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128914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91</v>
      </c>
      <c r="D870" s="2" t="str">
        <f t="shared" si="12"/>
        <v>Error?</v>
      </c>
    </row>
    <row r="871" spans="1:4" x14ac:dyDescent="0.2">
      <c r="A871" s="5">
        <v>810</v>
      </c>
      <c r="B871" s="138">
        <f>'Expenditures 15-22'!E74</f>
        <v>326664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425875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119591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158</v>
      </c>
      <c r="D891" s="2" t="str">
        <f t="shared" si="12"/>
        <v>Error?</v>
      </c>
    </row>
    <row r="892" spans="1:4" x14ac:dyDescent="0.2">
      <c r="A892" s="5">
        <v>831</v>
      </c>
      <c r="B892" s="138">
        <f>'Expenditures 15-22'!F14</f>
        <v>7005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161794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64443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64443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988</v>
      </c>
      <c r="D907" s="2" t="str">
        <f t="shared" si="13"/>
        <v>Error?</v>
      </c>
    </row>
    <row r="908" spans="1:4" x14ac:dyDescent="0.2">
      <c r="A908" s="5">
        <v>847</v>
      </c>
      <c r="B908" s="138">
        <f>'Expenditures 15-22'!F53</f>
        <v>988</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274</v>
      </c>
      <c r="D913" s="2" t="str">
        <f t="shared" si="13"/>
        <v>Error?</v>
      </c>
    </row>
    <row r="914" spans="1:4" x14ac:dyDescent="0.2">
      <c r="A914" s="5">
        <v>853</v>
      </c>
      <c r="B914" s="138">
        <f>'Expenditures 15-22'!F61</f>
        <v>2026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2300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67731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229525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6314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6314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9198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9198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9198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15512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1698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126695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340</v>
      </c>
      <c r="D1023" s="2" t="str">
        <f t="shared" ref="D1023:D1086" si="15">IF(ISBLANK(B1023),"OK",IF(A1023-B1023=0,"OK","Error?"))</f>
        <v>Error?</v>
      </c>
    </row>
    <row r="1024" spans="1:4" x14ac:dyDescent="0.2">
      <c r="A1024" s="5">
        <v>963</v>
      </c>
      <c r="B1024" s="138">
        <f>'Expenditures 15-22'!H53</f>
        <v>340</v>
      </c>
      <c r="C1024" s="2" t="s">
        <v>594</v>
      </c>
      <c r="D1024" s="2" t="str">
        <f t="shared" si="15"/>
        <v>Error?</v>
      </c>
    </row>
    <row r="1025" spans="1:4" x14ac:dyDescent="0.2">
      <c r="A1025" s="5">
        <v>964</v>
      </c>
      <c r="B1025" s="138">
        <f>'Expenditures 15-22'!H55</f>
        <v>100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162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602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597936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725233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1577226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908</v>
      </c>
      <c r="C1105" s="2" t="s">
        <v>594</v>
      </c>
      <c r="D1105" s="2" t="str">
        <f t="shared" si="16"/>
        <v>Error?</v>
      </c>
    </row>
    <row r="1106" spans="1:4" x14ac:dyDescent="0.2">
      <c r="A1106" s="5">
        <v>1045</v>
      </c>
      <c r="B1106" s="138">
        <f>'Expenditures 15-22'!K14</f>
        <v>72048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2304569</v>
      </c>
      <c r="C1108" s="2" t="s">
        <v>594</v>
      </c>
      <c r="D1108" s="2" t="str">
        <f t="shared" si="16"/>
        <v>Error?</v>
      </c>
    </row>
    <row r="1109" spans="1:4" x14ac:dyDescent="0.2">
      <c r="A1109" s="5">
        <v>1048</v>
      </c>
      <c r="B1109" s="138">
        <f>'Expenditures 15-22'!K36</f>
        <v>61754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127190</v>
      </c>
      <c r="C1111" s="2" t="s">
        <v>594</v>
      </c>
      <c r="D1111" s="2" t="str">
        <f t="shared" si="16"/>
        <v>Error?</v>
      </c>
    </row>
    <row r="1112" spans="1:4" x14ac:dyDescent="0.2">
      <c r="A1112" s="5">
        <v>1051</v>
      </c>
      <c r="B1112" s="138">
        <f>'Expenditures 15-22'!K39</f>
        <v>23000</v>
      </c>
      <c r="C1112" s="2" t="s">
        <v>594</v>
      </c>
      <c r="D1112" s="2" t="str">
        <f t="shared" si="16"/>
        <v>Error?</v>
      </c>
    </row>
    <row r="1113" spans="1:4" x14ac:dyDescent="0.2">
      <c r="A1113" s="5">
        <v>1052</v>
      </c>
      <c r="B1113" s="138">
        <f>'Expenditures 15-22'!K40</f>
        <v>69975</v>
      </c>
      <c r="C1113" s="2" t="s">
        <v>594</v>
      </c>
      <c r="D1113" s="2" t="str">
        <f t="shared" si="16"/>
        <v>Error?</v>
      </c>
    </row>
    <row r="1114" spans="1:4" x14ac:dyDescent="0.2">
      <c r="A1114" s="5">
        <v>1053</v>
      </c>
      <c r="B1114" s="138">
        <f>'Expenditures 15-22'!K41</f>
        <v>550</v>
      </c>
      <c r="C1114" s="2" t="s">
        <v>594</v>
      </c>
      <c r="D1114" s="2" t="str">
        <f t="shared" si="16"/>
        <v>Error?</v>
      </c>
    </row>
    <row r="1115" spans="1:4" x14ac:dyDescent="0.2">
      <c r="A1115" s="5">
        <v>1054</v>
      </c>
      <c r="B1115" s="138">
        <f>'Expenditures 15-22'!K42</f>
        <v>282469</v>
      </c>
      <c r="C1115" s="2" t="s">
        <v>594</v>
      </c>
      <c r="D1115" s="2" t="str">
        <f t="shared" si="16"/>
        <v>Error?</v>
      </c>
    </row>
    <row r="1116" spans="1:4" x14ac:dyDescent="0.2">
      <c r="A1116" s="5">
        <v>1055</v>
      </c>
      <c r="B1116" s="138">
        <f>'Expenditures 15-22'!K44</f>
        <v>73886</v>
      </c>
      <c r="C1116" s="2" t="s">
        <v>594</v>
      </c>
      <c r="D1116" s="2" t="str">
        <f t="shared" si="16"/>
        <v>Error?</v>
      </c>
    </row>
    <row r="1117" spans="1:4" x14ac:dyDescent="0.2">
      <c r="A1117" s="5">
        <v>1056</v>
      </c>
      <c r="B1117" s="138">
        <f>'Expenditures 15-22'!K45</f>
        <v>215501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289387</v>
      </c>
      <c r="C1119" s="2" t="s">
        <v>594</v>
      </c>
      <c r="D1119" s="2" t="str">
        <f t="shared" si="16"/>
        <v>Error?</v>
      </c>
    </row>
    <row r="1120" spans="1:4" x14ac:dyDescent="0.2">
      <c r="A1120" s="5">
        <v>1059</v>
      </c>
      <c r="B1120" s="138">
        <f>'Expenditures 15-22'!K49</f>
        <v>54226</v>
      </c>
      <c r="C1120" s="2" t="s">
        <v>594</v>
      </c>
      <c r="D1120" s="2" t="str">
        <f t="shared" si="16"/>
        <v>Error?</v>
      </c>
    </row>
    <row r="1121" spans="1:4" x14ac:dyDescent="0.2">
      <c r="A1121" s="5">
        <v>1060</v>
      </c>
      <c r="B1121" s="138">
        <f>'Expenditures 15-22'!K50</f>
        <v>137283</v>
      </c>
      <c r="C1121" s="2" t="s">
        <v>594</v>
      </c>
      <c r="D1121" s="2" t="str">
        <f t="shared" si="16"/>
        <v>Error?</v>
      </c>
    </row>
    <row r="1122" spans="1:4" x14ac:dyDescent="0.2">
      <c r="A1122" s="5">
        <v>1061</v>
      </c>
      <c r="B1122" s="138">
        <f>'Expenditures 15-22'!K53</f>
        <v>191509</v>
      </c>
      <c r="C1122" s="2" t="s">
        <v>594</v>
      </c>
      <c r="D1122" s="2" t="str">
        <f t="shared" si="16"/>
        <v>Error?</v>
      </c>
    </row>
    <row r="1123" spans="1:4" x14ac:dyDescent="0.2">
      <c r="A1123" s="5">
        <v>1062</v>
      </c>
      <c r="B1123" s="138">
        <f>'Expenditures 15-22'!K55</f>
        <v>259402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259402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101294</v>
      </c>
      <c r="C1127" s="2" t="s">
        <v>594</v>
      </c>
      <c r="D1127" s="2" t="str">
        <f t="shared" si="16"/>
        <v>Error?</v>
      </c>
    </row>
    <row r="1128" spans="1:4" x14ac:dyDescent="0.2">
      <c r="A1128" s="5">
        <v>1067</v>
      </c>
      <c r="B1128" s="138">
        <f>'Expenditures 15-22'!K61</f>
        <v>21538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89908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212740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91</v>
      </c>
      <c r="C1142" s="2" t="s">
        <v>594</v>
      </c>
      <c r="D1142" s="2" t="str">
        <f t="shared" si="16"/>
        <v>Error?</v>
      </c>
    </row>
    <row r="1143" spans="1:4" x14ac:dyDescent="0.2">
      <c r="A1143" s="5">
        <v>1082</v>
      </c>
      <c r="B1143" s="138">
        <f>'Expenditures 15-22'!K74</f>
        <v>1235598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600538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4140705</v>
      </c>
      <c r="C1152" s="2" t="s">
        <v>594</v>
      </c>
      <c r="D1152" s="2" t="str">
        <f t="shared" si="17"/>
        <v>Error?</v>
      </c>
    </row>
    <row r="1153" spans="1:4" x14ac:dyDescent="0.2">
      <c r="A1153" s="5">
        <v>1092</v>
      </c>
      <c r="B1153" s="138">
        <f>'Expenditures 15-22'!K115</f>
        <v>363348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53341</v>
      </c>
      <c r="D1221" s="2" t="str">
        <f t="shared" si="18"/>
        <v>Error?</v>
      </c>
    </row>
    <row r="1222" spans="1:4" x14ac:dyDescent="0.2">
      <c r="A1222" s="10">
        <v>1161</v>
      </c>
      <c r="D1222" s="2" t="str">
        <f t="shared" si="18"/>
        <v>OK</v>
      </c>
    </row>
    <row r="1223" spans="1:4" x14ac:dyDescent="0.2">
      <c r="A1223" s="5">
        <v>1162</v>
      </c>
      <c r="B1223" s="138">
        <f>'Expenditures 15-22'!C127</f>
        <v>53341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53341</v>
      </c>
      <c r="C1225" s="2" t="s">
        <v>594</v>
      </c>
      <c r="D1225" s="2" t="str">
        <f t="shared" si="18"/>
        <v>Error?</v>
      </c>
    </row>
    <row r="1226" spans="1:4" x14ac:dyDescent="0.2">
      <c r="A1226" s="5">
        <v>1165</v>
      </c>
      <c r="B1226" s="138">
        <f>'Expenditures 15-22'!C151</f>
        <v>53341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8548</v>
      </c>
      <c r="D1229" s="2" t="str">
        <f t="shared" si="18"/>
        <v>Error?</v>
      </c>
    </row>
    <row r="1230" spans="1:4" x14ac:dyDescent="0.2">
      <c r="A1230" s="10">
        <v>1169</v>
      </c>
      <c r="D1230" s="2" t="str">
        <f t="shared" si="18"/>
        <v>OK</v>
      </c>
    </row>
    <row r="1231" spans="1:4" x14ac:dyDescent="0.2">
      <c r="A1231" s="5">
        <v>1170</v>
      </c>
      <c r="B1231" s="138">
        <f>'Expenditures 15-22'!D127</f>
        <v>8548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8548</v>
      </c>
      <c r="C1233" s="2" t="s">
        <v>594</v>
      </c>
      <c r="D1233" s="2" t="str">
        <f t="shared" si="18"/>
        <v>Error?</v>
      </c>
    </row>
    <row r="1234" spans="1:4" x14ac:dyDescent="0.2">
      <c r="A1234" s="5">
        <v>1173</v>
      </c>
      <c r="B1234" s="138">
        <f>'Expenditures 15-22'!D151</f>
        <v>8548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75630</v>
      </c>
      <c r="D1236" s="2" t="str">
        <f t="shared" si="18"/>
        <v>Error?</v>
      </c>
    </row>
    <row r="1237" spans="1:4" x14ac:dyDescent="0.2">
      <c r="A1237" s="5">
        <v>1176</v>
      </c>
      <c r="B1237" s="138">
        <f>'Expenditures 15-22'!E124</f>
        <v>352160</v>
      </c>
      <c r="D1237" s="2" t="str">
        <f t="shared" si="18"/>
        <v>Error?</v>
      </c>
    </row>
    <row r="1238" spans="1:4" x14ac:dyDescent="0.2">
      <c r="A1238" s="10">
        <v>1177</v>
      </c>
      <c r="D1238" s="2" t="str">
        <f t="shared" si="18"/>
        <v>OK</v>
      </c>
    </row>
    <row r="1239" spans="1:4" x14ac:dyDescent="0.2">
      <c r="A1239" s="5">
        <v>1178</v>
      </c>
      <c r="B1239" s="138">
        <f>'Expenditures 15-22'!E127</f>
        <v>427790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427790</v>
      </c>
      <c r="C1241" s="2" t="s">
        <v>594</v>
      </c>
      <c r="D1241" s="2" t="str">
        <f t="shared" si="18"/>
        <v>Error?</v>
      </c>
    </row>
    <row r="1242" spans="1:4" x14ac:dyDescent="0.2">
      <c r="A1242" s="5">
        <v>1181</v>
      </c>
      <c r="B1242" s="138">
        <f>'Expenditures 15-22'!E151</f>
        <v>427790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2600</v>
      </c>
      <c r="D1244" s="2" t="str">
        <f t="shared" si="18"/>
        <v>Error?</v>
      </c>
    </row>
    <row r="1245" spans="1:4" x14ac:dyDescent="0.2">
      <c r="A1245" s="5">
        <v>1184</v>
      </c>
      <c r="B1245" s="138">
        <f>'Expenditures 15-22'!F124</f>
        <v>66843</v>
      </c>
      <c r="D1245" s="2" t="str">
        <f t="shared" si="18"/>
        <v>Error?</v>
      </c>
    </row>
    <row r="1246" spans="1:4" x14ac:dyDescent="0.2">
      <c r="A1246" s="10">
        <v>1185</v>
      </c>
      <c r="D1246" s="2" t="str">
        <f t="shared" si="18"/>
        <v>OK</v>
      </c>
    </row>
    <row r="1247" spans="1:4" x14ac:dyDescent="0.2">
      <c r="A1247" s="5">
        <v>1186</v>
      </c>
      <c r="B1247" s="138">
        <f>'Expenditures 15-22'!F127</f>
        <v>69443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69443</v>
      </c>
      <c r="C1249" s="2" t="s">
        <v>594</v>
      </c>
      <c r="D1249" s="2" t="str">
        <f t="shared" si="18"/>
        <v>Error?</v>
      </c>
    </row>
    <row r="1250" spans="1:4" x14ac:dyDescent="0.2">
      <c r="A1250" s="5">
        <v>1189</v>
      </c>
      <c r="B1250" s="138">
        <f>'Expenditures 15-22'!F151</f>
        <v>69443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68286</v>
      </c>
      <c r="D1252" s="2" t="str">
        <f t="shared" si="18"/>
        <v>Error?</v>
      </c>
    </row>
    <row r="1253" spans="1:4" x14ac:dyDescent="0.2">
      <c r="A1253" s="5">
        <v>1192</v>
      </c>
      <c r="B1253" s="138">
        <f>'Expenditures 15-22'!G124</f>
        <v>15223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83509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83509</v>
      </c>
      <c r="C1258" s="2" t="s">
        <v>594</v>
      </c>
      <c r="D1258" s="2" t="str">
        <f t="shared" si="18"/>
        <v>Error?</v>
      </c>
    </row>
    <row r="1259" spans="1:4" x14ac:dyDescent="0.2">
      <c r="A1259" s="5">
        <v>1198</v>
      </c>
      <c r="B1259" s="138">
        <f>'Expenditures 15-22'!G151</f>
        <v>83509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146516</v>
      </c>
      <c r="C1275" s="2" t="s">
        <v>594</v>
      </c>
      <c r="D1275" s="2" t="str">
        <f t="shared" si="18"/>
        <v>Error?</v>
      </c>
    </row>
    <row r="1276" spans="1:4" x14ac:dyDescent="0.2">
      <c r="A1276" s="5">
        <v>1215</v>
      </c>
      <c r="B1276" s="138">
        <f>'Expenditures 15-22'!K124</f>
        <v>501244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647760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647760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647760</v>
      </c>
      <c r="C1288" s="2" t="s">
        <v>594</v>
      </c>
      <c r="D1288" s="2" t="str">
        <f t="shared" si="19"/>
        <v>Error?</v>
      </c>
    </row>
    <row r="1289" spans="1:4" x14ac:dyDescent="0.2">
      <c r="A1289" s="5">
        <v>1228</v>
      </c>
      <c r="B1289" s="138">
        <f>'Expenditures 15-22'!K152</f>
        <v>-299724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24326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1095000</v>
      </c>
      <c r="D1315" s="2" t="str">
        <f t="shared" si="19"/>
        <v>Error?</v>
      </c>
    </row>
    <row r="1316" spans="1:4" x14ac:dyDescent="0.2">
      <c r="A1316" s="5">
        <v>1255</v>
      </c>
      <c r="B1316" s="138">
        <f>'Expenditures 15-22'!H171</f>
        <v>350</v>
      </c>
      <c r="D1316" s="2" t="str">
        <f t="shared" si="19"/>
        <v>Error?</v>
      </c>
    </row>
    <row r="1317" spans="1:4" x14ac:dyDescent="0.2">
      <c r="A1317" s="5">
        <v>1256</v>
      </c>
      <c r="B1317" s="138">
        <f>'Expenditures 15-22'!H172</f>
        <v>1119676</v>
      </c>
      <c r="C1317" s="2" t="s">
        <v>594</v>
      </c>
      <c r="D1317" s="2" t="str">
        <f t="shared" si="19"/>
        <v>Error?</v>
      </c>
    </row>
    <row r="1318" spans="1:4" x14ac:dyDescent="0.2">
      <c r="A1318" s="5">
        <v>1257</v>
      </c>
      <c r="B1318" s="138">
        <f>'Expenditures 15-22'!H174</f>
        <v>1119676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24326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1095000</v>
      </c>
      <c r="C1329" s="2" t="s">
        <v>594</v>
      </c>
      <c r="D1329" s="2" t="str">
        <f t="shared" si="19"/>
        <v>Error?</v>
      </c>
    </row>
    <row r="1330" spans="1:4" x14ac:dyDescent="0.2">
      <c r="A1330" s="5">
        <v>1269</v>
      </c>
      <c r="B1330" s="138">
        <f>'Expenditures 15-22'!K171</f>
        <v>350</v>
      </c>
      <c r="C1330" s="2" t="s">
        <v>594</v>
      </c>
      <c r="D1330" s="2" t="str">
        <f t="shared" si="19"/>
        <v>Error?</v>
      </c>
    </row>
    <row r="1331" spans="1:4" x14ac:dyDescent="0.2">
      <c r="A1331" s="5">
        <v>1270</v>
      </c>
      <c r="B1331" s="138">
        <f>'Expenditures 15-22'!K172</f>
        <v>1119676</v>
      </c>
      <c r="C1331" s="2" t="s">
        <v>594</v>
      </c>
      <c r="D1331" s="2" t="str">
        <f t="shared" si="19"/>
        <v>Error?</v>
      </c>
    </row>
    <row r="1332" spans="1:4" x14ac:dyDescent="0.2">
      <c r="A1332" s="5">
        <v>1271</v>
      </c>
      <c r="B1332" s="138">
        <f>'Expenditures 15-22'!K174</f>
        <v>1119676</v>
      </c>
      <c r="C1332" s="2" t="s">
        <v>594</v>
      </c>
      <c r="D1332" s="2" t="str">
        <f t="shared" si="19"/>
        <v>Error?</v>
      </c>
    </row>
    <row r="1333" spans="1:4" x14ac:dyDescent="0.2">
      <c r="A1333" s="5">
        <v>1272</v>
      </c>
      <c r="B1333" s="138">
        <f>'Expenditures 15-22'!K175</f>
        <v>-1119676</v>
      </c>
      <c r="C1333" s="2" t="s">
        <v>594</v>
      </c>
      <c r="D1333" s="2" t="str">
        <f t="shared" si="19"/>
        <v>Error?</v>
      </c>
    </row>
    <row r="1334" spans="1:4" x14ac:dyDescent="0.2">
      <c r="A1334" s="10">
        <v>1273</v>
      </c>
      <c r="D1334" s="2" t="str">
        <f t="shared" si="19"/>
        <v>OK</v>
      </c>
    </row>
    <row r="1335" spans="1:4" x14ac:dyDescent="0.2">
      <c r="A1335" s="5">
        <v>1274</v>
      </c>
      <c r="B1335" s="138">
        <f>'Expenditures 15-22'!C182</f>
        <v>8912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8912</v>
      </c>
      <c r="C1339" s="2" t="s">
        <v>594</v>
      </c>
      <c r="D1339" s="2" t="str">
        <f t="shared" si="19"/>
        <v>Error?</v>
      </c>
    </row>
    <row r="1340" spans="1:4" x14ac:dyDescent="0.2">
      <c r="A1340" s="5">
        <v>1279</v>
      </c>
      <c r="B1340" s="138">
        <f>'Expenditures 15-22'!C210</f>
        <v>8912</v>
      </c>
      <c r="C1340" s="2" t="s">
        <v>594</v>
      </c>
      <c r="D1340" s="2" t="str">
        <f t="shared" si="19"/>
        <v>Error?</v>
      </c>
    </row>
    <row r="1341" spans="1:4" x14ac:dyDescent="0.2">
      <c r="A1341" s="5">
        <v>1280</v>
      </c>
      <c r="B1341" s="138">
        <f>'Expenditures 15-22'!D182</f>
        <v>2539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2539</v>
      </c>
      <c r="C1345" s="2" t="s">
        <v>594</v>
      </c>
      <c r="D1345" s="2" t="str">
        <f t="shared" si="20"/>
        <v>Error?</v>
      </c>
    </row>
    <row r="1346" spans="1:4" x14ac:dyDescent="0.2">
      <c r="A1346" s="5">
        <v>1285</v>
      </c>
      <c r="B1346" s="138">
        <f>'Expenditures 15-22'!D210</f>
        <v>2539</v>
      </c>
      <c r="C1346" s="2" t="s">
        <v>594</v>
      </c>
      <c r="D1346" s="2" t="str">
        <f t="shared" si="20"/>
        <v>Error?</v>
      </c>
    </row>
    <row r="1347" spans="1:4" x14ac:dyDescent="0.2">
      <c r="A1347" s="5">
        <v>1286</v>
      </c>
      <c r="B1347" s="138">
        <f>'Expenditures 15-22'!E182</f>
        <v>615924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615924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615924</v>
      </c>
      <c r="C1353" s="2" t="s">
        <v>594</v>
      </c>
      <c r="D1353" s="2" t="str">
        <f t="shared" si="20"/>
        <v>Error?</v>
      </c>
    </row>
    <row r="1354" spans="1:4" x14ac:dyDescent="0.2">
      <c r="A1354" s="5">
        <v>1293</v>
      </c>
      <c r="B1354" s="138">
        <f>'Expenditures 15-22'!F182</f>
        <v>11318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11318</v>
      </c>
      <c r="C1358" s="2" t="s">
        <v>594</v>
      </c>
      <c r="D1358" s="2" t="str">
        <f t="shared" si="20"/>
        <v>Error?</v>
      </c>
    </row>
    <row r="1359" spans="1:4" x14ac:dyDescent="0.2">
      <c r="A1359" s="5">
        <v>1298</v>
      </c>
      <c r="B1359" s="138">
        <f>'Expenditures 15-22'!F210</f>
        <v>11318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638693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638693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638693</v>
      </c>
      <c r="C1388" s="2" t="s">
        <v>594</v>
      </c>
      <c r="D1388" s="2" t="str">
        <f t="shared" si="20"/>
        <v>Error?</v>
      </c>
    </row>
    <row r="1389" spans="1:4" x14ac:dyDescent="0.2">
      <c r="A1389" s="5">
        <v>1328</v>
      </c>
      <c r="B1389" s="138">
        <f>'Expenditures 15-22'!K211</f>
        <v>16035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1501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36250</v>
      </c>
      <c r="C1410" s="2" t="s">
        <v>594</v>
      </c>
      <c r="D1410" s="2" t="str">
        <f t="shared" si="21"/>
        <v>Error?</v>
      </c>
    </row>
    <row r="1411" spans="1:4" x14ac:dyDescent="0.2">
      <c r="A1411" s="5">
        <v>1350</v>
      </c>
      <c r="B1411" s="138">
        <f>'Expenditures 15-22'!D232</f>
        <v>651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13209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806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14666</v>
      </c>
      <c r="C1417" s="2" t="s">
        <v>594</v>
      </c>
      <c r="D1417" s="2" t="str">
        <f t="shared" si="21"/>
        <v>Error?</v>
      </c>
    </row>
    <row r="1418" spans="1:4" x14ac:dyDescent="0.2">
      <c r="A1418" s="5">
        <v>1357</v>
      </c>
      <c r="B1418" s="138">
        <f>'Expenditures 15-22'!D240</f>
        <v>799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799</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1470</v>
      </c>
      <c r="D1423" s="2" t="str">
        <f t="shared" si="21"/>
        <v>Error?</v>
      </c>
    </row>
    <row r="1424" spans="1:4" x14ac:dyDescent="0.2">
      <c r="A1424" s="5">
        <v>1363</v>
      </c>
      <c r="B1424" s="138">
        <f>'Expenditures 15-22'!D257</f>
        <v>1470</v>
      </c>
      <c r="C1424" s="2" t="s">
        <v>594</v>
      </c>
      <c r="D1424" s="2" t="str">
        <f t="shared" si="21"/>
        <v>Error?</v>
      </c>
    </row>
    <row r="1425" spans="1:4" x14ac:dyDescent="0.2">
      <c r="A1425" s="5">
        <v>1364</v>
      </c>
      <c r="B1425" s="138">
        <f>'Expenditures 15-22'!D259</f>
        <v>8684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8684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8539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7263</v>
      </c>
      <c r="D1431" s="2" t="str">
        <f t="shared" si="21"/>
        <v>Error?</v>
      </c>
    </row>
    <row r="1432" spans="1:4" x14ac:dyDescent="0.2">
      <c r="A1432" s="5">
        <v>1371</v>
      </c>
      <c r="B1432" s="138">
        <f>'Expenditures 15-22'!D267</f>
        <v>128</v>
      </c>
      <c r="D1432" s="2" t="str">
        <f t="shared" si="21"/>
        <v>Error?</v>
      </c>
    </row>
    <row r="1433" spans="1:4" x14ac:dyDescent="0.2">
      <c r="A1433" s="5">
        <v>1372</v>
      </c>
      <c r="B1433" s="138">
        <f>'Expenditures 15-22'!D268</f>
        <v>1087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17017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42636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78886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1501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36250</v>
      </c>
      <c r="C1474" s="2" t="s">
        <v>594</v>
      </c>
      <c r="D1474" s="2" t="str">
        <f t="shared" si="22"/>
        <v>Error?</v>
      </c>
    </row>
    <row r="1475" spans="1:4" x14ac:dyDescent="0.2">
      <c r="A1475" s="5">
        <v>1414</v>
      </c>
      <c r="B1475" s="138">
        <f>'Expenditures 15-22'!K232</f>
        <v>651</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13209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806</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14666</v>
      </c>
      <c r="C1481" s="2" t="s">
        <v>594</v>
      </c>
      <c r="D1481" s="2" t="str">
        <f t="shared" si="22"/>
        <v>Error?</v>
      </c>
    </row>
    <row r="1482" spans="1:4" x14ac:dyDescent="0.2">
      <c r="A1482" s="5">
        <v>1421</v>
      </c>
      <c r="B1482" s="138">
        <f>'Expenditures 15-22'!K240</f>
        <v>799</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799</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1470</v>
      </c>
      <c r="C1487" s="2" t="s">
        <v>594</v>
      </c>
      <c r="D1487" s="2" t="str">
        <f t="shared" si="22"/>
        <v>Error?</v>
      </c>
    </row>
    <row r="1488" spans="1:4" x14ac:dyDescent="0.2">
      <c r="A1488" s="5">
        <v>1427</v>
      </c>
      <c r="B1488" s="138">
        <f>'Expenditures 15-22'!K257</f>
        <v>1470</v>
      </c>
      <c r="C1488" s="2" t="s">
        <v>594</v>
      </c>
      <c r="D1488" s="2" t="str">
        <f t="shared" si="22"/>
        <v>Error?</v>
      </c>
    </row>
    <row r="1489" spans="1:4" x14ac:dyDescent="0.2">
      <c r="A1489" s="5">
        <v>1428</v>
      </c>
      <c r="B1489" s="138">
        <f>'Expenditures 15-22'!K259</f>
        <v>8684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8684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8539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7263</v>
      </c>
      <c r="C1495" s="2" t="s">
        <v>594</v>
      </c>
      <c r="D1495" s="2" t="str">
        <f t="shared" si="22"/>
        <v>Error?</v>
      </c>
    </row>
    <row r="1496" spans="1:4" x14ac:dyDescent="0.2">
      <c r="A1496" s="5">
        <v>1435</v>
      </c>
      <c r="B1496" s="138">
        <f>'Expenditures 15-22'!K267</f>
        <v>128</v>
      </c>
      <c r="C1496" s="2" t="s">
        <v>594</v>
      </c>
      <c r="D1496" s="2" t="str">
        <f t="shared" si="22"/>
        <v>Error?</v>
      </c>
    </row>
    <row r="1497" spans="1:4" x14ac:dyDescent="0.2">
      <c r="A1497" s="5">
        <v>1436</v>
      </c>
      <c r="B1497" s="138">
        <f>'Expenditures 15-22'!K268</f>
        <v>1087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17017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42636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78886</v>
      </c>
      <c r="C1517" s="2" t="s">
        <v>594</v>
      </c>
      <c r="D1517" s="2" t="str">
        <f t="shared" si="22"/>
        <v>Error?</v>
      </c>
    </row>
    <row r="1518" spans="1:4" x14ac:dyDescent="0.2">
      <c r="A1518" s="5">
        <v>1457</v>
      </c>
      <c r="B1518" s="138">
        <f>'Expenditures 15-22'!K296</f>
        <v>85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5402487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5402487</v>
      </c>
      <c r="C1547" s="2" t="s">
        <v>594</v>
      </c>
      <c r="D1547" s="2" t="str">
        <f t="shared" si="23"/>
        <v>Error?</v>
      </c>
    </row>
    <row r="1548" spans="1:4" x14ac:dyDescent="0.2">
      <c r="A1548" s="5">
        <v>1487</v>
      </c>
      <c r="B1548" s="138">
        <f>'Expenditures 15-22'!G312</f>
        <v>5402487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5402487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5402487</v>
      </c>
      <c r="C1559" s="2" t="s">
        <v>594</v>
      </c>
      <c r="D1559" s="2" t="str">
        <f t="shared" si="23"/>
        <v>Error?</v>
      </c>
    </row>
    <row r="1560" spans="1:4" x14ac:dyDescent="0.2">
      <c r="A1560" s="5">
        <v>1499</v>
      </c>
      <c r="B1560" s="138">
        <f>'Expenditures 15-22'!K312</f>
        <v>5402487</v>
      </c>
      <c r="C1560" s="2" t="s">
        <v>594</v>
      </c>
      <c r="D1560" s="2" t="str">
        <f t="shared" si="23"/>
        <v>Error?</v>
      </c>
    </row>
    <row r="1561" spans="1:4" x14ac:dyDescent="0.2">
      <c r="A1561" s="5">
        <v>1500</v>
      </c>
      <c r="B1561" s="138">
        <f>'Expenditures 15-22'!K313</f>
        <v>-5402487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4434648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3744807</v>
      </c>
      <c r="C1630" s="2" t="s">
        <v>594</v>
      </c>
      <c r="D1630" s="2" t="str">
        <f t="shared" si="24"/>
        <v>Error?</v>
      </c>
    </row>
    <row r="1631" spans="1:4" x14ac:dyDescent="0.2">
      <c r="A1631" s="5">
        <v>1570</v>
      </c>
      <c r="B1631" s="138">
        <f>'Acct Summary 7-8'!D79</f>
        <v>569720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603509</v>
      </c>
      <c r="C1644" s="2" t="s">
        <v>594</v>
      </c>
      <c r="D1644" s="2" t="str">
        <f t="shared" si="24"/>
        <v>Error?</v>
      </c>
    </row>
    <row r="1645" spans="1:4" x14ac:dyDescent="0.2">
      <c r="A1645" s="5">
        <v>1584</v>
      </c>
      <c r="B1645" s="138">
        <f>'Acct Summary 7-8'!E79</f>
        <v>1336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1336</v>
      </c>
      <c r="C1658" s="2" t="s">
        <v>594</v>
      </c>
      <c r="D1658" s="2" t="str">
        <f t="shared" si="24"/>
        <v>Error?</v>
      </c>
    </row>
    <row r="1659" spans="1:4" x14ac:dyDescent="0.2">
      <c r="A1659" s="5">
        <v>1598</v>
      </c>
      <c r="B1659" s="138">
        <f>'Acct Summary 7-8'!F79</f>
        <v>580505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196540</v>
      </c>
      <c r="C1672" s="2" t="s">
        <v>594</v>
      </c>
      <c r="D1672" s="2" t="str">
        <f t="shared" si="25"/>
        <v>Error?</v>
      </c>
    </row>
    <row r="1673" spans="1:4" x14ac:dyDescent="0.2">
      <c r="A1673" s="5">
        <v>1612</v>
      </c>
      <c r="B1673" s="138">
        <f>'Acct Summary 7-8'!G79</f>
        <v>145610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145695</v>
      </c>
      <c r="C1686" s="2" t="s">
        <v>594</v>
      </c>
      <c r="D1686" s="2" t="str">
        <f t="shared" si="25"/>
        <v>Error?</v>
      </c>
    </row>
    <row r="1687" spans="1:4" x14ac:dyDescent="0.2">
      <c r="A1687" s="5">
        <v>1626</v>
      </c>
      <c r="B1687" s="138">
        <f>'Acct Summary 7-8'!H79</f>
        <v>6330640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928153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2169369</v>
      </c>
      <c r="C1744" s="2" t="s">
        <v>594</v>
      </c>
      <c r="D1744" s="2" t="str">
        <f t="shared" si="26"/>
        <v>Error?</v>
      </c>
    </row>
    <row r="1745" spans="1:5" x14ac:dyDescent="0.2">
      <c r="A1745" s="5">
        <v>1684</v>
      </c>
      <c r="B1745" s="138">
        <f>'Tax Sched 23'!B5</f>
        <v>340901</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405884</v>
      </c>
      <c r="C1747" s="2" t="s">
        <v>594</v>
      </c>
      <c r="D1747" s="2" t="str">
        <f t="shared" si="26"/>
        <v>Error?</v>
      </c>
    </row>
    <row r="1748" spans="1:5" x14ac:dyDescent="0.2">
      <c r="A1748" s="5">
        <v>1687</v>
      </c>
      <c r="B1748" s="138">
        <f>'Tax Sched 23'!B8</f>
        <v>24078</v>
      </c>
      <c r="C1748" s="2" t="s">
        <v>594</v>
      </c>
      <c r="D1748" s="2" t="str">
        <f t="shared" si="26"/>
        <v>Error?</v>
      </c>
    </row>
    <row r="1749" spans="1:5" x14ac:dyDescent="0.2">
      <c r="A1749" s="5">
        <v>1688</v>
      </c>
      <c r="B1749" s="138">
        <f>'Tax Sched 23'!B10</f>
        <v>30990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41293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247929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3312220</v>
      </c>
      <c r="C1759" s="2" t="s">
        <v>594</v>
      </c>
      <c r="D1759" s="2" t="str">
        <f t="shared" si="26"/>
        <v>Error?</v>
      </c>
    </row>
    <row r="1760" spans="1:5" x14ac:dyDescent="0.2">
      <c r="A1760" s="5">
        <v>1699</v>
      </c>
      <c r="B1760" s="138">
        <f>'Tax Sched 23'!D4</f>
        <v>1008835</v>
      </c>
      <c r="C1760" s="2" t="s">
        <v>594</v>
      </c>
      <c r="D1760" s="2" t="str">
        <f t="shared" si="26"/>
        <v>Error?</v>
      </c>
    </row>
    <row r="1761" spans="1:5" x14ac:dyDescent="0.2">
      <c r="A1761" s="5">
        <v>1700</v>
      </c>
      <c r="B1761" s="138">
        <f>'Tax Sched 23'!D5</f>
        <v>158531</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191114</v>
      </c>
      <c r="C1763" s="2" t="s">
        <v>594</v>
      </c>
      <c r="D1763" s="2" t="str">
        <f t="shared" si="26"/>
        <v>Error?</v>
      </c>
    </row>
    <row r="1764" spans="1:5" x14ac:dyDescent="0.2">
      <c r="A1764" s="5">
        <v>1703</v>
      </c>
      <c r="B1764" s="138">
        <f>'Tax Sched 23'!D8</f>
        <v>24078</v>
      </c>
      <c r="C1764" s="2" t="s">
        <v>594</v>
      </c>
      <c r="D1764" s="2" t="str">
        <f t="shared" si="26"/>
        <v>Error?</v>
      </c>
    </row>
    <row r="1765" spans="1:5" x14ac:dyDescent="0.2">
      <c r="A1765" s="5">
        <v>1704</v>
      </c>
      <c r="B1765" s="138">
        <f>'Tax Sched 23'!D10</f>
        <v>14411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14446</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115296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1550788</v>
      </c>
      <c r="C1775" s="2" t="s">
        <v>594</v>
      </c>
      <c r="D1775" s="2" t="str">
        <f t="shared" si="26"/>
        <v>Error?</v>
      </c>
    </row>
    <row r="1776" spans="1:5" x14ac:dyDescent="0.2">
      <c r="A1776" s="5">
        <v>1715</v>
      </c>
      <c r="B1776" s="138">
        <f>'Tax Sched 23'!C4</f>
        <v>1160534</v>
      </c>
      <c r="D1776" s="2" t="str">
        <f t="shared" si="26"/>
        <v>Error?</v>
      </c>
    </row>
    <row r="1777" spans="1:4" x14ac:dyDescent="0.2">
      <c r="A1777" s="5">
        <v>1716</v>
      </c>
      <c r="B1777" s="138">
        <f>'Tax Sched 23'!C5</f>
        <v>182370</v>
      </c>
      <c r="D1777" s="2" t="str">
        <f t="shared" si="26"/>
        <v>Error?</v>
      </c>
    </row>
    <row r="1778" spans="1:4" x14ac:dyDescent="0.2">
      <c r="A1778" s="5">
        <v>1717</v>
      </c>
      <c r="B1778" s="138">
        <f>'Tax Sched 23'!C6</f>
        <v>0</v>
      </c>
      <c r="D1778" s="2" t="str">
        <f t="shared" si="26"/>
        <v>Error?</v>
      </c>
    </row>
    <row r="1779" spans="1:4" x14ac:dyDescent="0.2">
      <c r="A1779" s="5">
        <v>1718</v>
      </c>
      <c r="B1779" s="138">
        <f>'Tax Sched 23'!C7</f>
        <v>214770</v>
      </c>
      <c r="D1779" s="2" t="str">
        <f t="shared" si="26"/>
        <v>Error?</v>
      </c>
    </row>
    <row r="1780" spans="1:4" x14ac:dyDescent="0.2">
      <c r="A1780" s="5">
        <v>1719</v>
      </c>
      <c r="B1780" s="138">
        <f>'Tax Sched 23'!C8</f>
        <v>0</v>
      </c>
      <c r="D1780" s="2" t="str">
        <f t="shared" si="26"/>
        <v>Error?</v>
      </c>
    </row>
    <row r="1781" spans="1:4" x14ac:dyDescent="0.2">
      <c r="A1781" s="5">
        <v>1720</v>
      </c>
      <c r="B1781" s="138">
        <f>'Tax Sched 23'!C10</f>
        <v>16579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26847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132633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1761432</v>
      </c>
      <c r="C1791" s="2" t="s">
        <v>594</v>
      </c>
      <c r="D1791" s="2" t="str">
        <f t="shared" ref="D1791:D1854" si="27">IF(ISBLANK(B1791),"OK",IF(A1791-B1791=0,"OK","Error?"))</f>
        <v>Error?</v>
      </c>
    </row>
    <row r="1792" spans="1:4" x14ac:dyDescent="0.2">
      <c r="A1792" s="5">
        <v>1731</v>
      </c>
      <c r="B1792" s="138">
        <f>'Tax Sched 23'!F4</f>
        <v>1000916</v>
      </c>
      <c r="C1792" s="2" t="s">
        <v>594</v>
      </c>
      <c r="D1792" s="2" t="str">
        <f t="shared" si="27"/>
        <v>Error?</v>
      </c>
    </row>
    <row r="1793" spans="1:4" x14ac:dyDescent="0.2">
      <c r="A1793" s="5">
        <v>1732</v>
      </c>
      <c r="B1793" s="138">
        <f>'Tax Sched 23'!F5</f>
        <v>157287</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185230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14300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23153</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114391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1519167</v>
      </c>
      <c r="C1807" s="2" t="s">
        <v>594</v>
      </c>
      <c r="D1807" s="2" t="str">
        <f t="shared" si="27"/>
        <v>Error?</v>
      </c>
    </row>
    <row r="1808" spans="1:4" x14ac:dyDescent="0.2">
      <c r="A1808" s="5">
        <v>1747</v>
      </c>
      <c r="B1808" s="138">
        <f>'Tax Sched 23'!E4</f>
        <v>2161450</v>
      </c>
      <c r="D1808" s="2" t="str">
        <f t="shared" si="27"/>
        <v>Error?</v>
      </c>
    </row>
    <row r="1809" spans="1:4" x14ac:dyDescent="0.2">
      <c r="A1809" s="5">
        <v>1748</v>
      </c>
      <c r="B1809" s="138">
        <f>'Tax Sched 23'!E5</f>
        <v>339657</v>
      </c>
      <c r="D1809" s="2" t="str">
        <f t="shared" si="27"/>
        <v>Error?</v>
      </c>
    </row>
    <row r="1810" spans="1:4" x14ac:dyDescent="0.2">
      <c r="A1810" s="5">
        <v>1749</v>
      </c>
      <c r="B1810" s="138">
        <f>'Tax Sched 23'!E6</f>
        <v>0</v>
      </c>
      <c r="D1810" s="2" t="str">
        <f t="shared" si="27"/>
        <v>Error?</v>
      </c>
    </row>
    <row r="1811" spans="1:4" x14ac:dyDescent="0.2">
      <c r="A1811" s="5">
        <v>1750</v>
      </c>
      <c r="B1811" s="138">
        <f>'Tax Sched 23'!E7</f>
        <v>400000</v>
      </c>
      <c r="D1811" s="2" t="str">
        <f t="shared" si="27"/>
        <v>Error?</v>
      </c>
    </row>
    <row r="1812" spans="1:4" x14ac:dyDescent="0.2">
      <c r="A1812" s="5">
        <v>1751</v>
      </c>
      <c r="B1812" s="138">
        <f>'Tax Sched 23'!E8</f>
        <v>0</v>
      </c>
      <c r="D1812" s="2" t="str">
        <f t="shared" si="27"/>
        <v>Error?</v>
      </c>
    </row>
    <row r="1813" spans="1:4" x14ac:dyDescent="0.2">
      <c r="A1813" s="5">
        <v>1752</v>
      </c>
      <c r="B1813" s="138">
        <f>'Tax Sched 23'!E10</f>
        <v>30879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247024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3280599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1095000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247929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247929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247929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24363</v>
      </c>
      <c r="D2008" s="2" t="str">
        <f t="shared" si="30"/>
        <v>Error?</v>
      </c>
    </row>
    <row r="2009" spans="1:4" x14ac:dyDescent="0.2">
      <c r="A2009" s="5">
        <v>1948</v>
      </c>
      <c r="B2009" s="138">
        <f>'Cap Outlay Deprec 26'!C8</f>
        <v>6446170</v>
      </c>
      <c r="D2009" s="2" t="str">
        <f t="shared" si="30"/>
        <v>Error?</v>
      </c>
    </row>
    <row r="2010" spans="1:4" x14ac:dyDescent="0.2">
      <c r="A2010" s="5">
        <v>1949</v>
      </c>
      <c r="B2010" s="138">
        <f>'Cap Outlay Deprec 26'!C10</f>
        <v>360108</v>
      </c>
      <c r="D2010" s="2" t="str">
        <f t="shared" si="30"/>
        <v>Error?</v>
      </c>
    </row>
    <row r="2011" spans="1:4" x14ac:dyDescent="0.2">
      <c r="A2011" s="5">
        <v>1950</v>
      </c>
      <c r="B2011" s="138">
        <f>'Cap Outlay Deprec 26'!C12</f>
        <v>820717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8070809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67255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31766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5501508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20535</v>
      </c>
      <c r="D2022" s="2" t="str">
        <f t="shared" si="30"/>
        <v>Error?</v>
      </c>
    </row>
    <row r="2023" spans="1:4" x14ac:dyDescent="0.2">
      <c r="A2023" s="5">
        <v>1962</v>
      </c>
      <c r="B2023" s="138">
        <f>'Cap Outlay Deprec 26'!E12</f>
        <v>8854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29389</v>
      </c>
      <c r="C2025" s="2" t="s">
        <v>594</v>
      </c>
      <c r="D2025" s="2" t="str">
        <f t="shared" si="30"/>
        <v>Error?</v>
      </c>
    </row>
    <row r="2026" spans="1:4" x14ac:dyDescent="0.2">
      <c r="A2026" s="5">
        <v>1965</v>
      </c>
      <c r="B2026" s="138">
        <f>'Cap Outlay Deprec 26'!F5</f>
        <v>24363</v>
      </c>
      <c r="C2026" s="2" t="s">
        <v>594</v>
      </c>
      <c r="D2026" s="2" t="str">
        <f t="shared" si="30"/>
        <v>Error?</v>
      </c>
    </row>
    <row r="2027" spans="1:4" x14ac:dyDescent="0.2">
      <c r="A2027" s="5">
        <v>1966</v>
      </c>
      <c r="B2027" s="138">
        <f>'Cap Outlay Deprec 26'!F8</f>
        <v>6513425</v>
      </c>
      <c r="C2027" s="2" t="s">
        <v>594</v>
      </c>
      <c r="D2027" s="2" t="str">
        <f t="shared" si="30"/>
        <v>Error?</v>
      </c>
    </row>
    <row r="2028" spans="1:4" x14ac:dyDescent="0.2">
      <c r="A2028" s="5">
        <v>1967</v>
      </c>
      <c r="B2028" s="138">
        <f>'Cap Outlay Deprec 26'!F10</f>
        <v>339573</v>
      </c>
      <c r="C2028" s="2" t="s">
        <v>594</v>
      </c>
      <c r="D2028" s="2" t="str">
        <f t="shared" si="30"/>
        <v>Error?</v>
      </c>
    </row>
    <row r="2029" spans="1:4" x14ac:dyDescent="0.2">
      <c r="A2029" s="5">
        <v>1968</v>
      </c>
      <c r="B2029" s="138">
        <f>'Cap Outlay Deprec 26'!F12</f>
        <v>843629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13542928</v>
      </c>
      <c r="C2031" s="2" t="s">
        <v>594</v>
      </c>
      <c r="D2031" s="2" t="str">
        <f t="shared" si="30"/>
        <v>Error?</v>
      </c>
    </row>
    <row r="2032" spans="1:4" x14ac:dyDescent="0.2">
      <c r="A2032" s="10">
        <v>1971</v>
      </c>
      <c r="D2032" s="2" t="str">
        <f t="shared" si="30"/>
        <v>OK</v>
      </c>
    </row>
    <row r="2033" spans="1:4" x14ac:dyDescent="0.2">
      <c r="A2033" s="5">
        <v>1972</v>
      </c>
      <c r="B2033" s="138">
        <f>'Cap Outlay Deprec 26'!H8</f>
        <v>3228700</v>
      </c>
      <c r="D2033" s="2" t="str">
        <f t="shared" si="30"/>
        <v>Error?</v>
      </c>
    </row>
    <row r="2034" spans="1:4" x14ac:dyDescent="0.2">
      <c r="A2034" s="5">
        <v>1973</v>
      </c>
      <c r="B2034" s="138">
        <f>'Cap Outlay Deprec 26'!H10</f>
        <v>157896</v>
      </c>
      <c r="D2034" s="2" t="str">
        <f t="shared" si="30"/>
        <v>Error?</v>
      </c>
    </row>
    <row r="2035" spans="1:4" x14ac:dyDescent="0.2">
      <c r="A2035" s="5">
        <v>1974</v>
      </c>
      <c r="B2035" s="138">
        <f>'Cap Outlay Deprec 26'!H12</f>
        <v>636614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4023210</v>
      </c>
      <c r="C2037" s="2" t="s">
        <v>594</v>
      </c>
      <c r="D2037" s="2" t="str">
        <f t="shared" si="30"/>
        <v>Error?</v>
      </c>
    </row>
    <row r="2038" spans="1:4" x14ac:dyDescent="0.2">
      <c r="A2038" s="10">
        <v>1977</v>
      </c>
      <c r="D2038" s="2" t="str">
        <f t="shared" si="30"/>
        <v>OK</v>
      </c>
    </row>
    <row r="2039" spans="1:4" x14ac:dyDescent="0.2">
      <c r="A2039" s="5">
        <v>1978</v>
      </c>
      <c r="B2039" s="138">
        <f>'Cap Outlay Deprec 26'!I8</f>
        <v>232008</v>
      </c>
      <c r="D2039" s="2" t="str">
        <f t="shared" si="30"/>
        <v>Error?</v>
      </c>
    </row>
    <row r="2040" spans="1:4" x14ac:dyDescent="0.2">
      <c r="A2040" s="5">
        <v>1979</v>
      </c>
      <c r="B2040" s="138">
        <f>'Cap Outlay Deprec 26'!I10</f>
        <v>16128</v>
      </c>
      <c r="D2040" s="2" t="str">
        <f t="shared" si="30"/>
        <v>Error?</v>
      </c>
    </row>
    <row r="2041" spans="1:4" x14ac:dyDescent="0.2">
      <c r="A2041" s="5">
        <v>1980</v>
      </c>
      <c r="B2041" s="138">
        <f>'Cap Outlay Deprec 26'!I12</f>
        <v>19647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267783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19930</v>
      </c>
      <c r="D2046" s="2" t="str">
        <f t="shared" si="30"/>
        <v>Error?</v>
      </c>
    </row>
    <row r="2047" spans="1:4" x14ac:dyDescent="0.2">
      <c r="A2047" s="5">
        <v>1986</v>
      </c>
      <c r="B2047" s="138">
        <f>'Cap Outlay Deprec 26'!J12</f>
        <v>8136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28066</v>
      </c>
      <c r="C2049" s="2" t="s">
        <v>594</v>
      </c>
      <c r="D2049" s="2" t="str">
        <f t="shared" si="31"/>
        <v>Error?</v>
      </c>
    </row>
    <row r="2050" spans="1:4" x14ac:dyDescent="0.2">
      <c r="A2050" s="10">
        <v>1989</v>
      </c>
      <c r="D2050" s="2" t="str">
        <f t="shared" si="31"/>
        <v>OK</v>
      </c>
    </row>
    <row r="2051" spans="1:4" x14ac:dyDescent="0.2">
      <c r="A2051" s="5">
        <v>1990</v>
      </c>
      <c r="B2051" s="138">
        <f>'Cap Outlay Deprec 26'!K8</f>
        <v>3460708</v>
      </c>
      <c r="C2051" s="2" t="s">
        <v>594</v>
      </c>
      <c r="D2051" s="2" t="str">
        <f t="shared" si="31"/>
        <v>Error?</v>
      </c>
    </row>
    <row r="2052" spans="1:4" x14ac:dyDescent="0.2">
      <c r="A2052" s="5">
        <v>1991</v>
      </c>
      <c r="B2052" s="138">
        <f>'Cap Outlay Deprec 26'!K10</f>
        <v>154094</v>
      </c>
      <c r="C2052" s="2" t="s">
        <v>594</v>
      </c>
      <c r="D2052" s="2" t="str">
        <f t="shared" si="31"/>
        <v>Error?</v>
      </c>
    </row>
    <row r="2053" spans="1:4" x14ac:dyDescent="0.2">
      <c r="A2053" s="5">
        <v>1992</v>
      </c>
      <c r="B2053" s="138">
        <f>'Cap Outlay Deprec 26'!K12</f>
        <v>648125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4262927</v>
      </c>
      <c r="C2055" s="2" t="s">
        <v>594</v>
      </c>
      <c r="D2055" s="2" t="str">
        <f t="shared" si="31"/>
        <v>Error?</v>
      </c>
    </row>
    <row r="2056" spans="1:4" x14ac:dyDescent="0.2">
      <c r="A2056" s="5">
        <v>1995</v>
      </c>
      <c r="B2056" s="138">
        <f>'Cap Outlay Deprec 26'!L5</f>
        <v>24363</v>
      </c>
      <c r="C2056" s="2" t="s">
        <v>594</v>
      </c>
      <c r="D2056" s="2" t="str">
        <f t="shared" si="31"/>
        <v>Error?</v>
      </c>
    </row>
    <row r="2057" spans="1:4" x14ac:dyDescent="0.2">
      <c r="A2057" s="5">
        <v>1996</v>
      </c>
      <c r="B2057" s="138">
        <f>'Cap Outlay Deprec 26'!L8</f>
        <v>3052717</v>
      </c>
      <c r="C2057" s="2" t="s">
        <v>594</v>
      </c>
      <c r="D2057" s="2" t="str">
        <f t="shared" si="31"/>
        <v>Error?</v>
      </c>
    </row>
    <row r="2058" spans="1:4" x14ac:dyDescent="0.2">
      <c r="A2058" s="5">
        <v>1997</v>
      </c>
      <c r="B2058" s="138">
        <f>'Cap Outlay Deprec 26'!L10</f>
        <v>185479</v>
      </c>
      <c r="C2058" s="2" t="s">
        <v>594</v>
      </c>
      <c r="D2058" s="2" t="str">
        <f t="shared" si="31"/>
        <v>Error?</v>
      </c>
    </row>
    <row r="2059" spans="1:4" x14ac:dyDescent="0.2">
      <c r="A2059" s="5">
        <v>1998</v>
      </c>
      <c r="B2059" s="138">
        <f>'Cap Outlay Deprec 26'!L12</f>
        <v>195504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9280001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2602</v>
      </c>
      <c r="C2088" s="2" t="s">
        <v>594</v>
      </c>
      <c r="D2088" s="2" t="str">
        <f t="shared" si="31"/>
        <v>Error?</v>
      </c>
    </row>
    <row r="2089" spans="1:4" x14ac:dyDescent="0.2">
      <c r="A2089" s="5">
        <v>2028</v>
      </c>
      <c r="B2089" s="138">
        <f>'Expenditures 15-22'!K92</f>
        <v>597936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65138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2506568</v>
      </c>
      <c r="C2551" s="2" t="s">
        <v>594</v>
      </c>
      <c r="D2551" s="2" t="str">
        <f t="shared" si="38"/>
        <v>Error?</v>
      </c>
    </row>
    <row r="2552" spans="1:4" x14ac:dyDescent="0.2">
      <c r="A2552" s="10">
        <v>2491</v>
      </c>
      <c r="D2552" s="2" t="str">
        <f t="shared" si="38"/>
        <v>OK</v>
      </c>
    </row>
    <row r="2553" spans="1:4" x14ac:dyDescent="0.2">
      <c r="A2553" s="5">
        <v>2492</v>
      </c>
      <c r="B2553" s="138">
        <f>'Acct Summary 7-8'!C6</f>
        <v>1670309</v>
      </c>
      <c r="C2553" s="2" t="s">
        <v>594</v>
      </c>
      <c r="D2553" s="2" t="str">
        <f t="shared" si="38"/>
        <v>Error?</v>
      </c>
    </row>
    <row r="2554" spans="1:4" x14ac:dyDescent="0.2">
      <c r="A2554" s="5">
        <v>2493</v>
      </c>
      <c r="B2554" s="138">
        <f>'Acct Summary 7-8'!C7</f>
        <v>327176</v>
      </c>
      <c r="C2554" s="2" t="s">
        <v>594</v>
      </c>
      <c r="D2554" s="2" t="str">
        <f t="shared" si="38"/>
        <v>Error?</v>
      </c>
    </row>
    <row r="2555" spans="1:4" x14ac:dyDescent="0.2">
      <c r="A2555" s="5">
        <v>2494</v>
      </c>
      <c r="B2555" s="138">
        <f>'Acct Summary 7-8'!C8</f>
        <v>4504053</v>
      </c>
      <c r="C2555" s="2" t="s">
        <v>594</v>
      </c>
      <c r="D2555" s="2" t="str">
        <f t="shared" si="38"/>
        <v>Error?</v>
      </c>
    </row>
    <row r="2556" spans="1:4" x14ac:dyDescent="0.2">
      <c r="A2556" s="5">
        <v>2495</v>
      </c>
      <c r="B2556" s="138">
        <f>'Acct Summary 7-8'!C12</f>
        <v>2304569</v>
      </c>
      <c r="C2556" s="2" t="s">
        <v>594</v>
      </c>
      <c r="D2556" s="2" t="str">
        <f t="shared" si="38"/>
        <v>Error?</v>
      </c>
    </row>
    <row r="2557" spans="1:4" x14ac:dyDescent="0.2">
      <c r="A2557" s="5">
        <v>2496</v>
      </c>
      <c r="B2557" s="138">
        <f>'Acct Summary 7-8'!C13</f>
        <v>1235598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600538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4140705</v>
      </c>
      <c r="C2561" s="2" t="s">
        <v>594</v>
      </c>
      <c r="D2561" s="2" t="str">
        <f t="shared" si="39"/>
        <v>Error?</v>
      </c>
    </row>
    <row r="2562" spans="1:4" x14ac:dyDescent="0.2">
      <c r="A2562" s="5">
        <v>2501</v>
      </c>
      <c r="B2562" s="138">
        <f>'Acct Summary 7-8'!C20</f>
        <v>363348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348036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348036</v>
      </c>
      <c r="C2568" s="2" t="s">
        <v>594</v>
      </c>
      <c r="D2568" s="2" t="str">
        <f t="shared" si="39"/>
        <v>Error?</v>
      </c>
    </row>
    <row r="2569" spans="1:4" x14ac:dyDescent="0.2">
      <c r="A2569" s="5">
        <v>2508</v>
      </c>
      <c r="B2569" s="138">
        <f>'Acct Summary 7-8'!D13</f>
        <v>647760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647760</v>
      </c>
      <c r="C2573" s="2" t="s">
        <v>594</v>
      </c>
      <c r="D2573" s="2" t="str">
        <f t="shared" si="39"/>
        <v>Error?</v>
      </c>
    </row>
    <row r="2574" spans="1:4" x14ac:dyDescent="0.2">
      <c r="A2574" s="5">
        <v>2513</v>
      </c>
      <c r="B2574" s="138">
        <f>'Acct Summary 7-8'!D20</f>
        <v>-299724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408449</v>
      </c>
      <c r="C2591" s="2" t="s">
        <v>594</v>
      </c>
      <c r="D2591" s="2" t="str">
        <f t="shared" si="39"/>
        <v>Error?</v>
      </c>
    </row>
    <row r="2592" spans="1:4" x14ac:dyDescent="0.2">
      <c r="A2592" s="10">
        <v>2531</v>
      </c>
      <c r="D2592" s="2" t="str">
        <f t="shared" si="39"/>
        <v>OK</v>
      </c>
    </row>
    <row r="2593" spans="1:4" x14ac:dyDescent="0.2">
      <c r="A2593" s="5">
        <v>2532</v>
      </c>
      <c r="B2593" s="138">
        <f>'Acct Summary 7-8'!F6</f>
        <v>246279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654728</v>
      </c>
      <c r="C2595" s="2" t="s">
        <v>594</v>
      </c>
      <c r="D2595" s="2" t="str">
        <f t="shared" si="39"/>
        <v>Error?</v>
      </c>
    </row>
    <row r="2596" spans="1:4" x14ac:dyDescent="0.2">
      <c r="A2596" s="5">
        <v>2535</v>
      </c>
      <c r="B2596" s="138">
        <f>'Acct Summary 7-8'!F13</f>
        <v>638693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638693</v>
      </c>
      <c r="C2600" s="2" t="s">
        <v>594</v>
      </c>
      <c r="D2600" s="2" t="str">
        <f t="shared" si="39"/>
        <v>Error?</v>
      </c>
    </row>
    <row r="2601" spans="1:4" x14ac:dyDescent="0.2">
      <c r="A2601" s="5">
        <v>2540</v>
      </c>
      <c r="B2601" s="138">
        <f>'Acct Summary 7-8'!F20</f>
        <v>16035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78971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78971</v>
      </c>
      <c r="C2606" s="2" t="s">
        <v>594</v>
      </c>
      <c r="D2606" s="2" t="str">
        <f t="shared" si="39"/>
        <v>Error?</v>
      </c>
    </row>
    <row r="2607" spans="1:4" x14ac:dyDescent="0.2">
      <c r="A2607" s="5">
        <v>2546</v>
      </c>
      <c r="B2607" s="138">
        <f>'Acct Summary 7-8'!G12</f>
        <v>36250</v>
      </c>
      <c r="C2607" s="2" t="s">
        <v>594</v>
      </c>
      <c r="D2607" s="2" t="str">
        <f t="shared" si="39"/>
        <v>Error?</v>
      </c>
    </row>
    <row r="2608" spans="1:4" x14ac:dyDescent="0.2">
      <c r="A2608" s="5">
        <v>2547</v>
      </c>
      <c r="B2608" s="138">
        <f>'Acct Summary 7-8'!G13</f>
        <v>42636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78886</v>
      </c>
      <c r="C2612" s="2" t="s">
        <v>594</v>
      </c>
      <c r="D2612" s="2" t="str">
        <f t="shared" si="39"/>
        <v>Error?</v>
      </c>
    </row>
    <row r="2613" spans="1:4" x14ac:dyDescent="0.2">
      <c r="A2613" s="5">
        <v>2552</v>
      </c>
      <c r="B2613" s="138">
        <f>'Acct Summary 7-8'!G20</f>
        <v>85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1119676</v>
      </c>
      <c r="C2634" s="2" t="s">
        <v>594</v>
      </c>
      <c r="D2634" s="2" t="str">
        <f t="shared" si="40"/>
        <v>Error?</v>
      </c>
    </row>
    <row r="2635" spans="1:4" x14ac:dyDescent="0.2">
      <c r="A2635" s="5">
        <v>2574</v>
      </c>
      <c r="B2635" s="138">
        <f>'Acct Summary 7-8'!E17</f>
        <v>1119676</v>
      </c>
      <c r="C2635" s="2" t="s">
        <v>594</v>
      </c>
      <c r="D2635" s="2" t="str">
        <f t="shared" si="40"/>
        <v>Error?</v>
      </c>
    </row>
    <row r="2636" spans="1:4" x14ac:dyDescent="0.2">
      <c r="A2636" s="5">
        <v>2575</v>
      </c>
      <c r="B2636" s="138">
        <f>'Acct Summary 7-8'!E20</f>
        <v>-1119676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5402487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5402487</v>
      </c>
      <c r="C2661" s="2" t="s">
        <v>594</v>
      </c>
      <c r="D2661" s="2" t="str">
        <f t="shared" si="40"/>
        <v>Error?</v>
      </c>
    </row>
    <row r="2662" spans="1:4" x14ac:dyDescent="0.2">
      <c r="A2662" s="5">
        <v>2601</v>
      </c>
      <c r="B2662" s="138">
        <f>'Acct Summary 7-8'!H20</f>
        <v>-5402487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2602</v>
      </c>
      <c r="C2789" s="2" t="s">
        <v>594</v>
      </c>
      <c r="D2789" s="2" t="str">
        <f t="shared" si="42"/>
        <v>Error?</v>
      </c>
    </row>
    <row r="2790" spans="1:4" x14ac:dyDescent="0.2">
      <c r="A2790" s="5">
        <v>2729</v>
      </c>
      <c r="B2790" s="138">
        <f>'Expenditures 15-22'!E102</f>
        <v>2602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5821938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424850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11005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424850</v>
      </c>
      <c r="D2912" s="2" t="str">
        <f t="shared" si="44"/>
        <v>Error?</v>
      </c>
    </row>
    <row r="2913" spans="1:4" x14ac:dyDescent="0.2">
      <c r="A2913" s="5">
        <v>2852</v>
      </c>
      <c r="B2913" s="138">
        <f>'Assets-Liab 5-6'!I41</f>
        <v>424850</v>
      </c>
      <c r="C2913" s="2" t="s">
        <v>594</v>
      </c>
      <c r="D2913" s="2" t="str">
        <f t="shared" si="44"/>
        <v>Error?</v>
      </c>
    </row>
    <row r="2914" spans="1:4" x14ac:dyDescent="0.2">
      <c r="A2914" s="5">
        <v>2853</v>
      </c>
      <c r="B2914" s="138">
        <f>'Assets-Liab 5-6'!L33</f>
        <v>11005</v>
      </c>
      <c r="D2914" s="2" t="str">
        <f t="shared" si="44"/>
        <v>Error?</v>
      </c>
    </row>
    <row r="2915" spans="1:4" x14ac:dyDescent="0.2">
      <c r="A2915" s="10">
        <v>2854</v>
      </c>
      <c r="D2915" s="2" t="str">
        <f t="shared" si="44"/>
        <v>OK</v>
      </c>
    </row>
    <row r="2916" spans="1:4" x14ac:dyDescent="0.2">
      <c r="A2916" s="5">
        <v>2855</v>
      </c>
      <c r="B2916" s="138">
        <f>'Assets-Liab 5-6'!L34</f>
        <v>11005</v>
      </c>
      <c r="C2916" s="2" t="s">
        <v>594</v>
      </c>
      <c r="D2916" s="2" t="str">
        <f t="shared" si="44"/>
        <v>Error?</v>
      </c>
    </row>
    <row r="2917" spans="1:4" x14ac:dyDescent="0.2">
      <c r="A2917" s="5">
        <v>2856</v>
      </c>
      <c r="B2917" s="138">
        <f>'Assets-Liab 5-6'!L41</f>
        <v>11005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2602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2602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41226</v>
      </c>
      <c r="D3055" s="2" t="str">
        <f t="shared" si="46"/>
        <v>Error?</v>
      </c>
    </row>
    <row r="3056" spans="1:4" x14ac:dyDescent="0.2">
      <c r="A3056" s="5">
        <v>2995</v>
      </c>
      <c r="B3056" s="138">
        <f>'Expenditures 15-22'!D10</f>
        <v>2573</v>
      </c>
      <c r="D3056" s="2" t="str">
        <f t="shared" si="46"/>
        <v>Error?</v>
      </c>
    </row>
    <row r="3057" spans="1:4" x14ac:dyDescent="0.2">
      <c r="A3057" s="5">
        <v>2996</v>
      </c>
      <c r="B3057" s="138">
        <f>'Expenditures 15-22'!E10</f>
        <v>22898</v>
      </c>
      <c r="D3057" s="2" t="str">
        <f t="shared" si="46"/>
        <v>Error?</v>
      </c>
    </row>
    <row r="3058" spans="1:4" x14ac:dyDescent="0.2">
      <c r="A3058" s="5">
        <v>2997</v>
      </c>
      <c r="B3058" s="138">
        <f>'Expenditures 15-22'!F10</f>
        <v>9991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76688</v>
      </c>
      <c r="C3062" s="2" t="s">
        <v>594</v>
      </c>
      <c r="D3062" s="2" t="str">
        <f t="shared" si="46"/>
        <v>Error?</v>
      </c>
    </row>
    <row r="3063" spans="1:4" x14ac:dyDescent="0.2">
      <c r="A3063" s="10">
        <v>3002</v>
      </c>
      <c r="D3063" s="2" t="str">
        <f t="shared" si="46"/>
        <v>OK</v>
      </c>
    </row>
    <row r="3064" spans="1:4" x14ac:dyDescent="0.2">
      <c r="A3064" s="5">
        <v>3003</v>
      </c>
      <c r="B3064" s="138">
        <f>'Expenditures 15-22'!D219</f>
        <v>587</v>
      </c>
      <c r="D3064" s="2" t="str">
        <f t="shared" si="46"/>
        <v>Error?</v>
      </c>
    </row>
    <row r="3065" spans="1:4" x14ac:dyDescent="0.2">
      <c r="A3065" s="5">
        <v>3004</v>
      </c>
      <c r="B3065" s="138">
        <f>'Expenditures 15-22'!K219</f>
        <v>587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30990</v>
      </c>
      <c r="C3225" s="2" t="s">
        <v>594</v>
      </c>
      <c r="D3225" s="2" t="str">
        <f t="shared" si="49"/>
        <v>Error?</v>
      </c>
    </row>
    <row r="3226" spans="1:4" x14ac:dyDescent="0.2">
      <c r="A3226" s="5">
        <v>3165</v>
      </c>
      <c r="B3226" s="138">
        <f>'Acct Summary 7-8'!I8</f>
        <v>30990</v>
      </c>
      <c r="C3226" s="2" t="s">
        <v>594</v>
      </c>
      <c r="D3226" s="2" t="str">
        <f t="shared" si="49"/>
        <v>Error?</v>
      </c>
    </row>
    <row r="3227" spans="1:4" x14ac:dyDescent="0.2">
      <c r="A3227" s="5">
        <v>3166</v>
      </c>
      <c r="B3227" s="138">
        <f>'Acct Summary 7-8'!I20</f>
        <v>30990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-1053189</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-1053189</v>
      </c>
      <c r="C3232" s="2" t="s">
        <v>594</v>
      </c>
      <c r="D3232" s="2" t="str">
        <f t="shared" si="49"/>
        <v>Error?</v>
      </c>
    </row>
    <row r="3233" spans="1:4" x14ac:dyDescent="0.2">
      <c r="A3233" s="5">
        <v>3172</v>
      </c>
      <c r="B3233" s="138">
        <f>'Acct Summary 7-8'!C78</f>
        <v>-689841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1453189</v>
      </c>
      <c r="C3235" s="2" t="s">
        <v>594</v>
      </c>
      <c r="D3235" s="2" t="str">
        <f t="shared" si="49"/>
        <v>Error?</v>
      </c>
    </row>
    <row r="3236" spans="1:4" x14ac:dyDescent="0.2">
      <c r="A3236" s="5">
        <v>3175</v>
      </c>
      <c r="B3236" s="138">
        <f>'Acct Summary 7-8'!D75</f>
        <v>350</v>
      </c>
      <c r="D3236" s="2" t="str">
        <f t="shared" si="49"/>
        <v>Error?</v>
      </c>
    </row>
    <row r="3237" spans="1:4" x14ac:dyDescent="0.2">
      <c r="A3237" s="5">
        <v>3176</v>
      </c>
      <c r="B3237" s="138">
        <f>'Acct Summary 7-8'!D76</f>
        <v>1119676</v>
      </c>
      <c r="C3237" s="2" t="s">
        <v>594</v>
      </c>
      <c r="D3237" s="2" t="str">
        <f t="shared" si="49"/>
        <v>Error?</v>
      </c>
    </row>
    <row r="3238" spans="1:4" x14ac:dyDescent="0.2">
      <c r="A3238" s="5">
        <v>3177</v>
      </c>
      <c r="B3238" s="138">
        <f>'Acct Summary 7-8'!D77</f>
        <v>333513</v>
      </c>
      <c r="C3238" s="2" t="s">
        <v>594</v>
      </c>
      <c r="D3238" s="2" t="str">
        <f t="shared" si="49"/>
        <v>Error?</v>
      </c>
    </row>
    <row r="3239" spans="1:4" x14ac:dyDescent="0.2">
      <c r="A3239" s="5">
        <v>3178</v>
      </c>
      <c r="B3239" s="138">
        <f>'Acct Summary 7-8'!D78</f>
        <v>33789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400000</v>
      </c>
      <c r="C3254" s="2" t="s">
        <v>594</v>
      </c>
      <c r="D3254" s="2" t="str">
        <f t="shared" si="49"/>
        <v>Error?</v>
      </c>
    </row>
    <row r="3255" spans="1:4" x14ac:dyDescent="0.2">
      <c r="A3255" s="5">
        <v>3194</v>
      </c>
      <c r="B3255" s="138">
        <f>'Acct Summary 7-8'!F77</f>
        <v>-400000</v>
      </c>
      <c r="C3255" s="2" t="s">
        <v>594</v>
      </c>
      <c r="D3255" s="2" t="str">
        <f t="shared" si="49"/>
        <v>Error?</v>
      </c>
    </row>
    <row r="3256" spans="1:4" x14ac:dyDescent="0.2">
      <c r="A3256" s="5">
        <v>3195</v>
      </c>
      <c r="B3256" s="138">
        <f>'Acct Summary 7-8'!F78</f>
        <v>-383965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350</v>
      </c>
      <c r="D3273" s="2" t="str">
        <f t="shared" si="50"/>
        <v>Error?</v>
      </c>
    </row>
    <row r="3274" spans="1:4" x14ac:dyDescent="0.2">
      <c r="A3274" s="5">
        <v>3213</v>
      </c>
      <c r="B3274" s="138">
        <f>'Acct Summary 7-8'!E44</f>
        <v>1119676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1119676</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-5402487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30990</v>
      </c>
      <c r="C3320" s="2" t="s">
        <v>594</v>
      </c>
      <c r="D3320" s="2" t="str">
        <f t="shared" si="50"/>
        <v>Error?</v>
      </c>
    </row>
    <row r="3321" spans="1:4" x14ac:dyDescent="0.2">
      <c r="A3321" s="5">
        <v>3260</v>
      </c>
      <c r="B3321" s="138">
        <f>'Acct Summary 7-8'!I79</f>
        <v>393860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424850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227326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65824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38234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10479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341863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18746</v>
      </c>
      <c r="D3387" s="2" t="str">
        <f t="shared" si="51"/>
        <v>Error?</v>
      </c>
    </row>
    <row r="3388" spans="1:4" x14ac:dyDescent="0.2">
      <c r="A3388" s="5">
        <v>3327</v>
      </c>
      <c r="B3388" s="138">
        <f>'Expenditures 15-22'!D217</f>
        <v>11862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18746</v>
      </c>
      <c r="C3390" s="2" t="s">
        <v>594</v>
      </c>
      <c r="D3390" s="2" t="str">
        <f t="shared" si="51"/>
        <v>Error?</v>
      </c>
    </row>
    <row r="3391" spans="1:4" x14ac:dyDescent="0.2">
      <c r="A3391" s="5">
        <v>3330</v>
      </c>
      <c r="B3391" s="138">
        <f>'Expenditures 15-22'!K217</f>
        <v>11862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3749336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603509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1336</v>
      </c>
      <c r="D3417" s="2" t="str">
        <f t="shared" si="52"/>
        <v>Error?</v>
      </c>
    </row>
    <row r="3418" spans="1:4" x14ac:dyDescent="0.2">
      <c r="A3418" s="10">
        <v>3357</v>
      </c>
      <c r="D3418" s="2" t="str">
        <f t="shared" si="52"/>
        <v>OK</v>
      </c>
    </row>
    <row r="3419" spans="1:4" x14ac:dyDescent="0.2">
      <c r="A3419" s="5">
        <v>3358</v>
      </c>
      <c r="B3419" s="138">
        <f>'Assets-Liab 5-6'!F4</f>
        <v>196540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145695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928153</v>
      </c>
      <c r="D3425" s="2" t="str">
        <f t="shared" si="52"/>
        <v>Error?</v>
      </c>
    </row>
    <row r="3426" spans="1:4" x14ac:dyDescent="0.2">
      <c r="A3426" s="10">
        <v>3365</v>
      </c>
      <c r="D3426" s="2" t="str">
        <f t="shared" si="52"/>
        <v>OK</v>
      </c>
    </row>
    <row r="3427" spans="1:4" x14ac:dyDescent="0.2">
      <c r="A3427" s="5">
        <v>3366</v>
      </c>
      <c r="B3427" s="138">
        <f>'Assets-Liab 5-6'!I4</f>
        <v>424850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11005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51776</v>
      </c>
      <c r="C3446" s="2" t="s">
        <v>594</v>
      </c>
      <c r="D3446" s="2" t="str">
        <f t="shared" si="52"/>
        <v>Error?</v>
      </c>
    </row>
    <row r="3447" spans="1:4" x14ac:dyDescent="0.2">
      <c r="A3447" s="5">
        <v>3386</v>
      </c>
      <c r="B3447" s="138">
        <f>'Tax Sched 23'!D16</f>
        <v>24077</v>
      </c>
      <c r="C3447" s="2" t="s">
        <v>594</v>
      </c>
      <c r="D3447" s="2" t="str">
        <f t="shared" si="52"/>
        <v>Error?</v>
      </c>
    </row>
    <row r="3448" spans="1:4" x14ac:dyDescent="0.2">
      <c r="A3448" s="5">
        <v>3387</v>
      </c>
      <c r="B3448" s="138">
        <f>'Tax Sched 23'!C16</f>
        <v>27699</v>
      </c>
      <c r="D3448" s="2" t="str">
        <f t="shared" si="52"/>
        <v>Error?</v>
      </c>
    </row>
    <row r="3449" spans="1:4" x14ac:dyDescent="0.2">
      <c r="A3449" s="5">
        <v>3388</v>
      </c>
      <c r="B3449" s="138">
        <f>'Tax Sched 23'!F16</f>
        <v>23890</v>
      </c>
      <c r="C3449" s="2" t="s">
        <v>594</v>
      </c>
      <c r="D3449" s="2" t="str">
        <f t="shared" si="52"/>
        <v>Error?</v>
      </c>
    </row>
    <row r="3450" spans="1:4" x14ac:dyDescent="0.2">
      <c r="A3450" s="5">
        <v>3389</v>
      </c>
      <c r="B3450" s="138">
        <f>'Tax Sched 23'!E16</f>
        <v>51589</v>
      </c>
      <c r="D3450" s="2" t="str">
        <f t="shared" si="52"/>
        <v>Error?</v>
      </c>
    </row>
    <row r="3451" spans="1:4" x14ac:dyDescent="0.2">
      <c r="A3451" s="5">
        <v>3390</v>
      </c>
      <c r="B3451" s="138">
        <f>'Cap Outlay Deprec 26'!C15</f>
        <v>419451</v>
      </c>
      <c r="D3451" s="2" t="str">
        <f t="shared" si="52"/>
        <v>Error?</v>
      </c>
    </row>
    <row r="3452" spans="1:4" x14ac:dyDescent="0.2">
      <c r="A3452" s="5">
        <v>3391</v>
      </c>
      <c r="B3452" s="138">
        <f>'Cap Outlay Deprec 26'!D15</f>
        <v>5402487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5821938</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5821938</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81876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1464155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5968208</v>
      </c>
      <c r="C4122" s="2" t="s">
        <v>594</v>
      </c>
      <c r="D4122" s="2" t="str">
        <f t="shared" si="63"/>
        <v>Error?</v>
      </c>
    </row>
    <row r="4123" spans="1:4" x14ac:dyDescent="0.2">
      <c r="A4123" s="5">
        <v>4062</v>
      </c>
      <c r="B4123" s="138">
        <f>'Acct Summary 7-8'!D10</f>
        <v>348036</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654728</v>
      </c>
      <c r="C4125" s="2" t="s">
        <v>594</v>
      </c>
      <c r="D4125" s="2" t="str">
        <f t="shared" si="63"/>
        <v>Error?</v>
      </c>
    </row>
    <row r="4126" spans="1:4" x14ac:dyDescent="0.2">
      <c r="A4126" s="5">
        <v>4065</v>
      </c>
      <c r="B4126" s="138">
        <f>'Acct Summary 7-8'!G10</f>
        <v>78971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30990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1464155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5604860</v>
      </c>
      <c r="C4136" s="2" t="s">
        <v>594</v>
      </c>
      <c r="D4136" s="2" t="str">
        <f t="shared" si="63"/>
        <v>Error?</v>
      </c>
    </row>
    <row r="4137" spans="1:4" x14ac:dyDescent="0.2">
      <c r="A4137" s="5">
        <v>4076</v>
      </c>
      <c r="B4137" s="138">
        <f>'Acct Summary 7-8'!D19</f>
        <v>647760</v>
      </c>
      <c r="C4137" s="2" t="s">
        <v>594</v>
      </c>
      <c r="D4137" s="2" t="str">
        <f t="shared" si="63"/>
        <v>Error?</v>
      </c>
    </row>
    <row r="4138" spans="1:4" x14ac:dyDescent="0.2">
      <c r="A4138" s="5">
        <v>4077</v>
      </c>
      <c r="B4138" s="138">
        <f>'Acct Summary 7-8'!E19</f>
        <v>1119676</v>
      </c>
      <c r="C4138" s="2" t="s">
        <v>594</v>
      </c>
      <c r="D4138" s="2" t="str">
        <f t="shared" si="63"/>
        <v>Error?</v>
      </c>
    </row>
    <row r="4139" spans="1:4" x14ac:dyDescent="0.2">
      <c r="A4139" s="5">
        <v>4078</v>
      </c>
      <c r="B4139" s="138">
        <f>'Acct Summary 7-8'!F19</f>
        <v>638693</v>
      </c>
      <c r="C4139" s="2" t="s">
        <v>594</v>
      </c>
      <c r="D4139" s="2" t="str">
        <f t="shared" si="63"/>
        <v>Error?</v>
      </c>
    </row>
    <row r="4140" spans="1:4" x14ac:dyDescent="0.2">
      <c r="A4140" s="5">
        <v>4079</v>
      </c>
      <c r="B4140" s="138">
        <f>'Acct Summary 7-8'!G19</f>
        <v>78886</v>
      </c>
      <c r="C4140" s="2" t="s">
        <v>594</v>
      </c>
      <c r="D4140" s="2" t="str">
        <f t="shared" si="63"/>
        <v>Error?</v>
      </c>
    </row>
    <row r="4141" spans="1:4" x14ac:dyDescent="0.2">
      <c r="A4141" s="5">
        <v>4080</v>
      </c>
      <c r="B4141" s="138">
        <f>'Acct Summary 7-8'!H19</f>
        <v>5402487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1095000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3118.297</v>
      </c>
      <c r="C4265" s="2" t="s">
        <v>594</v>
      </c>
      <c r="D4265" s="2" t="str">
        <f t="shared" si="65"/>
        <v>Error?</v>
      </c>
      <c r="E4265" s="128"/>
    </row>
    <row r="4266" spans="1:5" x14ac:dyDescent="0.2">
      <c r="A4266" s="12">
        <v>4205</v>
      </c>
      <c r="B4266" s="138">
        <f>('FP Info 3'!F10)*100000</f>
        <v>490.01899999999995</v>
      </c>
      <c r="C4266" s="2" t="s">
        <v>594</v>
      </c>
      <c r="D4266" s="2" t="str">
        <f t="shared" si="65"/>
        <v>Error?</v>
      </c>
      <c r="E4266" s="128"/>
    </row>
    <row r="4267" spans="1:5" x14ac:dyDescent="0.2">
      <c r="A4267" s="12">
        <v>4206</v>
      </c>
      <c r="B4267" s="138">
        <f>('FP Info 3'!H10)*100000</f>
        <v>577.07499999999993</v>
      </c>
      <c r="C4267" s="2" t="s">
        <v>594</v>
      </c>
      <c r="D4267" s="2" t="str">
        <f t="shared" si="65"/>
        <v>Error?</v>
      </c>
      <c r="E4267" s="128"/>
    </row>
    <row r="4268" spans="1:5" x14ac:dyDescent="0.2">
      <c r="A4268" s="12">
        <v>4207</v>
      </c>
      <c r="B4268" s="138">
        <f>('FP Info 3'!J10)*100000</f>
        <v>4185</v>
      </c>
      <c r="C4268" s="2" t="s">
        <v>594</v>
      </c>
      <c r="D4268" s="2" t="str">
        <f t="shared" si="65"/>
        <v>Error?</v>
      </c>
    </row>
    <row r="4269" spans="1:5" x14ac:dyDescent="0.2">
      <c r="A4269" s="12">
        <v>4208</v>
      </c>
      <c r="B4269" s="138">
        <f>'FP Info 3'!J16</f>
        <v>4969706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4306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3130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4601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44.548000000000002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2000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35917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69315091</v>
      </c>
      <c r="D4995" s="2" t="str">
        <f t="shared" si="77"/>
        <v>Error?</v>
      </c>
    </row>
    <row r="4996" spans="1:4" x14ac:dyDescent="0.2">
      <c r="A4996" s="12">
        <v>4935</v>
      </c>
      <c r="B4996" s="138">
        <f>'FP Info 3'!H31</f>
        <v>4782741.2790000001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-1053189</v>
      </c>
      <c r="C5012" s="2" t="s">
        <v>594</v>
      </c>
      <c r="D5012" s="2" t="str">
        <f t="shared" si="77"/>
        <v>Error?</v>
      </c>
    </row>
    <row r="5013" spans="1:4" x14ac:dyDescent="0.2">
      <c r="A5013" s="5">
        <v>4952</v>
      </c>
      <c r="B5013" s="138">
        <f>'Acct Summary 7-8'!D27</f>
        <v>1453189</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400000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2169369</v>
      </c>
      <c r="D5061" s="2" t="str">
        <f t="shared" si="78"/>
        <v>Error?</v>
      </c>
    </row>
    <row r="5062" spans="1:4" x14ac:dyDescent="0.2">
      <c r="A5062" s="10">
        <v>5001</v>
      </c>
      <c r="D5062" s="2" t="str">
        <f t="shared" si="78"/>
        <v>OK</v>
      </c>
    </row>
    <row r="5063" spans="1:4" x14ac:dyDescent="0.2">
      <c r="A5063" s="5">
        <v>5002</v>
      </c>
      <c r="B5063" s="138">
        <f>'Revenues 9-14'!C7</f>
        <v>247929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2417298</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16533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16533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11531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11531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13171</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2017</v>
      </c>
      <c r="D5098" s="2" t="str">
        <f t="shared" si="78"/>
        <v>Error?</v>
      </c>
    </row>
    <row r="5099" spans="1:4" x14ac:dyDescent="0.2">
      <c r="A5099" s="5">
        <v>5038</v>
      </c>
      <c r="B5099" s="138">
        <f>'Revenues 9-14'!C79</f>
        <v>3250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2941</v>
      </c>
      <c r="D5101" s="2" t="str">
        <f t="shared" si="78"/>
        <v>Error?</v>
      </c>
    </row>
    <row r="5102" spans="1:4" x14ac:dyDescent="0.2">
      <c r="A5102" s="5">
        <v>5041</v>
      </c>
      <c r="B5102" s="138">
        <f>'Revenues 9-14'!C82</f>
        <v>8208</v>
      </c>
      <c r="C5102" s="2" t="s">
        <v>594</v>
      </c>
      <c r="D5102" s="2" t="str">
        <f t="shared" si="78"/>
        <v>Error?</v>
      </c>
    </row>
    <row r="5103" spans="1:4" x14ac:dyDescent="0.2">
      <c r="A5103" s="5">
        <v>5042</v>
      </c>
      <c r="B5103" s="138">
        <f>'Revenues 9-14'!C84</f>
        <v>21344</v>
      </c>
      <c r="D5103" s="2" t="str">
        <f t="shared" si="78"/>
        <v>Error?</v>
      </c>
    </row>
    <row r="5104" spans="1:4" x14ac:dyDescent="0.2">
      <c r="A5104" s="5">
        <v>5043</v>
      </c>
      <c r="B5104" s="138">
        <f>'Revenues 9-14'!C85</f>
        <v>80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354</v>
      </c>
      <c r="D5111" s="2" t="str">
        <f t="shared" si="78"/>
        <v>Error?</v>
      </c>
    </row>
    <row r="5112" spans="1:4" x14ac:dyDescent="0.2">
      <c r="A5112" s="5">
        <v>5051</v>
      </c>
      <c r="B5112" s="138">
        <f>'Revenues 9-14'!C93</f>
        <v>21778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786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17263</v>
      </c>
      <c r="D5119" s="2" t="str">
        <f t="shared" ref="D5119:D5182" si="79">IF(ISBLANK(B5119),"OK",IF(A5119-B5119=0,"OK","Error?"))</f>
        <v>Error?</v>
      </c>
    </row>
    <row r="5120" spans="1:4" x14ac:dyDescent="0.2">
      <c r="A5120" s="5">
        <v>5059</v>
      </c>
      <c r="B5120" s="138">
        <f>'Revenues 9-14'!C108</f>
        <v>18049</v>
      </c>
      <c r="C5120" s="2" t="s">
        <v>594</v>
      </c>
      <c r="D5120" s="2" t="str">
        <f t="shared" si="79"/>
        <v>Error?</v>
      </c>
    </row>
    <row r="5121" spans="1:4" x14ac:dyDescent="0.2">
      <c r="A5121" s="5">
        <v>5060</v>
      </c>
      <c r="B5121" s="138">
        <f>'Revenues 9-14'!C109</f>
        <v>2506568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1396718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1396718</v>
      </c>
      <c r="C5132" s="2" t="s">
        <v>594</v>
      </c>
      <c r="D5132" s="2" t="str">
        <f t="shared" si="79"/>
        <v>Error?</v>
      </c>
    </row>
    <row r="5133" spans="1:4" x14ac:dyDescent="0.2">
      <c r="A5133" s="5">
        <v>5072</v>
      </c>
      <c r="B5133" s="138">
        <f>'Revenues 9-14'!C124</f>
        <v>52036</v>
      </c>
      <c r="D5133" s="2" t="str">
        <f t="shared" si="79"/>
        <v>Error?</v>
      </c>
    </row>
    <row r="5134" spans="1:4" x14ac:dyDescent="0.2">
      <c r="A5134" s="5">
        <v>5073</v>
      </c>
      <c r="B5134" s="138">
        <f>'Revenues 9-14'!C125</f>
        <v>28390</v>
      </c>
      <c r="D5134" s="2" t="str">
        <f t="shared" si="79"/>
        <v>Error?</v>
      </c>
    </row>
    <row r="5135" spans="1:4" x14ac:dyDescent="0.2">
      <c r="A5135" s="5">
        <v>5074</v>
      </c>
      <c r="B5135" s="138">
        <f>'Revenues 9-14'!C126</f>
        <v>36982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117408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1343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152840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273591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1670309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69174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14082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83256</v>
      </c>
      <c r="C5246" s="2" t="s">
        <v>594</v>
      </c>
      <c r="D5246" s="2" t="str">
        <f t="shared" si="80"/>
        <v>Error?</v>
      </c>
    </row>
    <row r="5247" spans="1:4" x14ac:dyDescent="0.2">
      <c r="A5247" s="5">
        <v>5186</v>
      </c>
      <c r="B5247" s="138">
        <f>'Revenues 9-14'!C203</f>
        <v>84110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84110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6359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90405</v>
      </c>
      <c r="D5278" s="2" t="str">
        <f t="shared" si="81"/>
        <v>Error?</v>
      </c>
    </row>
    <row r="5279" spans="1:4" x14ac:dyDescent="0.2">
      <c r="A5279" s="5">
        <v>5218</v>
      </c>
      <c r="B5279" s="138">
        <f>'Revenues 9-14'!C221</f>
        <v>5092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101856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327176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327176</v>
      </c>
      <c r="C5326" s="2" t="s">
        <v>594</v>
      </c>
      <c r="D5326" s="2" t="str">
        <f t="shared" si="82"/>
        <v>Error?</v>
      </c>
    </row>
    <row r="5327" spans="1:4" x14ac:dyDescent="0.2">
      <c r="A5327" s="5">
        <v>5266</v>
      </c>
      <c r="B5327" s="138">
        <f>'Revenues 9-14'!C275</f>
        <v>4504053</v>
      </c>
      <c r="C5327" s="2" t="s">
        <v>594</v>
      </c>
      <c r="D5327" s="2" t="str">
        <f t="shared" si="82"/>
        <v>Error?</v>
      </c>
    </row>
    <row r="5328" spans="1:4" x14ac:dyDescent="0.2">
      <c r="A5328" s="5">
        <v>5267</v>
      </c>
      <c r="B5328" s="138">
        <f>'Revenues 9-14'!D5</f>
        <v>340901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340901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173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6962</v>
      </c>
      <c r="D5354" s="2" t="str">
        <f t="shared" si="82"/>
        <v>Error?</v>
      </c>
    </row>
    <row r="5355" spans="1:4" x14ac:dyDescent="0.2">
      <c r="A5355" s="5">
        <v>5294</v>
      </c>
      <c r="B5355" s="138">
        <f>'Revenues 9-14'!D108</f>
        <v>7135</v>
      </c>
      <c r="C5355" s="2" t="s">
        <v>594</v>
      </c>
      <c r="D5355" s="2" t="str">
        <f t="shared" si="82"/>
        <v>Error?</v>
      </c>
    </row>
    <row r="5356" spans="1:4" x14ac:dyDescent="0.2">
      <c r="A5356" s="5">
        <v>5295</v>
      </c>
      <c r="B5356" s="138">
        <f>'Revenues 9-14'!D109</f>
        <v>348036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348036</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405884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405884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2565</v>
      </c>
      <c r="D5586" s="2" t="str">
        <f t="shared" si="86"/>
        <v>Error?</v>
      </c>
    </row>
    <row r="5587" spans="1:4" x14ac:dyDescent="0.2">
      <c r="A5587" s="5">
        <v>5526</v>
      </c>
      <c r="B5587" s="138">
        <f>'Revenues 9-14'!F108</f>
        <v>2565</v>
      </c>
      <c r="C5587" s="2" t="s">
        <v>594</v>
      </c>
      <c r="D5587" s="2" t="str">
        <f t="shared" si="86"/>
        <v>Error?</v>
      </c>
    </row>
    <row r="5588" spans="1:4" x14ac:dyDescent="0.2">
      <c r="A5588" s="5">
        <v>5527</v>
      </c>
      <c r="B5588" s="138">
        <f>'Revenues 9-14'!F109</f>
        <v>408449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143633</v>
      </c>
      <c r="D5615" s="2" t="str">
        <f t="shared" si="86"/>
        <v>Error?</v>
      </c>
    </row>
    <row r="5616" spans="1:4" x14ac:dyDescent="0.2">
      <c r="A5616" s="10">
        <v>5555</v>
      </c>
      <c r="D5616" s="2" t="str">
        <f t="shared" si="86"/>
        <v>OK</v>
      </c>
    </row>
    <row r="5617" spans="1:4" x14ac:dyDescent="0.2">
      <c r="A5617" s="5">
        <v>5556</v>
      </c>
      <c r="B5617" s="138">
        <f>'Revenues 9-14'!F152</f>
        <v>102646</v>
      </c>
      <c r="D5617" s="2" t="str">
        <f t="shared" si="86"/>
        <v>Error?</v>
      </c>
    </row>
    <row r="5618" spans="1:4" x14ac:dyDescent="0.2">
      <c r="A5618" s="5">
        <v>5557</v>
      </c>
      <c r="B5618" s="138">
        <f>'Revenues 9-14'!F154</f>
        <v>246279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246279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246279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654728</v>
      </c>
      <c r="C5720" s="2" t="s">
        <v>594</v>
      </c>
      <c r="D5720" s="2" t="str">
        <f t="shared" si="88"/>
        <v>Error?</v>
      </c>
    </row>
    <row r="5721" spans="1:4" x14ac:dyDescent="0.2">
      <c r="A5721" s="5">
        <v>5660</v>
      </c>
      <c r="B5721" s="138">
        <f>'Revenues 9-14'!G5</f>
        <v>24078</v>
      </c>
      <c r="D5721" s="2" t="str">
        <f t="shared" si="88"/>
        <v>Error?</v>
      </c>
    </row>
    <row r="5722" spans="1:4" x14ac:dyDescent="0.2">
      <c r="A5722" s="5">
        <v>5661</v>
      </c>
      <c r="B5722" s="138">
        <f>'Revenues 9-14'!G7</f>
        <v>0</v>
      </c>
      <c r="D5722" s="2" t="str">
        <f t="shared" si="88"/>
        <v>Error?</v>
      </c>
    </row>
    <row r="5723" spans="1:4" x14ac:dyDescent="0.2">
      <c r="A5723" s="5">
        <v>5662</v>
      </c>
      <c r="B5723" s="138">
        <f>'Revenues 9-14'!G8</f>
        <v>51776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75854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3117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3117</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78971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30990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30990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30990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78971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30990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13171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9050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345.2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152526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152526</v>
      </c>
      <c r="D6215" s="2" t="str">
        <f t="shared" si="96"/>
        <v>Error?</v>
      </c>
      <c r="E6215" s="2" t="s">
        <v>199</v>
      </c>
    </row>
    <row r="6216" spans="1:5" x14ac:dyDescent="0.2">
      <c r="A6216">
        <v>6155</v>
      </c>
      <c r="B6216" s="138">
        <f>'Assets-Liab 5-6'!J41</f>
        <v>152526</v>
      </c>
      <c r="D6216" s="2" t="str">
        <f t="shared" si="96"/>
        <v>Error?</v>
      </c>
      <c r="E6216" s="2" t="s">
        <v>199</v>
      </c>
    </row>
    <row r="6217" spans="1:5" x14ac:dyDescent="0.2">
      <c r="A6217">
        <v>6156</v>
      </c>
      <c r="B6217" s="138">
        <f>'Assets-Liab 5-6'!J4</f>
        <v>152526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41293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41293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41293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80760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80760</v>
      </c>
      <c r="D6229" s="2" t="str">
        <f t="shared" si="96"/>
        <v>Error?</v>
      </c>
      <c r="E6229" s="2" t="s">
        <v>199</v>
      </c>
    </row>
    <row r="6230" spans="1:5" x14ac:dyDescent="0.2">
      <c r="A6230">
        <v>6169</v>
      </c>
      <c r="B6230" s="138">
        <f>'Acct Summary 7-8'!J20</f>
        <v>-39467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1095000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24326</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-39467</v>
      </c>
      <c r="D6263" s="2" t="str">
        <f t="shared" si="96"/>
        <v>Error?</v>
      </c>
      <c r="E6263" s="2" t="s">
        <v>199</v>
      </c>
    </row>
    <row r="6264" spans="1:5" x14ac:dyDescent="0.2">
      <c r="A6264">
        <v>6203</v>
      </c>
      <c r="B6264" s="138">
        <f>'Acct Summary 7-8'!J79</f>
        <v>191993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152526</v>
      </c>
      <c r="D6266" s="2" t="str">
        <f t="shared" si="96"/>
        <v>Error?</v>
      </c>
      <c r="E6266" s="2" t="s">
        <v>199</v>
      </c>
    </row>
    <row r="6267" spans="1:5" x14ac:dyDescent="0.2">
      <c r="A6267">
        <v>6206</v>
      </c>
      <c r="B6267" s="138">
        <f>'Acct Summary 7-8'!C82</f>
        <v>-689841</v>
      </c>
      <c r="D6267" s="2" t="str">
        <f t="shared" si="96"/>
        <v>Error?</v>
      </c>
      <c r="E6267" s="2" t="s">
        <v>199</v>
      </c>
    </row>
    <row r="6268" spans="1:5" x14ac:dyDescent="0.2">
      <c r="A6268">
        <v>6207</v>
      </c>
      <c r="B6268" s="138">
        <f>'Acct Summary 7-8'!D82</f>
        <v>33789</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-383965</v>
      </c>
      <c r="D6270" s="2" t="str">
        <f t="shared" si="96"/>
        <v>Error?</v>
      </c>
      <c r="E6270" s="2" t="s">
        <v>199</v>
      </c>
    </row>
    <row r="6271" spans="1:5" x14ac:dyDescent="0.2">
      <c r="A6271">
        <v>6210</v>
      </c>
      <c r="B6271" s="138">
        <f>'Acct Summary 7-8'!G82</f>
        <v>85</v>
      </c>
      <c r="D6271" s="2" t="str">
        <f t="shared" ref="D6271:D6334" si="97">IF(ISBLANK(B6271),"OK",IF(A6271-B6271=0,"OK","Error?"))</f>
        <v>Error?</v>
      </c>
      <c r="E6271" s="2" t="s">
        <v>199</v>
      </c>
    </row>
    <row r="6272" spans="1:5" x14ac:dyDescent="0.2">
      <c r="A6272">
        <v>6211</v>
      </c>
      <c r="B6272" s="138">
        <f>'Acct Summary 7-8'!H82</f>
        <v>-5402487</v>
      </c>
      <c r="D6272" s="2" t="str">
        <f t="shared" si="97"/>
        <v>Error?</v>
      </c>
      <c r="E6272" s="2" t="s">
        <v>199</v>
      </c>
    </row>
    <row r="6273" spans="1:5" x14ac:dyDescent="0.2">
      <c r="A6273">
        <v>6212</v>
      </c>
      <c r="B6273" s="138">
        <f>'Acct Summary 7-8'!I82</f>
        <v>30990</v>
      </c>
      <c r="D6273" s="2" t="str">
        <f t="shared" si="97"/>
        <v>Error?</v>
      </c>
      <c r="E6273" s="2" t="s">
        <v>199</v>
      </c>
    </row>
    <row r="6274" spans="1:5" x14ac:dyDescent="0.2">
      <c r="A6274">
        <v>6213</v>
      </c>
      <c r="B6274" s="138">
        <f>'Acct Summary 7-8'!J82</f>
        <v>-39467</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-0.18421269774383567</v>
      </c>
      <c r="D6276" s="2" t="str">
        <f t="shared" si="97"/>
        <v>Error?</v>
      </c>
      <c r="E6276" s="2" t="s">
        <v>199</v>
      </c>
    </row>
    <row r="6277" spans="1:5" x14ac:dyDescent="0.2">
      <c r="A6277">
        <v>6216</v>
      </c>
      <c r="B6277" s="138">
        <f>'Acct Summary 7-8'!D83</f>
        <v>5.5987566051210504E-2</v>
      </c>
      <c r="D6277" s="2" t="str">
        <f t="shared" si="97"/>
        <v>Error?</v>
      </c>
      <c r="E6277" s="2" t="s">
        <v>199</v>
      </c>
    </row>
    <row r="6278" spans="1:5" x14ac:dyDescent="0.2">
      <c r="A6278">
        <v>6217</v>
      </c>
      <c r="B6278" s="138">
        <f>'Acct Summary 7-8'!E83</f>
        <v>0</v>
      </c>
      <c r="D6278" s="2" t="str">
        <f t="shared" si="97"/>
        <v>Error?</v>
      </c>
      <c r="E6278" s="2" t="s">
        <v>199</v>
      </c>
    </row>
    <row r="6279" spans="1:5" x14ac:dyDescent="0.2">
      <c r="A6279">
        <v>6218</v>
      </c>
      <c r="B6279" s="138">
        <f>'Acct Summary 7-8'!F83</f>
        <v>-1.9536226722295715</v>
      </c>
      <c r="D6279" s="2" t="str">
        <f t="shared" si="97"/>
        <v>Error?</v>
      </c>
      <c r="E6279" s="2" t="s">
        <v>199</v>
      </c>
    </row>
    <row r="6280" spans="1:5" x14ac:dyDescent="0.2">
      <c r="A6280">
        <v>6219</v>
      </c>
      <c r="B6280" s="138">
        <f>'Acct Summary 7-8'!G83</f>
        <v>5.8341054943546449E-4</v>
      </c>
      <c r="D6280" s="2" t="str">
        <f t="shared" si="97"/>
        <v>Error?</v>
      </c>
      <c r="E6280" s="2" t="s">
        <v>199</v>
      </c>
    </row>
    <row r="6281" spans="1:5" x14ac:dyDescent="0.2">
      <c r="A6281">
        <v>6220</v>
      </c>
      <c r="B6281" s="138">
        <f>'Acct Summary 7-8'!H83</f>
        <v>-5.8206858136535677</v>
      </c>
      <c r="D6281" s="2" t="str">
        <f t="shared" si="97"/>
        <v>Error?</v>
      </c>
      <c r="E6281" s="2" t="s">
        <v>199</v>
      </c>
    </row>
    <row r="6282" spans="1:5" x14ac:dyDescent="0.2">
      <c r="A6282">
        <v>6221</v>
      </c>
      <c r="B6282" s="138">
        <f>'Acct Summary 7-8'!I83</f>
        <v>7.2943391785336001E-2</v>
      </c>
      <c r="D6282" s="2" t="str">
        <f t="shared" si="97"/>
        <v>Error?</v>
      </c>
      <c r="E6282" s="2" t="s">
        <v>199</v>
      </c>
    </row>
    <row r="6283" spans="1:5" x14ac:dyDescent="0.2">
      <c r="A6283">
        <v>6222</v>
      </c>
      <c r="B6283" s="138">
        <f>'Acct Summary 7-8'!J83</f>
        <v>-0.25875588424268647</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1095000</v>
      </c>
      <c r="D6287" s="2" t="str">
        <f t="shared" si="97"/>
        <v>Error?</v>
      </c>
      <c r="E6287" s="2" t="s">
        <v>199</v>
      </c>
    </row>
    <row r="6288" spans="1:5" x14ac:dyDescent="0.2">
      <c r="A6288">
        <v>6227</v>
      </c>
      <c r="B6288" s="138">
        <f>'Acct Summary 7-8'!E40</f>
        <v>24326</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41293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41293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41293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72047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850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1187</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110839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124997</v>
      </c>
      <c r="D6880" s="2" t="str">
        <f t="shared" si="106"/>
        <v>Error?</v>
      </c>
    </row>
    <row r="6881" spans="1:4" x14ac:dyDescent="0.2">
      <c r="A6881">
        <v>6820</v>
      </c>
      <c r="B6881" s="138">
        <f>'Expenditures 15-22'!K22</f>
        <v>124997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2037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37294</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37294</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37294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2440</v>
      </c>
      <c r="D6981" s="2" t="str">
        <f t="shared" si="108"/>
        <v>Error?</v>
      </c>
    </row>
    <row r="6982" spans="1:4" x14ac:dyDescent="0.2">
      <c r="A6982">
        <v>6921</v>
      </c>
      <c r="B6982" s="138">
        <f>'Expenditures 15-22'!K85</f>
        <v>2440</v>
      </c>
      <c r="D6982" s="2" t="str">
        <f t="shared" si="108"/>
        <v>Error?</v>
      </c>
    </row>
    <row r="6983" spans="1:4" x14ac:dyDescent="0.2">
      <c r="A6983">
        <v>6922</v>
      </c>
      <c r="B6983" s="138">
        <f>'Expenditures 15-22'!H86</f>
        <v>595496</v>
      </c>
      <c r="D6983" s="2" t="str">
        <f t="shared" si="108"/>
        <v>Error?</v>
      </c>
    </row>
    <row r="6984" spans="1:4" x14ac:dyDescent="0.2">
      <c r="A6984">
        <v>6923</v>
      </c>
      <c r="B6984" s="138">
        <f>'Expenditures 15-22'!K86</f>
        <v>595496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597936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39331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5129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5129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5129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80760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5129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41293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3554</v>
      </c>
      <c r="D7073" s="2" t="str">
        <f t="shared" si="109"/>
        <v>Error?</v>
      </c>
    </row>
    <row r="7074" spans="1:4" x14ac:dyDescent="0.2">
      <c r="A7074">
        <v>7013</v>
      </c>
      <c r="B7074" s="138">
        <f>'Expenditures 15-22'!K216</f>
        <v>3554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4456</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4456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49857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49857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26447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26447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4456</v>
      </c>
      <c r="D7200" s="2" t="str">
        <f t="shared" si="111"/>
        <v>Error?</v>
      </c>
    </row>
    <row r="7201" spans="1:4" x14ac:dyDescent="0.2">
      <c r="A7201">
        <v>7140</v>
      </c>
      <c r="B7201" s="138">
        <f>'Expenditures 15-22'!E330</f>
        <v>76304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80760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4456</v>
      </c>
      <c r="D7217" s="2" t="str">
        <f t="shared" si="111"/>
        <v>Error?</v>
      </c>
    </row>
    <row r="7218" spans="1:4" x14ac:dyDescent="0.2">
      <c r="A7218">
        <v>7157</v>
      </c>
      <c r="B7218" s="138">
        <f>'Expenditures 15-22'!E342</f>
        <v>76304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80760</v>
      </c>
      <c r="D7224" s="2" t="str">
        <f t="shared" si="111"/>
        <v>Error?</v>
      </c>
    </row>
    <row r="7225" spans="1:4" x14ac:dyDescent="0.2">
      <c r="A7225">
        <v>7164</v>
      </c>
      <c r="B7225" s="138">
        <f>'Expenditures 15-22'!K343</f>
        <v>-39467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12848</v>
      </c>
      <c r="D7246" s="2" t="str">
        <f t="shared" si="112"/>
        <v>Error?</v>
      </c>
    </row>
    <row r="7247" spans="1:4" x14ac:dyDescent="0.2">
      <c r="A7247">
        <f t="shared" si="113"/>
        <v>7186</v>
      </c>
      <c r="B7247" s="138">
        <f>'Expenditures 15-22'!E7</f>
        <v>10187</v>
      </c>
      <c r="D7247" s="2" t="str">
        <f t="shared" si="112"/>
        <v>Error?</v>
      </c>
    </row>
    <row r="7248" spans="1:4" x14ac:dyDescent="0.2">
      <c r="A7248">
        <f t="shared" si="113"/>
        <v>7187</v>
      </c>
      <c r="B7248" s="138">
        <f>'Expenditures 15-22'!F7</f>
        <v>14570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44460</v>
      </c>
      <c r="D7624" s="2" t="str">
        <f t="shared" si="124"/>
        <v>Error?</v>
      </c>
      <c r="E7624" s="2" t="s">
        <v>19</v>
      </c>
    </row>
    <row r="7625" spans="1:5" x14ac:dyDescent="0.2">
      <c r="A7625">
        <f t="shared" si="123"/>
        <v>7564</v>
      </c>
      <c r="B7625" s="138">
        <f>'Cap Outlay Deprec 26'!I17</f>
        <v>4446</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272229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247929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1120997</v>
      </c>
      <c r="D7797" s="2" t="str">
        <f t="shared" si="127"/>
        <v>Error?</v>
      </c>
      <c r="E7797" s="4" t="s">
        <v>2020</v>
      </c>
    </row>
    <row r="7798" spans="1:5" x14ac:dyDescent="0.2">
      <c r="A7798">
        <v>7737</v>
      </c>
      <c r="B7798" s="138">
        <f>'Contracts Paid in CY 29'!F141</f>
        <v>100000</v>
      </c>
      <c r="D7798" s="2" t="str">
        <f t="shared" si="127"/>
        <v>Error?</v>
      </c>
      <c r="E7798" s="4" t="s">
        <v>2020</v>
      </c>
    </row>
    <row r="7799" spans="1:5" x14ac:dyDescent="0.2">
      <c r="A7799">
        <v>7738</v>
      </c>
      <c r="B7799" s="138">
        <f>'Contracts Paid in CY 29'!G141</f>
        <v>687423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4"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Harrison SD 36</v>
      </c>
      <c r="B7" s="2421"/>
      <c r="C7" s="2421"/>
      <c r="D7" s="2422"/>
      <c r="E7" s="2423" t="str">
        <f>COVER!A13</f>
        <v>44-063-0360-02</v>
      </c>
      <c r="F7" s="2424"/>
      <c r="G7" s="2430" t="str">
        <f>COVER!T23</f>
        <v>066-005142</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EDER, CASELLA &amp; CO.</v>
      </c>
      <c r="H9" s="2436"/>
      <c r="I9" s="2436"/>
      <c r="J9" s="2436"/>
      <c r="K9" s="2436"/>
      <c r="L9" s="2437"/>
    </row>
    <row r="10" spans="1:29" ht="13.5" customHeight="1" x14ac:dyDescent="0.2">
      <c r="A10" s="2410" t="str">
        <f>COVER!A38</f>
        <v>SUSAN WINGS</v>
      </c>
      <c r="B10" s="2411"/>
      <c r="C10" s="2411"/>
      <c r="D10" s="2411"/>
      <c r="E10" s="2411"/>
      <c r="F10" s="2412"/>
      <c r="G10" s="2404" t="str">
        <f>COVER!T17</f>
        <v>5400 WEST ELM STREET, SUITE 203</v>
      </c>
      <c r="H10" s="2405"/>
      <c r="I10" s="2405"/>
      <c r="J10" s="2405"/>
      <c r="K10" s="2405"/>
      <c r="L10" s="2406"/>
    </row>
    <row r="11" spans="1:29" ht="13.5" customHeight="1" x14ac:dyDescent="0.2">
      <c r="A11" s="1185" t="s">
        <v>1599</v>
      </c>
      <c r="B11" s="1186"/>
      <c r="C11" s="1187"/>
      <c r="D11" s="1192"/>
      <c r="E11" s="1187"/>
      <c r="F11" s="1191"/>
      <c r="G11" s="2404" t="str">
        <f>COVER!T19</f>
        <v>MCHENRY</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CPAS@EDERCASELLA.COM</v>
      </c>
      <c r="J13" s="2417"/>
      <c r="K13" s="2417"/>
      <c r="L13" s="2418"/>
    </row>
    <row r="14" spans="1:29" ht="13.5" customHeight="1" x14ac:dyDescent="0.2">
      <c r="A14" s="2404" t="str">
        <f>COVER!A19</f>
        <v>6809 MCCULLOM LAKE ROAD</v>
      </c>
      <c r="B14" s="2405"/>
      <c r="C14" s="2405"/>
      <c r="D14" s="2405"/>
      <c r="E14" s="2405"/>
      <c r="F14" s="2406"/>
      <c r="G14" s="1196" t="s">
        <v>1247</v>
      </c>
      <c r="H14" s="1194"/>
      <c r="I14" s="1194"/>
      <c r="J14" s="1194"/>
      <c r="K14" s="1194"/>
      <c r="L14" s="1195"/>
    </row>
    <row r="15" spans="1:29" ht="13.5" customHeight="1" x14ac:dyDescent="0.2">
      <c r="A15" s="2404" t="str">
        <f>COVER!A21</f>
        <v>WONDER LAKE</v>
      </c>
      <c r="B15" s="2405"/>
      <c r="C15" s="2405"/>
      <c r="D15" s="2405"/>
      <c r="E15" s="2405"/>
      <c r="F15" s="2406"/>
      <c r="G15" s="2401" t="str">
        <f>COVER!T15</f>
        <v>CHERYDEN JUERGENSEN</v>
      </c>
      <c r="H15" s="2402"/>
      <c r="I15" s="2402"/>
      <c r="J15" s="2402"/>
      <c r="K15" s="2402"/>
      <c r="L15" s="2403"/>
    </row>
    <row r="16" spans="1:29" ht="12.2" customHeight="1" x14ac:dyDescent="0.2">
      <c r="A16" s="2426">
        <f>COVER!A25</f>
        <v>60097</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815-344-1300</v>
      </c>
      <c r="H18" s="2421"/>
      <c r="I18" s="2421"/>
      <c r="J18" s="2421"/>
      <c r="K18" s="2420" t="str">
        <f>COVER!X21</f>
        <v>815-344-1320</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9" zoomScale="125" zoomScaleNormal="125" workbookViewId="0">
      <selection activeCell="D48" sqref="D4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Harrison SD 36</v>
      </c>
      <c r="B1" s="2419"/>
      <c r="C1" s="2419"/>
      <c r="D1" s="2419"/>
    </row>
    <row r="2" spans="1:11" s="1215" customFormat="1" ht="12.75" x14ac:dyDescent="0.2">
      <c r="A2" s="2443" t="str">
        <f>'Single Audit Cover'!E7</f>
        <v>44-063-0360-02</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Harrison SD 36</v>
      </c>
      <c r="B1" s="2446"/>
      <c r="C1" s="2446"/>
      <c r="D1" s="2446"/>
      <c r="E1" s="2446"/>
    </row>
    <row r="2" spans="1:5" x14ac:dyDescent="0.2">
      <c r="A2" s="2447" t="str">
        <f>'Single Audit Cover'!E7</f>
        <v>44-063-0360-02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327176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9050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-3130</v>
      </c>
    </row>
    <row r="19" spans="1:4" ht="13.5" thickBot="1" x14ac:dyDescent="0.25">
      <c r="A19" s="1265" t="s">
        <v>1297</v>
      </c>
      <c r="D19" s="1266">
        <f>SUM(D10:D17)</f>
        <v>333096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333096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333096</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H22" sqref="H2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Harrison SD 36</v>
      </c>
      <c r="B1" s="2459"/>
      <c r="C1" s="2459"/>
      <c r="D1" s="2459"/>
      <c r="E1" s="2459"/>
      <c r="F1" s="2459"/>
    </row>
    <row r="2" spans="1:7" ht="13.5" customHeight="1" x14ac:dyDescent="0.2">
      <c r="A2" s="2460" t="str">
        <f>'Single Audit Cover'!E7</f>
        <v>44-063-0360-02</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70" t="s">
        <v>1332</v>
      </c>
      <c r="D15" s="2456" t="s">
        <v>1331</v>
      </c>
      <c r="E15" s="2456"/>
      <c r="F15" s="2456"/>
    </row>
    <row r="16" spans="1:7" ht="13.5" customHeight="1" x14ac:dyDescent="0.2">
      <c r="A16" s="1282"/>
      <c r="B16" s="1276" t="s">
        <v>1330</v>
      </c>
      <c r="C16" s="1870"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7"/>
      <c r="E33" s="1286"/>
    </row>
    <row r="34" spans="1:6" ht="13.5" customHeight="1" x14ac:dyDescent="0.2">
      <c r="A34" s="328" t="s">
        <v>1949</v>
      </c>
      <c r="B34" s="328"/>
      <c r="C34" s="1289">
        <v>0</v>
      </c>
      <c r="D34" s="1927" t="s">
        <v>1671</v>
      </c>
      <c r="E34" s="2453">
        <f>+C33+C34</f>
        <v>0</v>
      </c>
      <c r="F34" s="2454"/>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9"/>
      <c r="C50" s="1869"/>
      <c r="D50" s="1869"/>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Harrison SD 36</v>
      </c>
      <c r="C1" s="2463"/>
      <c r="D1" s="2463"/>
      <c r="E1" s="2463"/>
      <c r="F1" s="2463"/>
      <c r="G1" s="2463"/>
      <c r="H1" s="2463"/>
      <c r="I1" s="2463"/>
      <c r="J1" s="2463"/>
      <c r="K1" s="2463"/>
      <c r="L1" s="2463"/>
      <c r="M1" s="2463"/>
    </row>
    <row r="2" spans="2:14" ht="15" x14ac:dyDescent="0.2">
      <c r="B2" s="2460" t="str">
        <f>'Single Audit Cover'!E7</f>
        <v>44-063-0360-02</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41"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80" colorId="8" zoomScale="110" zoomScaleNormal="110" workbookViewId="0">
      <selection activeCell="I269" sqref="I26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2147</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Harrison SD 36</v>
      </c>
      <c r="C1" s="2478"/>
      <c r="D1" s="2478"/>
      <c r="E1" s="2478"/>
      <c r="F1" s="2478"/>
      <c r="G1" s="2478"/>
      <c r="H1" s="2478"/>
      <c r="I1" s="2478"/>
      <c r="J1" s="1422"/>
    </row>
    <row r="2" spans="2:10" s="317" customFormat="1" ht="12.75" customHeight="1" x14ac:dyDescent="0.2">
      <c r="B2" s="2479" t="str">
        <f>'Single Audit Cover'!E7</f>
        <v>44-063-0360-02</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1952</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Harrison SD 36</v>
      </c>
      <c r="C1" s="2477"/>
      <c r="D1" s="2477"/>
      <c r="E1" s="2477"/>
      <c r="F1" s="2477"/>
      <c r="G1" s="2477"/>
      <c r="H1" s="2477"/>
      <c r="I1" s="2477"/>
      <c r="J1" s="2477"/>
      <c r="K1" s="2477"/>
      <c r="L1" s="1374"/>
      <c r="M1" s="1374"/>
    </row>
    <row r="2" spans="1:13" ht="12" customHeight="1" x14ac:dyDescent="0.2">
      <c r="B2" s="2479" t="str">
        <f>'Single Audit Cover'!E7</f>
        <v>44-063-0360-02</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Harrison SD 36</v>
      </c>
      <c r="C1" s="2500"/>
      <c r="D1" s="2500"/>
      <c r="E1" s="2500"/>
      <c r="F1" s="2500"/>
      <c r="G1" s="2500"/>
      <c r="H1" s="2500"/>
      <c r="I1" s="2500"/>
      <c r="J1" s="2500"/>
      <c r="K1" s="2500"/>
      <c r="L1" s="1465"/>
    </row>
    <row r="2" spans="1:12" ht="12.75" customHeight="1" x14ac:dyDescent="0.2">
      <c r="B2" s="2501" t="str">
        <f>'Single Audit Cover'!E7</f>
        <v>44-063-0360-02</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1"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Harrison SD 36</v>
      </c>
      <c r="C1" s="2477"/>
      <c r="D1" s="2477"/>
      <c r="E1" s="1491"/>
    </row>
    <row r="2" spans="2:5" s="1282" customFormat="1" ht="12.75" customHeight="1" x14ac:dyDescent="0.2">
      <c r="B2" s="2479" t="str">
        <f>'Single Audit Cover'!E7</f>
        <v>44-063-0360-02</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I269" sqref="I26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69315091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3.1182970000000001E-2</v>
      </c>
      <c r="E10" s="356" t="s">
        <v>1062</v>
      </c>
      <c r="F10" s="355">
        <v>4.9001899999999996E-3</v>
      </c>
      <c r="G10" s="356" t="s">
        <v>1062</v>
      </c>
      <c r="H10" s="355">
        <v>5.7707499999999998E-3</v>
      </c>
      <c r="I10" s="356" t="s">
        <v>1063</v>
      </c>
      <c r="J10" s="1754">
        <f>ROUND(D10+F10+H10,5)</f>
        <v>4.1849999999999998E-2</v>
      </c>
      <c r="K10" s="222"/>
      <c r="L10" s="355">
        <v>4.4548E-4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5537807</v>
      </c>
      <c r="E16" s="356"/>
      <c r="F16" s="1755">
        <f>SUM('Acct Summary 7-8'!C17,'Acct Summary 7-8'!D17,'Acct Summary 7-8'!F17)</f>
        <v>5427158</v>
      </c>
      <c r="G16" s="356"/>
      <c r="H16" s="1755">
        <f>SUM(D16-F16)</f>
        <v>110649</v>
      </c>
      <c r="I16" s="222"/>
      <c r="J16" s="1755">
        <f>SUM('Acct Summary 7-8'!C81,'Acct Summary 7-8'!D81,'Acct Summary 7-8'!F81,'Acct Summary 7-8'!I81)</f>
        <v>4969706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4782741.2790000001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topLeftCell="A4" zoomScale="110" zoomScaleNormal="110" workbookViewId="0">
      <selection activeCell="I269" sqref="I26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Harrison SD 36</v>
      </c>
      <c r="E7" s="391"/>
      <c r="G7" s="252"/>
      <c r="H7" s="387"/>
      <c r="I7" s="387"/>
      <c r="J7" s="387"/>
      <c r="K7" s="387"/>
      <c r="L7" s="329"/>
      <c r="M7" s="329"/>
      <c r="N7" s="329"/>
      <c r="O7" s="329"/>
      <c r="P7" s="329"/>
    </row>
    <row r="8" spans="1:18" ht="12.75" x14ac:dyDescent="0.2">
      <c r="A8" s="329"/>
      <c r="B8" s="329"/>
      <c r="C8" s="389" t="s">
        <v>1187</v>
      </c>
      <c r="D8" s="392" t="str">
        <f>COVER!A13</f>
        <v>44-063-0360-02</v>
      </c>
      <c r="E8" s="393"/>
      <c r="G8" s="329"/>
      <c r="H8" s="329"/>
      <c r="I8" s="329"/>
      <c r="J8" s="329"/>
      <c r="K8" s="329"/>
      <c r="L8" s="329"/>
      <c r="M8" s="329"/>
      <c r="N8" s="329"/>
      <c r="O8" s="329"/>
      <c r="P8" s="329"/>
    </row>
    <row r="9" spans="1:18" ht="12.75" x14ac:dyDescent="0.2">
      <c r="A9" s="329"/>
      <c r="B9" s="329"/>
      <c r="C9" s="389" t="s">
        <v>737</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4969706</v>
      </c>
      <c r="I12" s="404"/>
      <c r="J12" s="404"/>
      <c r="K12" s="405">
        <f>TRUNC((H12/H13*100000),5)/100000</f>
        <v>1.1247544121999999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4418481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-1119326</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1</v>
      </c>
      <c r="P16" s="216"/>
      <c r="R16" s="384"/>
    </row>
    <row r="17" spans="1:18" s="408" customFormat="1" ht="11.25" x14ac:dyDescent="0.2">
      <c r="A17" s="218"/>
      <c r="B17" s="401"/>
      <c r="C17" s="218" t="s">
        <v>830</v>
      </c>
      <c r="D17" s="218"/>
      <c r="E17" s="218"/>
      <c r="F17" s="218" t="s">
        <v>464</v>
      </c>
      <c r="G17" s="402"/>
      <c r="H17" s="403">
        <f>SUM('Acct Summary 7-8'!C17+'Acct Summary 7-8'!D17+'Acct Summary 7-8'!F17)</f>
        <v>5427158</v>
      </c>
      <c r="I17" s="404"/>
      <c r="J17" s="416"/>
      <c r="K17" s="405">
        <f>TRUNC((H17/H18*100000),5)/100000</f>
        <v>1.2282859199</v>
      </c>
      <c r="L17" s="406"/>
      <c r="M17" s="417" t="s">
        <v>1233</v>
      </c>
      <c r="O17" s="418" t="str">
        <f>IF(AND(O16="2", J20 &gt; 2),"1",IF(AND(O16 = "1", J20 &gt; 2),"2",IF(AND(O16="1", J20 &gt;1),"1","0")))</f>
        <v>2</v>
      </c>
      <c r="P17" s="218"/>
    </row>
    <row r="18" spans="1:18" s="408" customFormat="1" ht="11.25" x14ac:dyDescent="0.2">
      <c r="A18" s="218"/>
      <c r="B18" s="401"/>
      <c r="C18" s="2118" t="s">
        <v>1384</v>
      </c>
      <c r="D18" s="2119"/>
      <c r="E18" s="218"/>
      <c r="F18" s="419" t="s">
        <v>827</v>
      </c>
      <c r="G18" s="402"/>
      <c r="H18" s="403">
        <f>SUM('Acct Summary 7-8'!C8+'Acct Summary 7-8'!D8+'Acct Summary 7-8'!F8+'Acct Summary 7-8'!I8)+H19</f>
        <v>4418481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-1119326</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4.4889076000000001</v>
      </c>
      <c r="K20" s="405">
        <f>IF(K17&lt;=1,"0",IF(AND(O16="2", J20 &gt; 2),TRUNC(((K12-0.1)/(K17-1)*100),5)/100,IF(AND(O16 = "1", J20 &gt; 2),TRUNC(((K12-0.1)/(K17-1)*100),5)/100,IF(AND(O16="1", J20 &gt;1),TRUNC(((K12-0.1)/(K17-1)*100),5)/100,""))))</f>
        <v>4.4889076000000001</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4974235</v>
      </c>
      <c r="I24" s="422"/>
      <c r="J24" s="422"/>
      <c r="K24" s="423">
        <f>TRUNC(((H24/H25*100000)/100000),2)</f>
        <v>329.95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15075.438889999999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2465711.0745999999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4782741.2790000001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topLeftCell="D1" colorId="8" zoomScale="110" zoomScaleNormal="110" workbookViewId="0">
      <pane ySplit="2" topLeftCell="A36" activePane="bottomLeft" state="frozen"/>
      <selection activeCell="I269" sqref="I269"/>
      <selection pane="bottomLeft" activeCell="I269" sqref="I26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3749336</v>
      </c>
      <c r="D4" s="466">
        <v>603509</v>
      </c>
      <c r="E4" s="466">
        <v>1336</v>
      </c>
      <c r="F4" s="466">
        <v>196540</v>
      </c>
      <c r="G4" s="466">
        <v>145695</v>
      </c>
      <c r="H4" s="466">
        <v>928153</v>
      </c>
      <c r="I4" s="466">
        <v>424850</v>
      </c>
      <c r="J4" s="467">
        <v>152526</v>
      </c>
      <c r="K4" s="466">
        <v>0</v>
      </c>
      <c r="L4" s="466">
        <v>11005</v>
      </c>
      <c r="M4" s="468"/>
      <c r="N4" s="469"/>
    </row>
    <row r="5" spans="1:14" x14ac:dyDescent="0.2">
      <c r="A5" s="463" t="s">
        <v>1049</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58" t="s">
        <v>665</v>
      </c>
      <c r="B13" s="1731"/>
      <c r="C13" s="1759">
        <f>SUM(C4:C12)</f>
        <v>3749336</v>
      </c>
      <c r="D13" s="1759">
        <f t="shared" ref="D13:L13" si="0">SUM(D4:D12)</f>
        <v>603509</v>
      </c>
      <c r="E13" s="1759">
        <f t="shared" si="0"/>
        <v>1336</v>
      </c>
      <c r="F13" s="1759">
        <f t="shared" si="0"/>
        <v>196540</v>
      </c>
      <c r="G13" s="1759">
        <f t="shared" si="0"/>
        <v>145695</v>
      </c>
      <c r="H13" s="1759">
        <f t="shared" si="0"/>
        <v>928153</v>
      </c>
      <c r="I13" s="1759">
        <f t="shared" si="0"/>
        <v>424850</v>
      </c>
      <c r="J13" s="1759">
        <f t="shared" si="0"/>
        <v>152526</v>
      </c>
      <c r="K13" s="1759">
        <f t="shared" si="0"/>
        <v>0</v>
      </c>
      <c r="L13" s="1759">
        <f t="shared" si="0"/>
        <v>11005</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24363</v>
      </c>
      <c r="N16" s="484"/>
    </row>
    <row r="17" spans="1:14" s="485" customFormat="1" ht="12.75" customHeight="1" x14ac:dyDescent="0.2">
      <c r="A17" s="482" t="s">
        <v>1470</v>
      </c>
      <c r="B17" s="483">
        <v>230</v>
      </c>
      <c r="C17" s="477"/>
      <c r="D17" s="477"/>
      <c r="E17" s="477"/>
      <c r="F17" s="477"/>
      <c r="G17" s="477"/>
      <c r="H17" s="477"/>
      <c r="I17" s="477"/>
      <c r="J17" s="477"/>
      <c r="K17" s="477"/>
      <c r="L17" s="477"/>
      <c r="M17" s="467">
        <v>6513425</v>
      </c>
      <c r="N17" s="484"/>
    </row>
    <row r="18" spans="1:14" s="485" customFormat="1" ht="12.75" customHeight="1" x14ac:dyDescent="0.2">
      <c r="A18" s="482" t="s">
        <v>1471</v>
      </c>
      <c r="B18" s="483">
        <v>240</v>
      </c>
      <c r="C18" s="477"/>
      <c r="D18" s="477"/>
      <c r="E18" s="477"/>
      <c r="F18" s="477"/>
      <c r="G18" s="477"/>
      <c r="H18" s="477"/>
      <c r="I18" s="477"/>
      <c r="J18" s="477"/>
      <c r="K18" s="477"/>
      <c r="L18" s="477"/>
      <c r="M18" s="467">
        <v>339573</v>
      </c>
      <c r="N18" s="484"/>
    </row>
    <row r="19" spans="1:14" s="485" customFormat="1" ht="12.75" customHeight="1" x14ac:dyDescent="0.2">
      <c r="A19" s="482" t="s">
        <v>1472</v>
      </c>
      <c r="B19" s="483">
        <v>250</v>
      </c>
      <c r="C19" s="477"/>
      <c r="D19" s="477"/>
      <c r="E19" s="477"/>
      <c r="F19" s="477"/>
      <c r="G19" s="477"/>
      <c r="H19" s="477"/>
      <c r="I19" s="477"/>
      <c r="J19" s="477"/>
      <c r="K19" s="477"/>
      <c r="L19" s="477"/>
      <c r="M19" s="467">
        <v>843629</v>
      </c>
      <c r="N19" s="484"/>
    </row>
    <row r="20" spans="1:14" s="485" customFormat="1" ht="12.75" customHeight="1" x14ac:dyDescent="0.2">
      <c r="A20" s="482" t="s">
        <v>1473</v>
      </c>
      <c r="B20" s="483">
        <v>260</v>
      </c>
      <c r="C20" s="477"/>
      <c r="D20" s="477"/>
      <c r="E20" s="477"/>
      <c r="F20" s="477"/>
      <c r="G20" s="477"/>
      <c r="H20" s="477"/>
      <c r="I20" s="477"/>
      <c r="J20" s="477"/>
      <c r="K20" s="477"/>
      <c r="L20" s="477"/>
      <c r="M20" s="467">
        <v>5821938</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13542928</v>
      </c>
      <c r="N23" s="1710">
        <f>SUM(N21:N22)</f>
        <v>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4529</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11005</v>
      </c>
      <c r="M33" s="468"/>
      <c r="N33" s="469"/>
    </row>
    <row r="34" spans="1:14" ht="13.5" customHeight="1" thickBot="1" x14ac:dyDescent="0.25">
      <c r="A34" s="1760" t="s">
        <v>675</v>
      </c>
      <c r="B34" s="1761"/>
      <c r="C34" s="1762">
        <f>SUM(C25:C33)</f>
        <v>4529</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11005</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v>65138</v>
      </c>
      <c r="H38" s="466"/>
      <c r="I38" s="466"/>
      <c r="J38" s="467"/>
      <c r="K38" s="466"/>
      <c r="L38" s="481"/>
      <c r="M38" s="497"/>
      <c r="N38" s="497"/>
    </row>
    <row r="39" spans="1:14" s="329" customFormat="1" ht="13.5" customHeight="1" x14ac:dyDescent="0.2">
      <c r="A39" s="496" t="s">
        <v>360</v>
      </c>
      <c r="B39" s="483">
        <v>730</v>
      </c>
      <c r="C39" s="466">
        <v>3744807</v>
      </c>
      <c r="D39" s="466">
        <v>603509</v>
      </c>
      <c r="E39" s="466">
        <v>1336</v>
      </c>
      <c r="F39" s="466">
        <v>196540</v>
      </c>
      <c r="G39" s="466">
        <v>80557</v>
      </c>
      <c r="H39" s="466">
        <v>928153</v>
      </c>
      <c r="I39" s="466">
        <v>424850</v>
      </c>
      <c r="J39" s="467">
        <v>152526</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13542928</v>
      </c>
      <c r="N40" s="497"/>
    </row>
    <row r="41" spans="1:14" ht="13.5" customHeight="1" thickBot="1" x14ac:dyDescent="0.25">
      <c r="A41" s="1758" t="s">
        <v>676</v>
      </c>
      <c r="B41" s="1728"/>
      <c r="C41" s="1710">
        <f>(SUM(C34,C37,C38,C39))</f>
        <v>3749336</v>
      </c>
      <c r="D41" s="1710">
        <f t="shared" ref="D41:L41" si="2">SUM(D34,D37,D38:D39)</f>
        <v>603509</v>
      </c>
      <c r="E41" s="1710">
        <f t="shared" si="2"/>
        <v>1336</v>
      </c>
      <c r="F41" s="1710">
        <f t="shared" si="2"/>
        <v>196540</v>
      </c>
      <c r="G41" s="1710">
        <f t="shared" si="2"/>
        <v>145695</v>
      </c>
      <c r="H41" s="1710">
        <f t="shared" si="2"/>
        <v>928153</v>
      </c>
      <c r="I41" s="1710">
        <f t="shared" si="2"/>
        <v>424850</v>
      </c>
      <c r="J41" s="1710">
        <f t="shared" si="2"/>
        <v>152526</v>
      </c>
      <c r="K41" s="1710">
        <f t="shared" si="2"/>
        <v>0</v>
      </c>
      <c r="L41" s="1710">
        <f t="shared" si="2"/>
        <v>11005</v>
      </c>
      <c r="M41" s="1710">
        <f>SUM(M40)</f>
        <v>13542928</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topLeftCell="B1" colorId="8" zoomScale="110" zoomScaleNormal="110" zoomScaleSheetLayoutView="100" workbookViewId="0">
      <pane ySplit="2" topLeftCell="A72" activePane="bottomLeft" state="frozenSplit"/>
      <selection activeCell="I269" sqref="I269"/>
      <selection pane="bottomLeft" activeCell="I29" sqref="I2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3" t="s">
        <v>1579</v>
      </c>
      <c r="B4" s="1954">
        <v>1000</v>
      </c>
      <c r="C4" s="1764">
        <f>'Revenues 9-14'!C109</f>
        <v>2506568</v>
      </c>
      <c r="D4" s="1764">
        <f>'Revenues 9-14'!D109</f>
        <v>348036</v>
      </c>
      <c r="E4" s="1764">
        <f>'Revenues 9-14'!E109</f>
        <v>0</v>
      </c>
      <c r="F4" s="1764">
        <f>'Revenues 9-14'!F109</f>
        <v>408449</v>
      </c>
      <c r="G4" s="1764">
        <f>'Revenues 9-14'!G109</f>
        <v>78971</v>
      </c>
      <c r="H4" s="1764">
        <f>'Revenues 9-14'!H109</f>
        <v>0</v>
      </c>
      <c r="I4" s="1764">
        <f>'Revenues 9-14'!I109</f>
        <v>30990</v>
      </c>
      <c r="J4" s="1764">
        <f>'Revenues 9-14'!J109</f>
        <v>41293</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1670309</v>
      </c>
      <c r="D6" s="1765">
        <f>'Revenues 9-14'!D173</f>
        <v>0</v>
      </c>
      <c r="E6" s="1765">
        <f>'Revenues 9-14'!E173</f>
        <v>0</v>
      </c>
      <c r="F6" s="1765">
        <f>'Revenues 9-14'!F173</f>
        <v>246279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327176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4504053</v>
      </c>
      <c r="D8" s="1710">
        <f t="shared" ref="D8:K8" si="0">SUM(D4:D7)</f>
        <v>348036</v>
      </c>
      <c r="E8" s="1710">
        <f t="shared" si="0"/>
        <v>0</v>
      </c>
      <c r="F8" s="1710">
        <f t="shared" si="0"/>
        <v>654728</v>
      </c>
      <c r="G8" s="1710">
        <f t="shared" si="0"/>
        <v>78971</v>
      </c>
      <c r="H8" s="1710">
        <f t="shared" si="0"/>
        <v>0</v>
      </c>
      <c r="I8" s="1710">
        <f t="shared" si="0"/>
        <v>30990</v>
      </c>
      <c r="J8" s="1710">
        <f t="shared" si="0"/>
        <v>41293</v>
      </c>
      <c r="K8" s="1710">
        <f t="shared" si="0"/>
        <v>0</v>
      </c>
      <c r="L8" s="347"/>
    </row>
    <row r="9" spans="1:13" ht="15.75" thickTop="1" x14ac:dyDescent="0.2">
      <c r="A9" s="514" t="s">
        <v>1752</v>
      </c>
      <c r="B9" s="515">
        <v>3998</v>
      </c>
      <c r="C9" s="481">
        <v>1464155</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5968208</v>
      </c>
      <c r="D10" s="1710">
        <f t="shared" ref="D10:K10" si="1">SUM(D8:D9)</f>
        <v>348036</v>
      </c>
      <c r="E10" s="1710">
        <f t="shared" si="1"/>
        <v>0</v>
      </c>
      <c r="F10" s="1710">
        <f t="shared" si="1"/>
        <v>654728</v>
      </c>
      <c r="G10" s="1710">
        <f t="shared" si="1"/>
        <v>78971</v>
      </c>
      <c r="H10" s="1710">
        <f t="shared" si="1"/>
        <v>0</v>
      </c>
      <c r="I10" s="1710">
        <f t="shared" si="1"/>
        <v>30990</v>
      </c>
      <c r="J10" s="1710">
        <f t="shared" si="1"/>
        <v>41293</v>
      </c>
      <c r="K10" s="1710">
        <f t="shared" si="1"/>
        <v>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2304569</v>
      </c>
      <c r="D12" s="520" t="s">
        <v>1231</v>
      </c>
      <c r="E12" s="468" t="s">
        <v>1231</v>
      </c>
      <c r="F12" s="468" t="s">
        <v>1231</v>
      </c>
      <c r="G12" s="1764">
        <f>'Expenditures 15-22'!K229</f>
        <v>36250</v>
      </c>
      <c r="H12" s="521"/>
      <c r="I12" s="468" t="s">
        <v>1231</v>
      </c>
      <c r="J12" s="468" t="s">
        <v>1231</v>
      </c>
      <c r="K12" s="521" t="s">
        <v>1231</v>
      </c>
      <c r="L12" s="347"/>
    </row>
    <row r="13" spans="1:13" ht="15.75" customHeight="1" x14ac:dyDescent="0.2">
      <c r="A13" s="1598" t="s">
        <v>477</v>
      </c>
      <c r="B13" s="1600">
        <v>2000</v>
      </c>
      <c r="C13" s="1765">
        <f>'Expenditures 15-22'!K74</f>
        <v>1235598</v>
      </c>
      <c r="D13" s="1765">
        <f>'Expenditures 15-22'!K129</f>
        <v>647760</v>
      </c>
      <c r="E13" s="469" t="s">
        <v>1231</v>
      </c>
      <c r="F13" s="1765">
        <f>'Expenditures 15-22'!K184</f>
        <v>638693</v>
      </c>
      <c r="G13" s="1765">
        <f>'Expenditures 15-22'!K279</f>
        <v>42636</v>
      </c>
      <c r="H13" s="1765">
        <f>'Expenditures 15-22'!K303</f>
        <v>5402487</v>
      </c>
      <c r="I13" s="468" t="s">
        <v>1231</v>
      </c>
      <c r="J13" s="1765">
        <f>'Expenditures 15-22'!K330</f>
        <v>80760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600538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1119676</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4140705</v>
      </c>
      <c r="D17" s="1710">
        <f t="shared" si="2"/>
        <v>647760</v>
      </c>
      <c r="E17" s="1710">
        <f t="shared" si="2"/>
        <v>1119676</v>
      </c>
      <c r="F17" s="1710">
        <f t="shared" si="2"/>
        <v>638693</v>
      </c>
      <c r="G17" s="1710">
        <f t="shared" si="2"/>
        <v>78886</v>
      </c>
      <c r="H17" s="1710">
        <f t="shared" si="2"/>
        <v>5402487</v>
      </c>
      <c r="I17" s="468"/>
      <c r="J17" s="1710">
        <f>SUM(J12:J16)</f>
        <v>80760</v>
      </c>
      <c r="K17" s="1710">
        <f>SUM(K12:K16)</f>
        <v>0</v>
      </c>
      <c r="L17" s="347"/>
    </row>
    <row r="18" spans="1:12" ht="15" customHeight="1" thickTop="1" x14ac:dyDescent="0.2">
      <c r="A18" s="1766" t="s">
        <v>1753</v>
      </c>
      <c r="B18" s="1767">
        <v>4180</v>
      </c>
      <c r="C18" s="1764">
        <f t="shared" ref="C18:H18" si="3">C9</f>
        <v>1464155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5604860</v>
      </c>
      <c r="D19" s="1710">
        <f t="shared" si="4"/>
        <v>647760</v>
      </c>
      <c r="E19" s="1710">
        <f t="shared" si="4"/>
        <v>1119676</v>
      </c>
      <c r="F19" s="1710">
        <f t="shared" si="4"/>
        <v>638693</v>
      </c>
      <c r="G19" s="1710">
        <f t="shared" si="4"/>
        <v>78886</v>
      </c>
      <c r="H19" s="1710">
        <f t="shared" si="4"/>
        <v>5402487</v>
      </c>
      <c r="I19" s="468"/>
      <c r="J19" s="1710">
        <f>SUM(J17:J18)</f>
        <v>80760</v>
      </c>
      <c r="K19" s="1710">
        <f>SUM(K17:K18)</f>
        <v>0</v>
      </c>
      <c r="L19" s="347"/>
    </row>
    <row r="20" spans="1:12" ht="16.5" thickTop="1" thickBot="1" x14ac:dyDescent="0.25">
      <c r="A20" s="2143" t="s">
        <v>1754</v>
      </c>
      <c r="B20" s="2144"/>
      <c r="C20" s="1768">
        <f>C8-C17</f>
        <v>363348</v>
      </c>
      <c r="D20" s="1768">
        <f t="shared" ref="D20:K20" si="5">D8-D17</f>
        <v>-299724</v>
      </c>
      <c r="E20" s="1768">
        <f t="shared" si="5"/>
        <v>-1119676</v>
      </c>
      <c r="F20" s="1768">
        <f t="shared" si="5"/>
        <v>16035</v>
      </c>
      <c r="G20" s="1768">
        <f t="shared" si="5"/>
        <v>85</v>
      </c>
      <c r="H20" s="1768">
        <f t="shared" si="5"/>
        <v>-5402487</v>
      </c>
      <c r="I20" s="1768">
        <f t="shared" si="5"/>
        <v>30990</v>
      </c>
      <c r="J20" s="1768">
        <f t="shared" si="5"/>
        <v>-39467</v>
      </c>
      <c r="K20" s="1768">
        <f t="shared" si="5"/>
        <v>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-1053189</v>
      </c>
      <c r="D27" s="467">
        <v>1453189</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1897</v>
      </c>
      <c r="B30" s="527">
        <v>7160</v>
      </c>
      <c r="C30" s="477"/>
      <c r="D30" s="467">
        <v>0</v>
      </c>
      <c r="E30" s="477"/>
      <c r="F30" s="477"/>
      <c r="G30" s="477"/>
      <c r="H30" s="477"/>
      <c r="I30" s="477"/>
      <c r="J30" s="477"/>
      <c r="K30" s="477"/>
      <c r="L30" s="524"/>
    </row>
    <row r="31" spans="1:12" s="485" customFormat="1" ht="26.25" x14ac:dyDescent="0.2">
      <c r="A31" s="1511" t="s">
        <v>1901</v>
      </c>
      <c r="B31" s="527">
        <v>7170</v>
      </c>
      <c r="C31" s="477"/>
      <c r="D31" s="477"/>
      <c r="E31" s="474">
        <v>0</v>
      </c>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1095000</v>
      </c>
      <c r="F39" s="477"/>
      <c r="G39" s="477"/>
      <c r="H39" s="477"/>
      <c r="I39" s="477"/>
      <c r="J39" s="477"/>
      <c r="K39" s="477"/>
      <c r="L39" s="524"/>
    </row>
    <row r="40" spans="1:12" s="485" customFormat="1" ht="13.5" customHeight="1" x14ac:dyDescent="0.2">
      <c r="A40" s="1511" t="s">
        <v>663</v>
      </c>
      <c r="B40" s="483">
        <v>7700</v>
      </c>
      <c r="C40" s="477"/>
      <c r="D40" s="477"/>
      <c r="E40" s="1765">
        <f>SUM(C66:D69)</f>
        <v>24326</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350</v>
      </c>
      <c r="F43" s="467">
        <v>0</v>
      </c>
      <c r="G43" s="467">
        <v>0</v>
      </c>
      <c r="H43" s="467">
        <v>0</v>
      </c>
      <c r="I43" s="467">
        <v>0</v>
      </c>
      <c r="J43" s="467">
        <v>0</v>
      </c>
      <c r="K43" s="467">
        <v>0</v>
      </c>
      <c r="L43" s="524"/>
    </row>
    <row r="44" spans="1:12" s="485" customFormat="1" ht="13.5" customHeight="1" thickBot="1" x14ac:dyDescent="0.25">
      <c r="A44" s="2157" t="s">
        <v>392</v>
      </c>
      <c r="B44" s="2158"/>
      <c r="C44" s="1725">
        <f>SUM(C24:C43)</f>
        <v>-1053189</v>
      </c>
      <c r="D44" s="1725">
        <f t="shared" ref="D44:K44" si="6">SUM(D24:D43)</f>
        <v>1453189</v>
      </c>
      <c r="E44" s="1725">
        <f t="shared" si="6"/>
        <v>1119676</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0</v>
      </c>
      <c r="D49" s="467">
        <v>0</v>
      </c>
      <c r="E49" s="480"/>
      <c r="F49" s="467">
        <v>400000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1095000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24326</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350</v>
      </c>
      <c r="E75" s="530">
        <v>0</v>
      </c>
      <c r="F75" s="532">
        <v>0</v>
      </c>
      <c r="G75" s="532">
        <v>0</v>
      </c>
      <c r="H75" s="532">
        <v>0</v>
      </c>
      <c r="I75" s="530">
        <v>0</v>
      </c>
      <c r="J75" s="530">
        <v>0</v>
      </c>
      <c r="K75" s="532">
        <v>0</v>
      </c>
      <c r="L75" s="524"/>
    </row>
    <row r="76" spans="1:12" s="485" customFormat="1" ht="14.25" thickTop="1" thickBot="1" x14ac:dyDescent="0.25">
      <c r="A76" s="2133" t="s">
        <v>460</v>
      </c>
      <c r="B76" s="2134"/>
      <c r="C76" s="1725">
        <f t="shared" ref="C76:K76" si="7">SUM(C47:C75)</f>
        <v>0</v>
      </c>
      <c r="D76" s="1725">
        <f t="shared" si="7"/>
        <v>1119676</v>
      </c>
      <c r="E76" s="1725">
        <f t="shared" si="7"/>
        <v>0</v>
      </c>
      <c r="F76" s="1725">
        <f t="shared" si="7"/>
        <v>400000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-1053189</v>
      </c>
      <c r="D77" s="1725">
        <f t="shared" si="8"/>
        <v>333513</v>
      </c>
      <c r="E77" s="1725">
        <f t="shared" si="8"/>
        <v>1119676</v>
      </c>
      <c r="F77" s="1725">
        <f t="shared" si="8"/>
        <v>-400000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-689841</v>
      </c>
      <c r="D78" s="1724">
        <f t="shared" si="9"/>
        <v>33789</v>
      </c>
      <c r="E78" s="1724">
        <f t="shared" si="9"/>
        <v>0</v>
      </c>
      <c r="F78" s="1724">
        <f t="shared" si="9"/>
        <v>-383965</v>
      </c>
      <c r="G78" s="1724">
        <f t="shared" si="9"/>
        <v>85</v>
      </c>
      <c r="H78" s="1724">
        <f t="shared" si="9"/>
        <v>-5402487</v>
      </c>
      <c r="I78" s="1724">
        <f t="shared" si="9"/>
        <v>30990</v>
      </c>
      <c r="J78" s="1724">
        <f t="shared" si="9"/>
        <v>-39467</v>
      </c>
      <c r="K78" s="1724">
        <f t="shared" si="9"/>
        <v>0</v>
      </c>
      <c r="L78" s="533"/>
    </row>
    <row r="79" spans="1:12" ht="13.5" thickTop="1" x14ac:dyDescent="0.2">
      <c r="A79" s="1516" t="s">
        <v>2073</v>
      </c>
      <c r="B79" s="534"/>
      <c r="C79" s="478">
        <v>4434648</v>
      </c>
      <c r="D79" s="535">
        <v>569720</v>
      </c>
      <c r="E79" s="535">
        <v>1336</v>
      </c>
      <c r="F79" s="535">
        <v>580505</v>
      </c>
      <c r="G79" s="535">
        <v>145610</v>
      </c>
      <c r="H79" s="535">
        <v>6330640</v>
      </c>
      <c r="I79" s="535">
        <v>393860</v>
      </c>
      <c r="J79" s="535">
        <v>191993</v>
      </c>
      <c r="K79" s="535">
        <v>0</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3744807</v>
      </c>
      <c r="D81" s="1710">
        <f>SUM(D78:D80)</f>
        <v>603509</v>
      </c>
      <c r="E81" s="1710">
        <f t="shared" ref="E81:K81" si="10">SUM(E78:E80)</f>
        <v>1336</v>
      </c>
      <c r="F81" s="1710">
        <f t="shared" si="10"/>
        <v>196540</v>
      </c>
      <c r="G81" s="1710">
        <f t="shared" si="10"/>
        <v>145695</v>
      </c>
      <c r="H81" s="1710">
        <f t="shared" si="10"/>
        <v>928153</v>
      </c>
      <c r="I81" s="1710">
        <f t="shared" si="10"/>
        <v>424850</v>
      </c>
      <c r="J81" s="1710">
        <f t="shared" si="10"/>
        <v>152526</v>
      </c>
      <c r="K81" s="1710">
        <f t="shared" si="10"/>
        <v>0</v>
      </c>
      <c r="L81" s="347"/>
    </row>
    <row r="82" spans="1:12" ht="0.75" customHeight="1" thickTop="1" thickBot="1" x14ac:dyDescent="0.25">
      <c r="A82" s="536" t="s">
        <v>361</v>
      </c>
      <c r="B82" s="537"/>
      <c r="C82" s="538">
        <f>(C81-C79)</f>
        <v>-689841</v>
      </c>
      <c r="D82" s="538">
        <f t="shared" ref="D82:K82" si="11">(D81-D79)</f>
        <v>33789</v>
      </c>
      <c r="E82" s="538">
        <f t="shared" si="11"/>
        <v>0</v>
      </c>
      <c r="F82" s="538">
        <f t="shared" si="11"/>
        <v>-383965</v>
      </c>
      <c r="G82" s="538">
        <f t="shared" si="11"/>
        <v>85</v>
      </c>
      <c r="H82" s="538">
        <f t="shared" si="11"/>
        <v>-5402487</v>
      </c>
      <c r="I82" s="538">
        <f t="shared" si="11"/>
        <v>30990</v>
      </c>
      <c r="J82" s="538">
        <f t="shared" si="11"/>
        <v>-39467</v>
      </c>
      <c r="K82" s="538">
        <f t="shared" si="11"/>
        <v>0</v>
      </c>
    </row>
    <row r="83" spans="1:12" ht="14.25" hidden="1" thickTop="1" thickBot="1" x14ac:dyDescent="0.25">
      <c r="A83" s="539" t="s">
        <v>362</v>
      </c>
      <c r="B83" s="464"/>
      <c r="C83" s="540">
        <f>C82/C81</f>
        <v>-0.18421269774383567</v>
      </c>
      <c r="D83" s="540">
        <f t="shared" ref="D83:K83" si="12">D82/D81</f>
        <v>5.5987566051210504E-2</v>
      </c>
      <c r="E83" s="540">
        <f t="shared" si="12"/>
        <v>0</v>
      </c>
      <c r="F83" s="540">
        <f t="shared" si="12"/>
        <v>-1.9536226722295715</v>
      </c>
      <c r="G83" s="540">
        <f t="shared" si="12"/>
        <v>5.8341054943546449E-4</v>
      </c>
      <c r="H83" s="540">
        <f t="shared" si="12"/>
        <v>-5.8206858136535677</v>
      </c>
      <c r="I83" s="540">
        <f t="shared" si="12"/>
        <v>7.2943391785336001E-2</v>
      </c>
      <c r="J83" s="540">
        <f t="shared" si="12"/>
        <v>-0.25875588424268647</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86"/>
  <sheetViews>
    <sheetView showGridLines="0" defaultGridColor="0" topLeftCell="B1" colorId="8" zoomScale="110" zoomScaleNormal="110" zoomScaleSheetLayoutView="75" workbookViewId="0">
      <pane ySplit="2" topLeftCell="A261" activePane="bottomLeft" state="frozen"/>
      <selection sqref="A1:A2"/>
      <selection pane="bottomLeft" activeCell="C272" sqref="C27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2169369</v>
      </c>
      <c r="D5" s="481">
        <v>340901</v>
      </c>
      <c r="E5" s="466">
        <v>0</v>
      </c>
      <c r="F5" s="548">
        <v>405884</v>
      </c>
      <c r="G5" s="466">
        <v>24078</v>
      </c>
      <c r="H5" s="466">
        <v>0</v>
      </c>
      <c r="I5" s="466">
        <v>30990</v>
      </c>
      <c r="J5" s="467">
        <v>41293</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247929</v>
      </c>
      <c r="D7" s="466">
        <v>0</v>
      </c>
      <c r="E7" s="468"/>
      <c r="F7" s="467">
        <v>0</v>
      </c>
      <c r="G7" s="467">
        <v>0</v>
      </c>
      <c r="H7" s="467">
        <v>0</v>
      </c>
      <c r="I7" s="468"/>
      <c r="J7" s="468"/>
      <c r="K7" s="468"/>
    </row>
    <row r="8" spans="1:12" x14ac:dyDescent="0.2">
      <c r="A8" s="463" t="s">
        <v>433</v>
      </c>
      <c r="B8" s="470">
        <v>1150</v>
      </c>
      <c r="C8" s="475"/>
      <c r="D8" s="475"/>
      <c r="E8" s="477"/>
      <c r="F8" s="477"/>
      <c r="G8" s="481">
        <v>51776</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2417298</v>
      </c>
      <c r="D12" s="1729">
        <f t="shared" si="0"/>
        <v>340901</v>
      </c>
      <c r="E12" s="1729">
        <f t="shared" si="0"/>
        <v>0</v>
      </c>
      <c r="F12" s="1729">
        <f t="shared" si="0"/>
        <v>405884</v>
      </c>
      <c r="G12" s="1729">
        <f t="shared" si="0"/>
        <v>75854</v>
      </c>
      <c r="H12" s="1729">
        <f t="shared" si="0"/>
        <v>0</v>
      </c>
      <c r="I12" s="1729">
        <f t="shared" si="0"/>
        <v>30990</v>
      </c>
      <c r="J12" s="1729">
        <f t="shared" si="0"/>
        <v>41293</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16533</v>
      </c>
      <c r="D16" s="466">
        <v>0</v>
      </c>
      <c r="E16" s="466">
        <v>0</v>
      </c>
      <c r="F16" s="466">
        <v>0</v>
      </c>
      <c r="G16" s="466">
        <v>3117</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30" t="s">
        <v>558</v>
      </c>
      <c r="B18" s="1731"/>
      <c r="C18" s="1732">
        <f>SUM(C14:C17)</f>
        <v>16533</v>
      </c>
      <c r="D18" s="1732">
        <f t="shared" ref="D18:K18" si="1">SUM(D14:D17)</f>
        <v>0</v>
      </c>
      <c r="E18" s="1732">
        <f t="shared" si="1"/>
        <v>0</v>
      </c>
      <c r="F18" s="1732">
        <f t="shared" si="1"/>
        <v>0</v>
      </c>
      <c r="G18" s="1732">
        <f t="shared" si="1"/>
        <v>3117</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0</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11531</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30" t="s">
        <v>507</v>
      </c>
      <c r="B67" s="1731"/>
      <c r="C67" s="1710">
        <f>SUM(C65:C66)</f>
        <v>11531</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13171</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569</v>
      </c>
      <c r="B75" s="1731"/>
      <c r="C75" s="1710">
        <f>SUM(C69:C74)</f>
        <v>13171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0</v>
      </c>
      <c r="D77" s="466">
        <v>0</v>
      </c>
      <c r="E77" s="468"/>
      <c r="F77" s="468"/>
      <c r="G77" s="468"/>
      <c r="H77" s="468"/>
      <c r="I77" s="468"/>
      <c r="J77" s="468"/>
      <c r="K77" s="468"/>
    </row>
    <row r="78" spans="1:11" ht="12.75" customHeight="1" x14ac:dyDescent="0.2">
      <c r="A78" s="463" t="s">
        <v>78</v>
      </c>
      <c r="B78" s="470">
        <v>1719</v>
      </c>
      <c r="C78" s="551">
        <v>2017</v>
      </c>
      <c r="D78" s="466">
        <v>0</v>
      </c>
      <c r="E78" s="468"/>
      <c r="F78" s="468"/>
      <c r="G78" s="468"/>
      <c r="H78" s="468"/>
      <c r="I78" s="468"/>
      <c r="J78" s="468"/>
      <c r="K78" s="468"/>
    </row>
    <row r="79" spans="1:11" ht="12.75" customHeight="1" x14ac:dyDescent="0.2">
      <c r="A79" s="463" t="s">
        <v>571</v>
      </c>
      <c r="B79" s="470">
        <v>1720</v>
      </c>
      <c r="C79" s="551">
        <v>3250</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2941</v>
      </c>
      <c r="D81" s="466">
        <v>0</v>
      </c>
      <c r="E81" s="468"/>
      <c r="F81" s="468"/>
      <c r="G81" s="468"/>
      <c r="H81" s="468"/>
      <c r="I81" s="468"/>
      <c r="J81" s="468"/>
      <c r="K81" s="468"/>
    </row>
    <row r="82" spans="1:11" ht="12.75" customHeight="1" thickBot="1" x14ac:dyDescent="0.25">
      <c r="A82" s="1730" t="s">
        <v>259</v>
      </c>
      <c r="B82" s="1731"/>
      <c r="C82" s="1729">
        <f>SUM(C77:C81)</f>
        <v>8208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21344</v>
      </c>
      <c r="D84" s="468"/>
      <c r="E84" s="468"/>
      <c r="F84" s="468"/>
      <c r="G84" s="468"/>
      <c r="H84" s="468"/>
      <c r="I84" s="468"/>
      <c r="J84" s="468"/>
      <c r="K84" s="468"/>
    </row>
    <row r="85" spans="1:11" ht="12.75" customHeight="1" x14ac:dyDescent="0.2">
      <c r="A85" s="463" t="s">
        <v>574</v>
      </c>
      <c r="B85" s="470">
        <v>1812</v>
      </c>
      <c r="C85" s="551">
        <v>80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354</v>
      </c>
      <c r="D92" s="468"/>
      <c r="E92" s="468"/>
      <c r="F92" s="468"/>
      <c r="G92" s="468"/>
      <c r="H92" s="468"/>
      <c r="I92" s="468"/>
      <c r="J92" s="468"/>
      <c r="K92" s="468"/>
    </row>
    <row r="93" spans="1:11" ht="12.75" customHeight="1" thickBot="1" x14ac:dyDescent="0.25">
      <c r="A93" s="1730" t="s">
        <v>261</v>
      </c>
      <c r="B93" s="1731"/>
      <c r="C93" s="1710">
        <f>SUM(C84:C92)</f>
        <v>21778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0</v>
      </c>
      <c r="D95" s="551">
        <v>173</v>
      </c>
      <c r="E95" s="521"/>
      <c r="F95" s="521"/>
      <c r="G95" s="521"/>
      <c r="H95" s="521"/>
      <c r="I95" s="521"/>
      <c r="J95" s="521"/>
      <c r="K95" s="521"/>
    </row>
    <row r="96" spans="1:11" ht="12.75" customHeight="1" x14ac:dyDescent="0.2">
      <c r="A96" s="463" t="s">
        <v>409</v>
      </c>
      <c r="B96" s="470">
        <v>1920</v>
      </c>
      <c r="C96" s="551">
        <v>786</v>
      </c>
      <c r="D96" s="551">
        <v>0</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0</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17263</v>
      </c>
      <c r="D107" s="466">
        <v>6962</v>
      </c>
      <c r="E107" s="466">
        <v>0</v>
      </c>
      <c r="F107" s="466">
        <v>2565</v>
      </c>
      <c r="G107" s="466">
        <v>0</v>
      </c>
      <c r="H107" s="466">
        <v>0</v>
      </c>
      <c r="I107" s="466">
        <v>0</v>
      </c>
      <c r="J107" s="467">
        <v>0</v>
      </c>
      <c r="K107" s="466">
        <v>0</v>
      </c>
    </row>
    <row r="108" spans="1:12" ht="12.75" customHeight="1" thickBot="1" x14ac:dyDescent="0.25">
      <c r="A108" s="1730" t="s">
        <v>508</v>
      </c>
      <c r="B108" s="1734"/>
      <c r="C108" s="1729">
        <f>SUM(C95:C107)</f>
        <v>18049</v>
      </c>
      <c r="D108" s="1729">
        <f t="shared" ref="D108:K108" si="3">SUM(D95:D107)</f>
        <v>7135</v>
      </c>
      <c r="E108" s="1729">
        <f t="shared" si="3"/>
        <v>0</v>
      </c>
      <c r="F108" s="1729">
        <f t="shared" si="3"/>
        <v>2565</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2506568</v>
      </c>
      <c r="D109" s="1737">
        <f t="shared" si="4"/>
        <v>348036</v>
      </c>
      <c r="E109" s="1737">
        <f t="shared" si="4"/>
        <v>0</v>
      </c>
      <c r="F109" s="1737">
        <f t="shared" si="4"/>
        <v>408449</v>
      </c>
      <c r="G109" s="1737">
        <f t="shared" si="4"/>
        <v>78971</v>
      </c>
      <c r="H109" s="1737">
        <f t="shared" si="4"/>
        <v>0</v>
      </c>
      <c r="I109" s="1737">
        <f t="shared" si="4"/>
        <v>30990</v>
      </c>
      <c r="J109" s="1737">
        <f t="shared" si="4"/>
        <v>41293</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1396718</v>
      </c>
      <c r="D117" s="481">
        <v>0</v>
      </c>
      <c r="E117" s="466">
        <v>0</v>
      </c>
      <c r="F117" s="481">
        <v>0</v>
      </c>
      <c r="G117" s="481">
        <v>0</v>
      </c>
      <c r="H117" s="466">
        <v>0</v>
      </c>
      <c r="I117" s="468"/>
      <c r="J117" s="467">
        <v>0</v>
      </c>
      <c r="K117" s="466">
        <v>0</v>
      </c>
    </row>
    <row r="118" spans="1:11" ht="12.75" customHeight="1" x14ac:dyDescent="0.2">
      <c r="A118" s="463" t="s">
        <v>1902</v>
      </c>
      <c r="B118" s="562">
        <v>3002</v>
      </c>
      <c r="C118" s="551">
        <v>0</v>
      </c>
      <c r="D118" s="466">
        <v>0</v>
      </c>
      <c r="E118" s="466">
        <v>0</v>
      </c>
      <c r="F118" s="466">
        <v>0</v>
      </c>
      <c r="G118" s="466">
        <v>0</v>
      </c>
      <c r="H118" s="466">
        <v>0</v>
      </c>
      <c r="I118" s="468"/>
      <c r="J118" s="467">
        <v>0</v>
      </c>
      <c r="K118" s="466">
        <v>0</v>
      </c>
    </row>
    <row r="119" spans="1:11" ht="12.75" customHeight="1" x14ac:dyDescent="0.2">
      <c r="A119" s="463" t="s">
        <v>1903</v>
      </c>
      <c r="B119" s="562">
        <v>3005</v>
      </c>
      <c r="C119" s="551">
        <v>0</v>
      </c>
      <c r="D119" s="466">
        <v>0</v>
      </c>
      <c r="E119" s="466">
        <v>0</v>
      </c>
      <c r="F119" s="466">
        <v>0</v>
      </c>
      <c r="G119" s="466">
        <v>0</v>
      </c>
      <c r="H119" s="466">
        <v>0</v>
      </c>
      <c r="I119" s="468"/>
      <c r="J119" s="467">
        <v>0</v>
      </c>
      <c r="K119" s="466">
        <v>0</v>
      </c>
    </row>
    <row r="120" spans="1:11" x14ac:dyDescent="0.2">
      <c r="A120" s="1518" t="s">
        <v>1904</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509</v>
      </c>
      <c r="B121" s="1741"/>
      <c r="C121" s="1729">
        <f t="shared" ref="C121:H121" si="5">SUM(C117:C120)</f>
        <v>1396718</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52036</v>
      </c>
      <c r="D124" s="561"/>
      <c r="E124" s="468"/>
      <c r="F124" s="548">
        <v>0</v>
      </c>
      <c r="G124" s="468"/>
      <c r="H124" s="468"/>
      <c r="I124" s="468"/>
      <c r="J124" s="468"/>
      <c r="K124" s="468"/>
    </row>
    <row r="125" spans="1:11" ht="12.75" customHeight="1" x14ac:dyDescent="0.2">
      <c r="A125" s="463" t="s">
        <v>1521</v>
      </c>
      <c r="B125" s="562">
        <v>3105</v>
      </c>
      <c r="C125" s="466">
        <v>28390</v>
      </c>
      <c r="D125" s="561"/>
      <c r="E125" s="468"/>
      <c r="F125" s="466">
        <v>0</v>
      </c>
      <c r="G125" s="468"/>
      <c r="H125" s="468"/>
      <c r="I125" s="468"/>
      <c r="J125" s="468"/>
      <c r="K125" s="468"/>
    </row>
    <row r="126" spans="1:11" ht="12.75" customHeight="1" x14ac:dyDescent="0.2">
      <c r="A126" s="463" t="s">
        <v>922</v>
      </c>
      <c r="B126" s="562">
        <v>3110</v>
      </c>
      <c r="C126" s="551">
        <v>36982</v>
      </c>
      <c r="D126" s="466">
        <v>0</v>
      </c>
      <c r="E126" s="468"/>
      <c r="F126" s="466">
        <v>0</v>
      </c>
      <c r="G126" s="468"/>
      <c r="H126" s="468"/>
      <c r="I126" s="468"/>
      <c r="J126" s="468"/>
      <c r="K126" s="468"/>
    </row>
    <row r="127" spans="1:11" ht="12.75" customHeight="1" x14ac:dyDescent="0.2">
      <c r="A127" s="463" t="s">
        <v>107</v>
      </c>
      <c r="B127" s="562">
        <v>3120</v>
      </c>
      <c r="C127" s="466">
        <v>0</v>
      </c>
      <c r="D127" s="561"/>
      <c r="E127" s="468"/>
      <c r="F127" s="466">
        <v>0</v>
      </c>
      <c r="G127" s="468"/>
      <c r="H127" s="468"/>
      <c r="I127" s="468"/>
      <c r="J127" s="468"/>
      <c r="K127" s="468"/>
    </row>
    <row r="128" spans="1:11" ht="12.75" customHeight="1" x14ac:dyDescent="0.2">
      <c r="A128" s="463" t="s">
        <v>1522</v>
      </c>
      <c r="B128" s="562">
        <v>3130</v>
      </c>
      <c r="C128" s="466">
        <v>0</v>
      </c>
      <c r="D128" s="561"/>
      <c r="E128" s="468"/>
      <c r="F128" s="466">
        <v>0</v>
      </c>
      <c r="G128" s="468"/>
      <c r="H128" s="468"/>
      <c r="I128" s="468"/>
      <c r="J128" s="468"/>
      <c r="K128" s="468"/>
    </row>
    <row r="129" spans="1:11" ht="12.75" customHeight="1" x14ac:dyDescent="0.2">
      <c r="A129" s="463" t="s">
        <v>139</v>
      </c>
      <c r="B129" s="562">
        <v>3145</v>
      </c>
      <c r="C129" s="466">
        <v>0</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1092</v>
      </c>
      <c r="B131" s="1742"/>
      <c r="C131" s="1729">
        <f>SUM(C124:C130)</f>
        <v>117408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1343</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143633</v>
      </c>
      <c r="G151" s="467">
        <v>0</v>
      </c>
      <c r="H151" s="468"/>
      <c r="I151" s="468"/>
      <c r="J151" s="468"/>
      <c r="K151" s="468"/>
    </row>
    <row r="152" spans="1:11" ht="12.75" customHeight="1" x14ac:dyDescent="0.2">
      <c r="A152" s="463" t="s">
        <v>1117</v>
      </c>
      <c r="B152" s="562">
        <v>3510</v>
      </c>
      <c r="C152" s="551">
        <v>0</v>
      </c>
      <c r="D152" s="466">
        <v>0</v>
      </c>
      <c r="E152" s="561"/>
      <c r="F152" s="466">
        <v>102646</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246279</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152840</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0</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2000</v>
      </c>
      <c r="D171" s="580">
        <v>0</v>
      </c>
      <c r="E171" s="580">
        <v>0</v>
      </c>
      <c r="F171" s="580">
        <v>0</v>
      </c>
      <c r="G171" s="581">
        <v>0</v>
      </c>
      <c r="H171" s="582">
        <v>0</v>
      </c>
      <c r="I171" s="581">
        <v>0</v>
      </c>
      <c r="J171" s="581">
        <v>0</v>
      </c>
      <c r="K171" s="582">
        <v>0</v>
      </c>
    </row>
    <row r="172" spans="1:11" ht="12.75" customHeight="1" thickTop="1" thickBot="1" x14ac:dyDescent="0.25">
      <c r="A172" s="2161" t="s">
        <v>418</v>
      </c>
      <c r="B172" s="2162"/>
      <c r="C172" s="1744">
        <f t="shared" ref="C172:K172" si="6">SUM(C131,C140,C144,C145:C149,C154,C155:C170,C171)</f>
        <v>273591</v>
      </c>
      <c r="D172" s="1744">
        <f t="shared" si="6"/>
        <v>0</v>
      </c>
      <c r="E172" s="1744">
        <f t="shared" si="6"/>
        <v>0</v>
      </c>
      <c r="F172" s="1744">
        <f t="shared" si="6"/>
        <v>246279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1670309</v>
      </c>
      <c r="D173" s="1737">
        <f>SUM(D121,D172)</f>
        <v>0</v>
      </c>
      <c r="E173" s="1737">
        <f>SUM(E121,E172)</f>
        <v>0</v>
      </c>
      <c r="F173" s="1737">
        <f t="shared" ref="F173:K173" si="7">SUM(F121,F172)</f>
        <v>246279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69174</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14082</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569</v>
      </c>
      <c r="B201" s="1731"/>
      <c r="C201" s="1710">
        <f>SUM(C193:C200)</f>
        <v>83256</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84110</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420</v>
      </c>
      <c r="B211" s="1731"/>
      <c r="C211" s="1729">
        <f>SUM(C203:C210)</f>
        <v>84110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10000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944</v>
      </c>
      <c r="B216" s="1731"/>
      <c r="C216" s="1729">
        <f>SUM(C213:C215)</f>
        <v>10000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6359</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90405</v>
      </c>
      <c r="D220" s="466">
        <v>0</v>
      </c>
      <c r="E220" s="468"/>
      <c r="F220" s="466">
        <v>0</v>
      </c>
      <c r="G220" s="466">
        <v>0</v>
      </c>
      <c r="H220" s="468"/>
      <c r="I220" s="468"/>
      <c r="J220" s="468"/>
      <c r="K220" s="468"/>
    </row>
    <row r="221" spans="1:11" ht="12.75" customHeight="1" x14ac:dyDescent="0.2">
      <c r="A221" s="463" t="s">
        <v>1114</v>
      </c>
      <c r="B221" s="470">
        <v>4625</v>
      </c>
      <c r="C221" s="551">
        <v>5092</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467</v>
      </c>
      <c r="B224" s="1731"/>
      <c r="C224" s="1729">
        <f>SUM(C218:C223)</f>
        <v>101856</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0</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4601</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4306</v>
      </c>
      <c r="D270" s="576">
        <v>0</v>
      </c>
      <c r="E270" s="468"/>
      <c r="F270" s="576">
        <v>0</v>
      </c>
      <c r="G270" s="576">
        <v>0</v>
      </c>
      <c r="H270" s="468"/>
      <c r="I270" s="468"/>
      <c r="J270" s="468"/>
      <c r="K270" s="468"/>
    </row>
    <row r="271" spans="1:11" ht="12.75" customHeight="1" thickTop="1" thickBot="1" x14ac:dyDescent="0.25">
      <c r="A271" s="463" t="s">
        <v>395</v>
      </c>
      <c r="B271" s="470">
        <v>4992</v>
      </c>
      <c r="C271" s="575">
        <v>3130</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35917</v>
      </c>
      <c r="D272" s="576">
        <v>0</v>
      </c>
      <c r="E272" s="468"/>
      <c r="F272" s="576">
        <v>0</v>
      </c>
      <c r="G272" s="576">
        <v>0</v>
      </c>
      <c r="H272" s="530">
        <v>0</v>
      </c>
      <c r="I272" s="468"/>
      <c r="J272" s="468"/>
      <c r="K272" s="530">
        <v>0</v>
      </c>
    </row>
    <row r="273" spans="1:11" ht="14.25" thickTop="1" thickBot="1" x14ac:dyDescent="0.25">
      <c r="A273" s="1730" t="s">
        <v>1765</v>
      </c>
      <c r="B273" s="1749"/>
      <c r="C273" s="1737">
        <f t="shared" ref="C273:H273" si="10">SUM(C191,C201,C211,C216,C224,C228,C229,C259:C272)</f>
        <v>327176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327176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4504053</v>
      </c>
      <c r="D275" s="1737">
        <f t="shared" si="12"/>
        <v>348036</v>
      </c>
      <c r="E275" s="1737">
        <f t="shared" si="12"/>
        <v>0</v>
      </c>
      <c r="F275" s="1737">
        <f t="shared" si="12"/>
        <v>654728</v>
      </c>
      <c r="G275" s="1737">
        <f t="shared" si="12"/>
        <v>78971</v>
      </c>
      <c r="H275" s="1737">
        <f t="shared" si="12"/>
        <v>0</v>
      </c>
      <c r="I275" s="1737">
        <f t="shared" si="12"/>
        <v>30990</v>
      </c>
      <c r="J275" s="1737">
        <f t="shared" si="12"/>
        <v>41293</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topLeftCell="B1" colorId="8" zoomScale="110" zoomScaleNormal="110" workbookViewId="0">
      <pane ySplit="2" topLeftCell="A3" activePane="bottomLeft" state="frozen"/>
      <selection activeCell="I269" sqref="I269"/>
      <selection pane="bottomLeft" activeCell="H360" sqref="H36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1175757</v>
      </c>
      <c r="D5" s="466">
        <v>257161</v>
      </c>
      <c r="E5" s="466">
        <v>17553</v>
      </c>
      <c r="F5" s="466">
        <v>119591</v>
      </c>
      <c r="G5" s="466">
        <v>6314</v>
      </c>
      <c r="H5" s="466">
        <v>0</v>
      </c>
      <c r="I5" s="467">
        <v>850</v>
      </c>
      <c r="J5" s="467">
        <v>0</v>
      </c>
      <c r="K5" s="1693">
        <f>SUM(C5:J5)</f>
        <v>1577226</v>
      </c>
      <c r="L5" s="466">
        <v>1708634</v>
      </c>
    </row>
    <row r="6" spans="1:14" x14ac:dyDescent="0.2">
      <c r="A6" s="1526" t="s">
        <v>1508</v>
      </c>
      <c r="B6" s="615" t="s">
        <v>1506</v>
      </c>
      <c r="C6" s="477"/>
      <c r="D6" s="477"/>
      <c r="E6" s="466">
        <v>0</v>
      </c>
      <c r="F6" s="477"/>
      <c r="G6" s="477"/>
      <c r="H6" s="477"/>
      <c r="I6" s="477"/>
      <c r="J6" s="477"/>
      <c r="K6" s="1693">
        <f>SUM(C6,E6)</f>
        <v>0</v>
      </c>
      <c r="L6" s="466">
        <v>0</v>
      </c>
    </row>
    <row r="7" spans="1:14" x14ac:dyDescent="0.2">
      <c r="A7" s="1526" t="s">
        <v>165</v>
      </c>
      <c r="B7" s="615" t="s">
        <v>1024</v>
      </c>
      <c r="C7" s="467">
        <v>72047</v>
      </c>
      <c r="D7" s="467">
        <v>12848</v>
      </c>
      <c r="E7" s="467">
        <v>10187</v>
      </c>
      <c r="F7" s="467">
        <v>14570</v>
      </c>
      <c r="G7" s="467">
        <v>0</v>
      </c>
      <c r="H7" s="467">
        <v>0</v>
      </c>
      <c r="I7" s="467">
        <v>1187</v>
      </c>
      <c r="J7" s="467">
        <v>0</v>
      </c>
      <c r="K7" s="1693">
        <f t="shared" ref="K7:K32" si="0">SUM(C7:J7)</f>
        <v>110839</v>
      </c>
      <c r="L7" s="466">
        <v>110783</v>
      </c>
    </row>
    <row r="8" spans="1:14" x14ac:dyDescent="0.2">
      <c r="A8" s="1526" t="s">
        <v>166</v>
      </c>
      <c r="B8" s="615">
        <v>1200</v>
      </c>
      <c r="C8" s="466">
        <v>227326</v>
      </c>
      <c r="D8" s="466">
        <v>65824</v>
      </c>
      <c r="E8" s="466">
        <v>38234</v>
      </c>
      <c r="F8" s="466">
        <v>10479</v>
      </c>
      <c r="G8" s="466">
        <v>0</v>
      </c>
      <c r="H8" s="466">
        <v>0</v>
      </c>
      <c r="I8" s="467">
        <v>0</v>
      </c>
      <c r="J8" s="467">
        <v>0</v>
      </c>
      <c r="K8" s="1693">
        <f t="shared" si="0"/>
        <v>341863</v>
      </c>
      <c r="L8" s="466">
        <v>425079</v>
      </c>
    </row>
    <row r="9" spans="1:14" x14ac:dyDescent="0.2">
      <c r="A9" s="1526" t="s">
        <v>745</v>
      </c>
      <c r="B9" s="615" t="s">
        <v>1025</v>
      </c>
      <c r="C9" s="467">
        <v>0</v>
      </c>
      <c r="D9" s="467">
        <v>0</v>
      </c>
      <c r="E9" s="467">
        <v>0</v>
      </c>
      <c r="F9" s="467">
        <v>0</v>
      </c>
      <c r="G9" s="467">
        <v>0</v>
      </c>
      <c r="H9" s="467">
        <v>0</v>
      </c>
      <c r="I9" s="467">
        <v>0</v>
      </c>
      <c r="J9" s="467">
        <v>0</v>
      </c>
      <c r="K9" s="1693">
        <f t="shared" si="0"/>
        <v>0</v>
      </c>
      <c r="L9" s="466">
        <v>0</v>
      </c>
    </row>
    <row r="10" spans="1:14" x14ac:dyDescent="0.2">
      <c r="A10" s="1526" t="s">
        <v>746</v>
      </c>
      <c r="B10" s="615">
        <v>1250</v>
      </c>
      <c r="C10" s="466">
        <v>41226</v>
      </c>
      <c r="D10" s="466">
        <v>2573</v>
      </c>
      <c r="E10" s="466">
        <v>22898</v>
      </c>
      <c r="F10" s="466">
        <v>9991</v>
      </c>
      <c r="G10" s="466">
        <v>0</v>
      </c>
      <c r="H10" s="466">
        <v>0</v>
      </c>
      <c r="I10" s="467">
        <v>0</v>
      </c>
      <c r="J10" s="467">
        <v>0</v>
      </c>
      <c r="K10" s="1693">
        <f t="shared" si="0"/>
        <v>76688</v>
      </c>
      <c r="L10" s="466">
        <v>74842</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0</v>
      </c>
      <c r="D13" s="466">
        <v>0</v>
      </c>
      <c r="E13" s="466">
        <v>750</v>
      </c>
      <c r="F13" s="466">
        <v>158</v>
      </c>
      <c r="G13" s="466">
        <v>0</v>
      </c>
      <c r="H13" s="466">
        <v>0</v>
      </c>
      <c r="I13" s="467">
        <v>0</v>
      </c>
      <c r="J13" s="467">
        <v>0</v>
      </c>
      <c r="K13" s="1693">
        <f t="shared" si="0"/>
        <v>908</v>
      </c>
      <c r="L13" s="466">
        <v>1250</v>
      </c>
    </row>
    <row r="14" spans="1:14" x14ac:dyDescent="0.2">
      <c r="A14" s="1526" t="s">
        <v>1020</v>
      </c>
      <c r="B14" s="615">
        <v>1500</v>
      </c>
      <c r="C14" s="466">
        <v>53634</v>
      </c>
      <c r="D14" s="466">
        <v>2724</v>
      </c>
      <c r="E14" s="466">
        <v>6987</v>
      </c>
      <c r="F14" s="466">
        <v>7005</v>
      </c>
      <c r="G14" s="466">
        <v>0</v>
      </c>
      <c r="H14" s="466">
        <v>1698</v>
      </c>
      <c r="I14" s="467">
        <v>0</v>
      </c>
      <c r="J14" s="467">
        <v>0</v>
      </c>
      <c r="K14" s="1693">
        <f t="shared" si="0"/>
        <v>72048</v>
      </c>
      <c r="L14" s="466">
        <v>62266</v>
      </c>
    </row>
    <row r="15" spans="1:14" x14ac:dyDescent="0.2">
      <c r="A15" s="1526" t="s">
        <v>1021</v>
      </c>
      <c r="B15" s="615">
        <v>1600</v>
      </c>
      <c r="C15" s="466">
        <v>0</v>
      </c>
      <c r="D15" s="466">
        <v>0</v>
      </c>
      <c r="E15" s="466">
        <v>0</v>
      </c>
      <c r="F15" s="466">
        <v>0</v>
      </c>
      <c r="G15" s="466">
        <v>0</v>
      </c>
      <c r="H15" s="466">
        <v>0</v>
      </c>
      <c r="I15" s="467">
        <v>0</v>
      </c>
      <c r="J15" s="467">
        <v>0</v>
      </c>
      <c r="K15" s="1693">
        <f t="shared" si="0"/>
        <v>0</v>
      </c>
      <c r="L15" s="466">
        <v>0</v>
      </c>
    </row>
    <row r="16" spans="1:14" x14ac:dyDescent="0.2">
      <c r="A16" s="1526" t="s">
        <v>1044</v>
      </c>
      <c r="B16" s="615" t="s">
        <v>444</v>
      </c>
      <c r="C16" s="466">
        <v>0</v>
      </c>
      <c r="D16" s="466">
        <v>0</v>
      </c>
      <c r="E16" s="466">
        <v>0</v>
      </c>
      <c r="F16" s="466">
        <v>0</v>
      </c>
      <c r="G16" s="466">
        <v>0</v>
      </c>
      <c r="H16" s="466">
        <v>0</v>
      </c>
      <c r="I16" s="467">
        <v>0</v>
      </c>
      <c r="J16" s="467">
        <v>0</v>
      </c>
      <c r="K16" s="1693">
        <f t="shared" si="0"/>
        <v>0</v>
      </c>
      <c r="L16" s="466">
        <v>0</v>
      </c>
    </row>
    <row r="17" spans="1:12" x14ac:dyDescent="0.2">
      <c r="A17" s="1526" t="s">
        <v>748</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1148</v>
      </c>
      <c r="B18" s="615">
        <v>1800</v>
      </c>
      <c r="C18" s="466">
        <v>0</v>
      </c>
      <c r="D18" s="466">
        <v>0</v>
      </c>
      <c r="E18" s="466">
        <v>0</v>
      </c>
      <c r="F18" s="466">
        <v>0</v>
      </c>
      <c r="G18" s="466">
        <v>0</v>
      </c>
      <c r="H18" s="466">
        <v>0</v>
      </c>
      <c r="I18" s="467">
        <v>0</v>
      </c>
      <c r="J18" s="467">
        <v>0</v>
      </c>
      <c r="K18" s="1693">
        <f t="shared" si="0"/>
        <v>0</v>
      </c>
      <c r="L18" s="466">
        <v>0</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0</v>
      </c>
      <c r="I21" s="617"/>
      <c r="J21" s="477"/>
      <c r="K21" s="1693">
        <f t="shared" si="0"/>
        <v>0</v>
      </c>
      <c r="L21" s="471">
        <v>0</v>
      </c>
    </row>
    <row r="22" spans="1:12" x14ac:dyDescent="0.2">
      <c r="A22" s="1527" t="s">
        <v>764</v>
      </c>
      <c r="B22" s="603" t="s">
        <v>751</v>
      </c>
      <c r="C22" s="477"/>
      <c r="D22" s="477"/>
      <c r="E22" s="477"/>
      <c r="F22" s="477"/>
      <c r="G22" s="477"/>
      <c r="H22" s="474">
        <v>124997</v>
      </c>
      <c r="I22" s="617"/>
      <c r="J22" s="477"/>
      <c r="K22" s="1693">
        <f t="shared" si="0"/>
        <v>124997</v>
      </c>
      <c r="L22" s="471">
        <v>130000</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0</v>
      </c>
      <c r="I29" s="617"/>
      <c r="J29" s="477"/>
      <c r="K29" s="1693">
        <f t="shared" si="0"/>
        <v>0</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1767</v>
      </c>
      <c r="B33" s="1691" t="s">
        <v>591</v>
      </c>
      <c r="C33" s="1692">
        <f>SUM(C5:C32)</f>
        <v>1569990</v>
      </c>
      <c r="D33" s="1692">
        <f t="shared" ref="D33:L33" si="1">SUM(D5:D32)</f>
        <v>341130</v>
      </c>
      <c r="E33" s="1692">
        <f t="shared" si="1"/>
        <v>96609</v>
      </c>
      <c r="F33" s="1692">
        <f t="shared" si="1"/>
        <v>161794</v>
      </c>
      <c r="G33" s="1692">
        <f t="shared" si="1"/>
        <v>6314</v>
      </c>
      <c r="H33" s="1692">
        <f t="shared" si="1"/>
        <v>126695</v>
      </c>
      <c r="I33" s="1692">
        <f t="shared" si="1"/>
        <v>2037</v>
      </c>
      <c r="J33" s="1692">
        <f t="shared" si="1"/>
        <v>0</v>
      </c>
      <c r="K33" s="1692">
        <f t="shared" si="1"/>
        <v>2304569</v>
      </c>
      <c r="L33" s="1692">
        <f t="shared" si="1"/>
        <v>2512854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49136</v>
      </c>
      <c r="D36" s="481">
        <v>12618</v>
      </c>
      <c r="E36" s="481">
        <v>0</v>
      </c>
      <c r="F36" s="481">
        <v>0</v>
      </c>
      <c r="G36" s="481">
        <v>0</v>
      </c>
      <c r="H36" s="481">
        <v>0</v>
      </c>
      <c r="I36" s="467">
        <v>0</v>
      </c>
      <c r="J36" s="467">
        <v>0</v>
      </c>
      <c r="K36" s="1693">
        <f t="shared" ref="K36:K41" si="2">SUM(C36:J36)</f>
        <v>61754</v>
      </c>
      <c r="L36" s="466">
        <v>58736</v>
      </c>
    </row>
    <row r="37" spans="1:14" x14ac:dyDescent="0.2">
      <c r="A37" s="1526" t="s">
        <v>1151</v>
      </c>
      <c r="B37" s="615">
        <v>2120</v>
      </c>
      <c r="C37" s="466">
        <v>0</v>
      </c>
      <c r="D37" s="466">
        <v>0</v>
      </c>
      <c r="E37" s="466">
        <v>0</v>
      </c>
      <c r="F37" s="466">
        <v>0</v>
      </c>
      <c r="G37" s="466">
        <v>0</v>
      </c>
      <c r="H37" s="466">
        <v>0</v>
      </c>
      <c r="I37" s="467">
        <v>0</v>
      </c>
      <c r="J37" s="467">
        <v>0</v>
      </c>
      <c r="K37" s="1693">
        <f t="shared" si="2"/>
        <v>0</v>
      </c>
      <c r="L37" s="466">
        <v>0</v>
      </c>
    </row>
    <row r="38" spans="1:14" x14ac:dyDescent="0.2">
      <c r="A38" s="1526" t="s">
        <v>207</v>
      </c>
      <c r="B38" s="615">
        <v>2130</v>
      </c>
      <c r="C38" s="466">
        <v>112651</v>
      </c>
      <c r="D38" s="466">
        <v>9697</v>
      </c>
      <c r="E38" s="466">
        <v>4842</v>
      </c>
      <c r="F38" s="466">
        <v>0</v>
      </c>
      <c r="G38" s="466">
        <v>0</v>
      </c>
      <c r="H38" s="466">
        <v>0</v>
      </c>
      <c r="I38" s="467">
        <v>0</v>
      </c>
      <c r="J38" s="467">
        <v>0</v>
      </c>
      <c r="K38" s="1693">
        <f t="shared" si="2"/>
        <v>127190</v>
      </c>
      <c r="L38" s="466">
        <v>123463</v>
      </c>
    </row>
    <row r="39" spans="1:14" x14ac:dyDescent="0.2">
      <c r="A39" s="1526" t="s">
        <v>208</v>
      </c>
      <c r="B39" s="615">
        <v>2140</v>
      </c>
      <c r="C39" s="466">
        <v>0</v>
      </c>
      <c r="D39" s="466">
        <v>0</v>
      </c>
      <c r="E39" s="466">
        <v>23000</v>
      </c>
      <c r="F39" s="466">
        <v>0</v>
      </c>
      <c r="G39" s="466">
        <v>0</v>
      </c>
      <c r="H39" s="466">
        <v>0</v>
      </c>
      <c r="I39" s="467">
        <v>0</v>
      </c>
      <c r="J39" s="467">
        <v>0</v>
      </c>
      <c r="K39" s="1693">
        <f t="shared" si="2"/>
        <v>23000</v>
      </c>
      <c r="L39" s="466">
        <v>20000</v>
      </c>
    </row>
    <row r="40" spans="1:14" x14ac:dyDescent="0.2">
      <c r="A40" s="1526" t="s">
        <v>209</v>
      </c>
      <c r="B40" s="615">
        <v>2150</v>
      </c>
      <c r="C40" s="466">
        <v>56737</v>
      </c>
      <c r="D40" s="466">
        <v>13238</v>
      </c>
      <c r="E40" s="466">
        <v>0</v>
      </c>
      <c r="F40" s="466">
        <v>0</v>
      </c>
      <c r="G40" s="466">
        <v>0</v>
      </c>
      <c r="H40" s="466">
        <v>0</v>
      </c>
      <c r="I40" s="467">
        <v>0</v>
      </c>
      <c r="J40" s="467">
        <v>0</v>
      </c>
      <c r="K40" s="1693">
        <f t="shared" si="2"/>
        <v>69975</v>
      </c>
      <c r="L40" s="466">
        <v>72237</v>
      </c>
    </row>
    <row r="41" spans="1:14" x14ac:dyDescent="0.2">
      <c r="A41" s="1526" t="s">
        <v>1768</v>
      </c>
      <c r="B41" s="615">
        <v>2190</v>
      </c>
      <c r="C41" s="466">
        <v>0</v>
      </c>
      <c r="D41" s="466">
        <v>0</v>
      </c>
      <c r="E41" s="466">
        <v>550</v>
      </c>
      <c r="F41" s="466">
        <v>0</v>
      </c>
      <c r="G41" s="466">
        <v>0</v>
      </c>
      <c r="H41" s="466">
        <v>0</v>
      </c>
      <c r="I41" s="467">
        <v>0</v>
      </c>
      <c r="J41" s="467">
        <v>0</v>
      </c>
      <c r="K41" s="1693">
        <f t="shared" si="2"/>
        <v>550</v>
      </c>
      <c r="L41" s="466">
        <v>0</v>
      </c>
    </row>
    <row r="42" spans="1:14" ht="12.75" customHeight="1" thickBot="1" x14ac:dyDescent="0.25">
      <c r="A42" s="1690" t="s">
        <v>581</v>
      </c>
      <c r="B42" s="1691" t="s">
        <v>740</v>
      </c>
      <c r="C42" s="1692">
        <f>SUM(C36:C41)</f>
        <v>218524</v>
      </c>
      <c r="D42" s="1692">
        <f t="shared" ref="D42:L42" si="3">SUM(D36:D41)</f>
        <v>35553</v>
      </c>
      <c r="E42" s="1692">
        <f t="shared" si="3"/>
        <v>28392</v>
      </c>
      <c r="F42" s="1692">
        <f t="shared" si="3"/>
        <v>0</v>
      </c>
      <c r="G42" s="1692">
        <f t="shared" si="3"/>
        <v>0</v>
      </c>
      <c r="H42" s="1692">
        <f t="shared" si="3"/>
        <v>0</v>
      </c>
      <c r="I42" s="1692">
        <f t="shared" si="3"/>
        <v>0</v>
      </c>
      <c r="J42" s="1692">
        <f t="shared" si="3"/>
        <v>0</v>
      </c>
      <c r="K42" s="1692">
        <f t="shared" si="3"/>
        <v>282469</v>
      </c>
      <c r="L42" s="1692">
        <f t="shared" si="3"/>
        <v>274436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60074</v>
      </c>
      <c r="D44" s="481">
        <v>3749</v>
      </c>
      <c r="E44" s="481">
        <v>10063</v>
      </c>
      <c r="F44" s="481">
        <v>0</v>
      </c>
      <c r="G44" s="481">
        <v>0</v>
      </c>
      <c r="H44" s="481">
        <v>0</v>
      </c>
      <c r="I44" s="467">
        <v>0</v>
      </c>
      <c r="J44" s="467">
        <v>0</v>
      </c>
      <c r="K44" s="1694">
        <f>SUM(C44:J44)</f>
        <v>73886</v>
      </c>
      <c r="L44" s="481">
        <v>80350</v>
      </c>
    </row>
    <row r="45" spans="1:14" x14ac:dyDescent="0.2">
      <c r="A45" s="1526" t="s">
        <v>869</v>
      </c>
      <c r="B45" s="615">
        <v>2220</v>
      </c>
      <c r="C45" s="466">
        <v>0</v>
      </c>
      <c r="D45" s="466">
        <v>0</v>
      </c>
      <c r="E45" s="466">
        <v>104566</v>
      </c>
      <c r="F45" s="466">
        <v>64443</v>
      </c>
      <c r="G45" s="466">
        <v>9198</v>
      </c>
      <c r="H45" s="466">
        <v>0</v>
      </c>
      <c r="I45" s="467">
        <v>37294</v>
      </c>
      <c r="J45" s="467">
        <v>0</v>
      </c>
      <c r="K45" s="1694">
        <f>SUM(C45:J45)</f>
        <v>215501</v>
      </c>
      <c r="L45" s="466">
        <v>254050</v>
      </c>
    </row>
    <row r="46" spans="1:14" x14ac:dyDescent="0.2">
      <c r="A46" s="1526" t="s">
        <v>870</v>
      </c>
      <c r="B46" s="615">
        <v>2230</v>
      </c>
      <c r="C46" s="466">
        <v>0</v>
      </c>
      <c r="D46" s="466">
        <v>0</v>
      </c>
      <c r="E46" s="466">
        <v>0</v>
      </c>
      <c r="F46" s="466">
        <v>0</v>
      </c>
      <c r="G46" s="466">
        <v>0</v>
      </c>
      <c r="H46" s="466">
        <v>0</v>
      </c>
      <c r="I46" s="467">
        <v>0</v>
      </c>
      <c r="J46" s="467">
        <v>0</v>
      </c>
      <c r="K46" s="1694">
        <f>SUM(C46:J46)</f>
        <v>0</v>
      </c>
      <c r="L46" s="466">
        <v>0</v>
      </c>
    </row>
    <row r="47" spans="1:14" ht="12.75" customHeight="1" thickBot="1" x14ac:dyDescent="0.25">
      <c r="A47" s="1690" t="s">
        <v>582</v>
      </c>
      <c r="B47" s="1691" t="s">
        <v>32</v>
      </c>
      <c r="C47" s="1692">
        <f>SUM(C44:C46)</f>
        <v>60074</v>
      </c>
      <c r="D47" s="1692">
        <f t="shared" ref="D47:K47" si="4">SUM(D44:D46)</f>
        <v>3749</v>
      </c>
      <c r="E47" s="1692">
        <f t="shared" si="4"/>
        <v>114629</v>
      </c>
      <c r="F47" s="1692">
        <f t="shared" si="4"/>
        <v>64443</v>
      </c>
      <c r="G47" s="1692">
        <f t="shared" si="4"/>
        <v>9198</v>
      </c>
      <c r="H47" s="1692">
        <f t="shared" si="4"/>
        <v>0</v>
      </c>
      <c r="I47" s="1692">
        <f t="shared" si="4"/>
        <v>37294</v>
      </c>
      <c r="J47" s="1692">
        <f t="shared" si="4"/>
        <v>0</v>
      </c>
      <c r="K47" s="1692">
        <f t="shared" si="4"/>
        <v>289387</v>
      </c>
      <c r="L47" s="1692">
        <f>SUM(L44:L46)</f>
        <v>334400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0</v>
      </c>
      <c r="D49" s="481">
        <v>0</v>
      </c>
      <c r="E49" s="481">
        <v>54226</v>
      </c>
      <c r="F49" s="481">
        <v>0</v>
      </c>
      <c r="G49" s="481">
        <v>0</v>
      </c>
      <c r="H49" s="481">
        <v>0</v>
      </c>
      <c r="I49" s="467">
        <v>0</v>
      </c>
      <c r="J49" s="467">
        <v>0</v>
      </c>
      <c r="K49" s="1694">
        <f>SUM(C49:J49)</f>
        <v>54226</v>
      </c>
      <c r="L49" s="481">
        <v>54600</v>
      </c>
    </row>
    <row r="50" spans="1:14" x14ac:dyDescent="0.2">
      <c r="A50" s="1526" t="s">
        <v>872</v>
      </c>
      <c r="B50" s="615">
        <v>2320</v>
      </c>
      <c r="C50" s="466">
        <v>102483</v>
      </c>
      <c r="D50" s="466">
        <v>33060</v>
      </c>
      <c r="E50" s="466">
        <v>412</v>
      </c>
      <c r="F50" s="466">
        <v>988</v>
      </c>
      <c r="G50" s="466">
        <v>0</v>
      </c>
      <c r="H50" s="466">
        <v>340</v>
      </c>
      <c r="I50" s="467">
        <v>0</v>
      </c>
      <c r="J50" s="467">
        <v>0</v>
      </c>
      <c r="K50" s="1694">
        <f>SUM(C50:J50)</f>
        <v>137283</v>
      </c>
      <c r="L50" s="466">
        <v>145098</v>
      </c>
    </row>
    <row r="51" spans="1:14" x14ac:dyDescent="0.2">
      <c r="A51" s="1526" t="s">
        <v>44</v>
      </c>
      <c r="B51" s="615">
        <v>2330</v>
      </c>
      <c r="C51" s="466">
        <v>0</v>
      </c>
      <c r="D51" s="466">
        <v>0</v>
      </c>
      <c r="E51" s="466">
        <v>0</v>
      </c>
      <c r="F51" s="466">
        <v>0</v>
      </c>
      <c r="G51" s="466">
        <v>0</v>
      </c>
      <c r="H51" s="466">
        <v>0</v>
      </c>
      <c r="I51" s="467">
        <v>0</v>
      </c>
      <c r="J51" s="467">
        <v>0</v>
      </c>
      <c r="K51" s="1694">
        <f>SUM(C51:J51)</f>
        <v>0</v>
      </c>
      <c r="L51" s="466">
        <v>0</v>
      </c>
    </row>
    <row r="52" spans="1:14" ht="22.5" x14ac:dyDescent="0.2">
      <c r="A52" s="1527" t="s">
        <v>316</v>
      </c>
      <c r="B52" s="628" t="s">
        <v>384</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741</v>
      </c>
      <c r="B53" s="1691" t="s">
        <v>33</v>
      </c>
      <c r="C53" s="1692">
        <f>SUM(C49:C52)</f>
        <v>102483</v>
      </c>
      <c r="D53" s="1692">
        <f t="shared" ref="D53:L53" si="5">SUM(D49:D52)</f>
        <v>33060</v>
      </c>
      <c r="E53" s="1692">
        <f t="shared" si="5"/>
        <v>54638</v>
      </c>
      <c r="F53" s="1692">
        <f t="shared" si="5"/>
        <v>988</v>
      </c>
      <c r="G53" s="1692">
        <f t="shared" si="5"/>
        <v>0</v>
      </c>
      <c r="H53" s="1692">
        <f t="shared" si="5"/>
        <v>340</v>
      </c>
      <c r="I53" s="1692">
        <f t="shared" si="5"/>
        <v>0</v>
      </c>
      <c r="J53" s="1692">
        <f t="shared" si="5"/>
        <v>0</v>
      </c>
      <c r="K53" s="1692">
        <f t="shared" si="5"/>
        <v>191509</v>
      </c>
      <c r="L53" s="1692">
        <f t="shared" si="5"/>
        <v>199698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215412</v>
      </c>
      <c r="D55" s="481">
        <v>43890</v>
      </c>
      <c r="E55" s="481">
        <v>0</v>
      </c>
      <c r="F55" s="481">
        <v>0</v>
      </c>
      <c r="G55" s="481">
        <v>0</v>
      </c>
      <c r="H55" s="481">
        <v>100</v>
      </c>
      <c r="I55" s="467">
        <v>0</v>
      </c>
      <c r="J55" s="467">
        <v>0</v>
      </c>
      <c r="K55" s="1694">
        <f>SUM(C55:J55)</f>
        <v>259402</v>
      </c>
      <c r="L55" s="481">
        <v>272739</v>
      </c>
    </row>
    <row r="56" spans="1:14" ht="12.75" customHeight="1" x14ac:dyDescent="0.2">
      <c r="A56" s="1530" t="s">
        <v>394</v>
      </c>
      <c r="B56" s="629">
        <v>2490</v>
      </c>
      <c r="C56" s="466">
        <v>0</v>
      </c>
      <c r="D56" s="466">
        <v>0</v>
      </c>
      <c r="E56" s="466">
        <v>0</v>
      </c>
      <c r="F56" s="466">
        <v>0</v>
      </c>
      <c r="G56" s="466">
        <v>0</v>
      </c>
      <c r="H56" s="466">
        <v>0</v>
      </c>
      <c r="I56" s="467">
        <v>0</v>
      </c>
      <c r="J56" s="467">
        <v>0</v>
      </c>
      <c r="K56" s="1694">
        <f>SUM(C56:J56)</f>
        <v>0</v>
      </c>
      <c r="L56" s="466">
        <v>0</v>
      </c>
    </row>
    <row r="57" spans="1:14" s="343" customFormat="1" ht="12.75" customHeight="1" thickBot="1" x14ac:dyDescent="0.25">
      <c r="A57" s="1690" t="s">
        <v>281</v>
      </c>
      <c r="B57" s="1695" t="s">
        <v>34</v>
      </c>
      <c r="C57" s="1696">
        <f>SUM(C55:C56)</f>
        <v>215412</v>
      </c>
      <c r="D57" s="1696">
        <f t="shared" ref="D57:K57" si="6">SUM(D55:D56)</f>
        <v>43890</v>
      </c>
      <c r="E57" s="1696">
        <f t="shared" si="6"/>
        <v>0</v>
      </c>
      <c r="F57" s="1696">
        <f t="shared" si="6"/>
        <v>0</v>
      </c>
      <c r="G57" s="1696">
        <f t="shared" si="6"/>
        <v>0</v>
      </c>
      <c r="H57" s="1696">
        <f t="shared" si="6"/>
        <v>100</v>
      </c>
      <c r="I57" s="1696">
        <f t="shared" si="6"/>
        <v>0</v>
      </c>
      <c r="J57" s="1696">
        <f t="shared" si="6"/>
        <v>0</v>
      </c>
      <c r="K57" s="1696">
        <f t="shared" si="6"/>
        <v>259402</v>
      </c>
      <c r="L57" s="1692">
        <f>SUM(L55:L56)</f>
        <v>272739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0</v>
      </c>
      <c r="D59" s="481">
        <v>0</v>
      </c>
      <c r="E59" s="481">
        <v>0</v>
      </c>
      <c r="F59" s="481">
        <v>0</v>
      </c>
      <c r="G59" s="481">
        <v>0</v>
      </c>
      <c r="H59" s="481">
        <v>0</v>
      </c>
      <c r="I59" s="467">
        <v>0</v>
      </c>
      <c r="J59" s="467">
        <v>0</v>
      </c>
      <c r="K59" s="1694">
        <f t="shared" ref="K59:K64" si="7">SUM(C59:J59)</f>
        <v>0</v>
      </c>
      <c r="L59" s="481">
        <v>0</v>
      </c>
      <c r="M59" s="610"/>
      <c r="N59" s="610"/>
    </row>
    <row r="60" spans="1:14" s="343" customFormat="1" x14ac:dyDescent="0.2">
      <c r="A60" s="1526" t="s">
        <v>483</v>
      </c>
      <c r="B60" s="615">
        <v>2520</v>
      </c>
      <c r="C60" s="466">
        <v>63797</v>
      </c>
      <c r="D60" s="466">
        <v>9697</v>
      </c>
      <c r="E60" s="466">
        <v>27526</v>
      </c>
      <c r="F60" s="466">
        <v>274</v>
      </c>
      <c r="G60" s="466">
        <v>0</v>
      </c>
      <c r="H60" s="466">
        <v>0</v>
      </c>
      <c r="I60" s="467">
        <v>0</v>
      </c>
      <c r="J60" s="467">
        <v>0</v>
      </c>
      <c r="K60" s="1694">
        <f t="shared" si="7"/>
        <v>101294</v>
      </c>
      <c r="L60" s="466">
        <v>104797</v>
      </c>
      <c r="M60" s="610"/>
      <c r="N60" s="610"/>
    </row>
    <row r="61" spans="1:14" s="343" customFormat="1" x14ac:dyDescent="0.2">
      <c r="A61" s="1526" t="s">
        <v>206</v>
      </c>
      <c r="B61" s="615">
        <v>2540</v>
      </c>
      <c r="C61" s="466">
        <v>0</v>
      </c>
      <c r="D61" s="466">
        <v>0</v>
      </c>
      <c r="E61" s="466">
        <v>19512</v>
      </c>
      <c r="F61" s="466">
        <v>2026</v>
      </c>
      <c r="G61" s="466">
        <v>0</v>
      </c>
      <c r="H61" s="466">
        <v>0</v>
      </c>
      <c r="I61" s="467">
        <v>0</v>
      </c>
      <c r="J61" s="467">
        <v>0</v>
      </c>
      <c r="K61" s="1694">
        <f t="shared" si="7"/>
        <v>21538</v>
      </c>
      <c r="L61" s="466">
        <v>26000</v>
      </c>
      <c r="M61" s="610"/>
      <c r="N61" s="610"/>
    </row>
    <row r="62" spans="1:14" s="343" customFormat="1" x14ac:dyDescent="0.2">
      <c r="A62" s="1526" t="s">
        <v>1010</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7870</v>
      </c>
      <c r="D63" s="466">
        <v>0</v>
      </c>
      <c r="E63" s="466">
        <v>81876</v>
      </c>
      <c r="F63" s="466">
        <v>0</v>
      </c>
      <c r="G63" s="466">
        <v>0</v>
      </c>
      <c r="H63" s="466">
        <v>162</v>
      </c>
      <c r="I63" s="467">
        <v>0</v>
      </c>
      <c r="J63" s="467">
        <v>0</v>
      </c>
      <c r="K63" s="1694">
        <f t="shared" si="7"/>
        <v>89908</v>
      </c>
      <c r="L63" s="466">
        <v>90000</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75" customHeight="1" thickBot="1" x14ac:dyDescent="0.25">
      <c r="A65" s="1690" t="s">
        <v>743</v>
      </c>
      <c r="B65" s="1691" t="s">
        <v>35</v>
      </c>
      <c r="C65" s="1692">
        <f>SUM(C59:C64)</f>
        <v>71667</v>
      </c>
      <c r="D65" s="1692">
        <f t="shared" ref="D65:L65" si="8">SUM(D59:D64)</f>
        <v>9697</v>
      </c>
      <c r="E65" s="1692">
        <f t="shared" si="8"/>
        <v>128914</v>
      </c>
      <c r="F65" s="1692">
        <f t="shared" si="8"/>
        <v>2300</v>
      </c>
      <c r="G65" s="1692">
        <f t="shared" si="8"/>
        <v>0</v>
      </c>
      <c r="H65" s="1692">
        <f t="shared" si="8"/>
        <v>162</v>
      </c>
      <c r="I65" s="1692">
        <f t="shared" si="8"/>
        <v>0</v>
      </c>
      <c r="J65" s="1692">
        <f t="shared" si="8"/>
        <v>0</v>
      </c>
      <c r="K65" s="1692">
        <f t="shared" si="8"/>
        <v>212740</v>
      </c>
      <c r="L65" s="1692">
        <f t="shared" si="8"/>
        <v>220797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628</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1121</v>
      </c>
      <c r="B69" s="615">
        <v>2630</v>
      </c>
      <c r="C69" s="466">
        <v>0</v>
      </c>
      <c r="D69" s="466">
        <v>0</v>
      </c>
      <c r="E69" s="466">
        <v>0</v>
      </c>
      <c r="F69" s="466">
        <v>0</v>
      </c>
      <c r="G69" s="466">
        <v>0</v>
      </c>
      <c r="H69" s="466">
        <v>0</v>
      </c>
      <c r="I69" s="467">
        <v>0</v>
      </c>
      <c r="J69" s="467">
        <v>0</v>
      </c>
      <c r="K69" s="1694">
        <f>SUM(C69:J69)</f>
        <v>0</v>
      </c>
      <c r="L69" s="466">
        <v>0</v>
      </c>
      <c r="M69" s="610"/>
      <c r="N69" s="610"/>
    </row>
    <row r="70" spans="1:14" s="343" customFormat="1" x14ac:dyDescent="0.2">
      <c r="A70" s="1526" t="s">
        <v>423</v>
      </c>
      <c r="B70" s="615">
        <v>2640</v>
      </c>
      <c r="C70" s="466">
        <v>0</v>
      </c>
      <c r="D70" s="466">
        <v>0</v>
      </c>
      <c r="E70" s="466">
        <v>0</v>
      </c>
      <c r="F70" s="466">
        <v>0</v>
      </c>
      <c r="G70" s="466">
        <v>0</v>
      </c>
      <c r="H70" s="466">
        <v>0</v>
      </c>
      <c r="I70" s="467">
        <v>0</v>
      </c>
      <c r="J70" s="467">
        <v>0</v>
      </c>
      <c r="K70" s="1694">
        <f>SUM(C70:J70)</f>
        <v>0</v>
      </c>
      <c r="L70" s="466">
        <v>0</v>
      </c>
      <c r="M70" s="610"/>
      <c r="N70" s="610"/>
    </row>
    <row r="71" spans="1:14" s="343" customFormat="1" x14ac:dyDescent="0.2">
      <c r="A71" s="1526" t="s">
        <v>424</v>
      </c>
      <c r="B71" s="615">
        <v>2660</v>
      </c>
      <c r="C71" s="466">
        <v>0</v>
      </c>
      <c r="D71" s="466">
        <v>0</v>
      </c>
      <c r="E71" s="466">
        <v>0</v>
      </c>
      <c r="F71" s="466">
        <v>0</v>
      </c>
      <c r="G71" s="466">
        <v>0</v>
      </c>
      <c r="H71" s="466">
        <v>0</v>
      </c>
      <c r="I71" s="467">
        <v>0</v>
      </c>
      <c r="J71" s="467">
        <v>0</v>
      </c>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v>0</v>
      </c>
      <c r="D73" s="573">
        <v>0</v>
      </c>
      <c r="E73" s="573">
        <v>91</v>
      </c>
      <c r="F73" s="573">
        <v>0</v>
      </c>
      <c r="G73" s="573">
        <v>0</v>
      </c>
      <c r="H73" s="573">
        <v>0</v>
      </c>
      <c r="I73" s="531">
        <v>0</v>
      </c>
      <c r="J73" s="531">
        <v>0</v>
      </c>
      <c r="K73" s="1692">
        <f>SUM(C73:J73)</f>
        <v>91</v>
      </c>
      <c r="L73" s="576">
        <v>0</v>
      </c>
      <c r="M73" s="610"/>
      <c r="N73" s="610"/>
    </row>
    <row r="74" spans="1:14" ht="12.75" customHeight="1" thickTop="1" thickBot="1" x14ac:dyDescent="0.25">
      <c r="A74" s="1690" t="s">
        <v>865</v>
      </c>
      <c r="B74" s="1698">
        <v>2000</v>
      </c>
      <c r="C74" s="1699">
        <f>SUM(C42,C47,C53,C57,C65,C72,C73)</f>
        <v>668160</v>
      </c>
      <c r="D74" s="1699">
        <f t="shared" ref="D74:K74" si="10">SUM(D42,D47,D53,D57,D65,D72,D73)</f>
        <v>125949</v>
      </c>
      <c r="E74" s="1699">
        <f t="shared" si="10"/>
        <v>326664</v>
      </c>
      <c r="F74" s="1699">
        <f t="shared" si="10"/>
        <v>67731</v>
      </c>
      <c r="G74" s="1699">
        <f t="shared" si="10"/>
        <v>9198</v>
      </c>
      <c r="H74" s="1699">
        <f t="shared" si="10"/>
        <v>602</v>
      </c>
      <c r="I74" s="1699">
        <f t="shared" si="10"/>
        <v>37294</v>
      </c>
      <c r="J74" s="1699">
        <f t="shared" si="10"/>
        <v>0</v>
      </c>
      <c r="K74" s="1699">
        <f t="shared" si="10"/>
        <v>1235598</v>
      </c>
      <c r="L74" s="1699">
        <f>SUM(L42,L47,L53,L57,L65,L72,L73)</f>
        <v>1302070</v>
      </c>
    </row>
    <row r="75" spans="1:14" s="259" customFormat="1" ht="15.75" customHeight="1" thickTop="1" thickBot="1" x14ac:dyDescent="0.25">
      <c r="A75" s="1632" t="s">
        <v>49</v>
      </c>
      <c r="B75" s="1633" t="s">
        <v>596</v>
      </c>
      <c r="C75" s="573">
        <v>0</v>
      </c>
      <c r="D75" s="573">
        <v>0</v>
      </c>
      <c r="E75" s="573">
        <v>0</v>
      </c>
      <c r="F75" s="573">
        <v>0</v>
      </c>
      <c r="G75" s="573">
        <v>0</v>
      </c>
      <c r="H75" s="573">
        <v>0</v>
      </c>
      <c r="I75" s="531">
        <v>0</v>
      </c>
      <c r="J75" s="531">
        <v>0</v>
      </c>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3">
        <f t="shared" ref="K78:K83" si="11">SUM(C78:J78)</f>
        <v>0</v>
      </c>
      <c r="L78" s="481">
        <v>0</v>
      </c>
    </row>
    <row r="79" spans="1:14" x14ac:dyDescent="0.2">
      <c r="A79" s="1526" t="s">
        <v>322</v>
      </c>
      <c r="B79" s="615">
        <v>4120</v>
      </c>
      <c r="C79" s="617"/>
      <c r="D79" s="617"/>
      <c r="E79" s="466">
        <v>2602</v>
      </c>
      <c r="F79" s="617"/>
      <c r="G79" s="617"/>
      <c r="H79" s="466">
        <v>0</v>
      </c>
      <c r="I79" s="477"/>
      <c r="J79" s="477"/>
      <c r="K79" s="1693">
        <f t="shared" si="11"/>
        <v>2602</v>
      </c>
      <c r="L79" s="466">
        <v>3000</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0</v>
      </c>
      <c r="F83" s="617"/>
      <c r="G83" s="617"/>
      <c r="H83" s="466">
        <v>0</v>
      </c>
      <c r="I83" s="477"/>
      <c r="J83" s="477"/>
      <c r="K83" s="1693">
        <f t="shared" si="11"/>
        <v>0</v>
      </c>
      <c r="L83" s="466">
        <v>0</v>
      </c>
    </row>
    <row r="84" spans="1:12" ht="13.5" thickBot="1" x14ac:dyDescent="0.25">
      <c r="A84" s="1690" t="s">
        <v>1565</v>
      </c>
      <c r="B84" s="1700">
        <v>4100</v>
      </c>
      <c r="C84" s="617"/>
      <c r="D84" s="617"/>
      <c r="E84" s="1692">
        <f>SUM(E78:E83)</f>
        <v>2602</v>
      </c>
      <c r="F84" s="617"/>
      <c r="G84" s="617"/>
      <c r="H84" s="1692">
        <f>SUM(H78:H83)</f>
        <v>0</v>
      </c>
      <c r="I84" s="477"/>
      <c r="J84" s="477"/>
      <c r="K84" s="1692">
        <f>SUM(K78:K83)</f>
        <v>2602</v>
      </c>
      <c r="L84" s="1692">
        <f>SUM(L78:L83)</f>
        <v>3000</v>
      </c>
    </row>
    <row r="85" spans="1:12" ht="12.75" customHeight="1" thickTop="1" thickBot="1" x14ac:dyDescent="0.25">
      <c r="A85" s="1533" t="s">
        <v>273</v>
      </c>
      <c r="B85" s="636">
        <v>4210</v>
      </c>
      <c r="C85" s="617"/>
      <c r="D85" s="617"/>
      <c r="E85" s="637"/>
      <c r="F85" s="617"/>
      <c r="G85" s="617"/>
      <c r="H85" s="535">
        <v>2440</v>
      </c>
      <c r="I85" s="477"/>
      <c r="J85" s="477"/>
      <c r="K85" s="1699">
        <f>H85</f>
        <v>2440</v>
      </c>
      <c r="L85" s="530">
        <v>0</v>
      </c>
    </row>
    <row r="86" spans="1:12" ht="12.75" customHeight="1" thickTop="1" thickBot="1" x14ac:dyDescent="0.25">
      <c r="A86" s="1534" t="s">
        <v>723</v>
      </c>
      <c r="B86" s="638">
        <v>4220</v>
      </c>
      <c r="C86" s="617"/>
      <c r="D86" s="617"/>
      <c r="E86" s="639"/>
      <c r="F86" s="617"/>
      <c r="G86" s="617"/>
      <c r="H86" s="467">
        <v>595496</v>
      </c>
      <c r="I86" s="477"/>
      <c r="J86" s="477"/>
      <c r="K86" s="1699">
        <f t="shared" ref="K86:K98" si="12">H86</f>
        <v>595496</v>
      </c>
      <c r="L86" s="530">
        <v>593960</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0</v>
      </c>
      <c r="I88" s="477"/>
      <c r="J88" s="477"/>
      <c r="K88" s="1699">
        <f t="shared" si="12"/>
        <v>0</v>
      </c>
      <c r="L88" s="530">
        <v>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1641</v>
      </c>
      <c r="B92" s="1700">
        <v>4200</v>
      </c>
      <c r="C92" s="617"/>
      <c r="D92" s="617"/>
      <c r="E92" s="639"/>
      <c r="F92" s="617"/>
      <c r="G92" s="617"/>
      <c r="H92" s="1692">
        <f>SUM(H85:H91)</f>
        <v>597936</v>
      </c>
      <c r="I92" s="477"/>
      <c r="J92" s="477"/>
      <c r="K92" s="1699">
        <f t="shared" si="12"/>
        <v>597936</v>
      </c>
      <c r="L92" s="1692">
        <f>SUM(L85:L91)</f>
        <v>593960</v>
      </c>
    </row>
    <row r="93" spans="1:12" ht="14.25" thickTop="1" thickBot="1" x14ac:dyDescent="0.25">
      <c r="A93" s="1534" t="s">
        <v>712</v>
      </c>
      <c r="B93" s="641">
        <v>4310</v>
      </c>
      <c r="C93" s="617"/>
      <c r="D93" s="617"/>
      <c r="E93" s="639"/>
      <c r="F93" s="617"/>
      <c r="G93" s="617"/>
      <c r="H93" s="642">
        <v>0</v>
      </c>
      <c r="I93" s="477"/>
      <c r="J93" s="477"/>
      <c r="K93" s="1699">
        <f t="shared" si="12"/>
        <v>0</v>
      </c>
      <c r="L93" s="532">
        <v>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10000</v>
      </c>
    </row>
    <row r="102" spans="1:14" ht="12.75" customHeight="1" thickTop="1" thickBot="1" x14ac:dyDescent="0.25">
      <c r="A102" s="1690" t="s">
        <v>1567</v>
      </c>
      <c r="B102" s="1700">
        <v>4000</v>
      </c>
      <c r="C102" s="617"/>
      <c r="D102" s="617"/>
      <c r="E102" s="1699">
        <f>SUM(E84,E92,E100,E101)</f>
        <v>2602</v>
      </c>
      <c r="F102" s="617"/>
      <c r="G102" s="617"/>
      <c r="H102" s="1699">
        <f>SUM(H84,H92,H100,H101)</f>
        <v>597936</v>
      </c>
      <c r="I102" s="477"/>
      <c r="J102" s="477"/>
      <c r="K102" s="1699">
        <f>SUM(K84,K92,K100,K101)</f>
        <v>600538</v>
      </c>
      <c r="L102" s="1699">
        <f>SUM(L84,L92,L100,L101)</f>
        <v>606960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2238150</v>
      </c>
      <c r="D114" s="1692">
        <f t="shared" ref="D114:K114" si="13">SUM(D33,D74,D75,D102,D112,D113)</f>
        <v>467079</v>
      </c>
      <c r="E114" s="1692">
        <f t="shared" si="13"/>
        <v>425875</v>
      </c>
      <c r="F114" s="1692">
        <f t="shared" si="13"/>
        <v>229525</v>
      </c>
      <c r="G114" s="1692">
        <f t="shared" si="13"/>
        <v>15512</v>
      </c>
      <c r="H114" s="1692">
        <f>SUM(H33,H74,H75,H102,H112,H113)</f>
        <v>725233</v>
      </c>
      <c r="I114" s="1692">
        <f t="shared" si="13"/>
        <v>39331</v>
      </c>
      <c r="J114" s="1692">
        <f t="shared" si="13"/>
        <v>0</v>
      </c>
      <c r="K114" s="1692">
        <f t="shared" si="13"/>
        <v>4140705</v>
      </c>
      <c r="L114" s="1692">
        <f>SUM(L33,L74,L75,L102,L112,L113)</f>
        <v>4421884</v>
      </c>
    </row>
    <row r="115" spans="1:14" ht="13.5" thickTop="1" x14ac:dyDescent="0.2">
      <c r="A115" s="2198" t="s">
        <v>1053</v>
      </c>
      <c r="B115" s="2199"/>
      <c r="C115" s="619"/>
      <c r="D115" s="619"/>
      <c r="E115" s="619"/>
      <c r="F115" s="619"/>
      <c r="G115" s="619"/>
      <c r="H115" s="619"/>
      <c r="I115" s="619"/>
      <c r="J115" s="619"/>
      <c r="K115" s="1706">
        <f>'Revenues 9-14'!C275-'Expenditures 15-22'!K114</f>
        <v>363348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75630</v>
      </c>
      <c r="F123" s="466">
        <v>2600</v>
      </c>
      <c r="G123" s="466">
        <v>68286</v>
      </c>
      <c r="H123" s="466">
        <v>0</v>
      </c>
      <c r="I123" s="467">
        <v>0</v>
      </c>
      <c r="J123" s="467">
        <v>0</v>
      </c>
      <c r="K123" s="1692">
        <f>SUM(C123:J123)</f>
        <v>146516</v>
      </c>
      <c r="L123" s="466">
        <v>209080</v>
      </c>
    </row>
    <row r="124" spans="1:14" ht="14.25" thickTop="1" thickBot="1" x14ac:dyDescent="0.25">
      <c r="A124" s="1526" t="s">
        <v>206</v>
      </c>
      <c r="B124" s="615">
        <v>2540</v>
      </c>
      <c r="C124" s="466">
        <v>53341</v>
      </c>
      <c r="D124" s="466">
        <v>8548</v>
      </c>
      <c r="E124" s="466">
        <v>352160</v>
      </c>
      <c r="F124" s="466">
        <v>66843</v>
      </c>
      <c r="G124" s="466">
        <v>15223</v>
      </c>
      <c r="H124" s="466">
        <v>0</v>
      </c>
      <c r="I124" s="467">
        <v>5129</v>
      </c>
      <c r="J124" s="467">
        <v>0</v>
      </c>
      <c r="K124" s="1692">
        <f>SUM(C124:J124)</f>
        <v>501244</v>
      </c>
      <c r="L124" s="466">
        <v>674542</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743</v>
      </c>
      <c r="B127" s="1691" t="s">
        <v>35</v>
      </c>
      <c r="C127" s="1692">
        <f>SUM(C122:C126)</f>
        <v>53341</v>
      </c>
      <c r="D127" s="1692">
        <f t="shared" ref="D127:L127" si="14">SUM(D122:D126)</f>
        <v>8548</v>
      </c>
      <c r="E127" s="1692">
        <f t="shared" si="14"/>
        <v>427790</v>
      </c>
      <c r="F127" s="1692">
        <f t="shared" si="14"/>
        <v>69443</v>
      </c>
      <c r="G127" s="1692">
        <f t="shared" si="14"/>
        <v>83509</v>
      </c>
      <c r="H127" s="1692">
        <f t="shared" si="14"/>
        <v>0</v>
      </c>
      <c r="I127" s="1692">
        <f t="shared" si="14"/>
        <v>5129</v>
      </c>
      <c r="J127" s="1692">
        <f t="shared" si="14"/>
        <v>0</v>
      </c>
      <c r="K127" s="1692">
        <f t="shared" si="14"/>
        <v>647760</v>
      </c>
      <c r="L127" s="1692">
        <f t="shared" si="14"/>
        <v>883622</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865</v>
      </c>
      <c r="B129" s="1709" t="s">
        <v>590</v>
      </c>
      <c r="C129" s="1699">
        <f>SUM(C120,C127,C128)</f>
        <v>53341</v>
      </c>
      <c r="D129" s="1699">
        <f t="shared" ref="D129:L129" si="15">SUM(D120,D127,D128)</f>
        <v>8548</v>
      </c>
      <c r="E129" s="1699">
        <f t="shared" si="15"/>
        <v>427790</v>
      </c>
      <c r="F129" s="1699">
        <f t="shared" si="15"/>
        <v>69443</v>
      </c>
      <c r="G129" s="1699">
        <f t="shared" si="15"/>
        <v>83509</v>
      </c>
      <c r="H129" s="1699">
        <f t="shared" si="15"/>
        <v>0</v>
      </c>
      <c r="I129" s="1699">
        <f t="shared" si="15"/>
        <v>5129</v>
      </c>
      <c r="J129" s="1699">
        <f t="shared" si="15"/>
        <v>0</v>
      </c>
      <c r="K129" s="1699">
        <f t="shared" si="15"/>
        <v>647760</v>
      </c>
      <c r="L129" s="1699">
        <f t="shared" si="15"/>
        <v>883622</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v>0</v>
      </c>
      <c r="F133" s="468"/>
      <c r="G133" s="468"/>
      <c r="H133" s="642">
        <v>0</v>
      </c>
      <c r="I133" s="468"/>
      <c r="J133" s="468"/>
      <c r="K133" s="1844">
        <f>SUM(E133,H133)</f>
        <v>0</v>
      </c>
      <c r="L133" s="642">
        <v>0</v>
      </c>
      <c r="M133" s="206"/>
      <c r="N133" s="206"/>
    </row>
    <row r="134" spans="1:14" x14ac:dyDescent="0.2">
      <c r="A134" s="1526" t="s">
        <v>322</v>
      </c>
      <c r="B134" s="615">
        <v>4120</v>
      </c>
      <c r="C134" s="617"/>
      <c r="D134" s="617"/>
      <c r="E134" s="478">
        <v>0</v>
      </c>
      <c r="F134" s="617"/>
      <c r="G134" s="617"/>
      <c r="H134" s="481">
        <v>0</v>
      </c>
      <c r="I134" s="477"/>
      <c r="J134" s="617"/>
      <c r="K134" s="1694">
        <f>SUM(E134,H134)</f>
        <v>0</v>
      </c>
      <c r="L134" s="481">
        <v>0</v>
      </c>
    </row>
    <row r="135" spans="1:14" x14ac:dyDescent="0.2">
      <c r="A135" s="1526" t="s">
        <v>721</v>
      </c>
      <c r="B135" s="615">
        <v>4140</v>
      </c>
      <c r="C135" s="617"/>
      <c r="D135" s="617"/>
      <c r="E135" s="467">
        <v>0</v>
      </c>
      <c r="F135" s="617"/>
      <c r="G135" s="617"/>
      <c r="H135" s="466">
        <v>0</v>
      </c>
      <c r="I135" s="477"/>
      <c r="J135" s="617"/>
      <c r="K135" s="1694">
        <f>SUM(E135,H135)</f>
        <v>0</v>
      </c>
      <c r="L135" s="466">
        <v>0</v>
      </c>
    </row>
    <row r="136" spans="1:14" x14ac:dyDescent="0.2">
      <c r="A136" s="1530" t="s">
        <v>722</v>
      </c>
      <c r="B136" s="629">
        <v>4190</v>
      </c>
      <c r="C136" s="617"/>
      <c r="D136" s="617"/>
      <c r="E136" s="467">
        <v>0</v>
      </c>
      <c r="F136" s="617"/>
      <c r="G136" s="617"/>
      <c r="H136" s="466">
        <v>0</v>
      </c>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v>0</v>
      </c>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1232</v>
      </c>
      <c r="B144" s="629" t="s">
        <v>638</v>
      </c>
      <c r="C144" s="617"/>
      <c r="D144" s="617"/>
      <c r="E144" s="617"/>
      <c r="F144" s="617"/>
      <c r="G144" s="617"/>
      <c r="H144" s="466">
        <v>0</v>
      </c>
      <c r="I144" s="468"/>
      <c r="J144" s="617"/>
      <c r="K144" s="1694">
        <f>SUM(H144)</f>
        <v>0</v>
      </c>
      <c r="L144" s="466">
        <v>0</v>
      </c>
    </row>
    <row r="145" spans="1:14" x14ac:dyDescent="0.2">
      <c r="A145" s="1526" t="s">
        <v>91</v>
      </c>
      <c r="B145" s="615" t="s">
        <v>610</v>
      </c>
      <c r="C145" s="617"/>
      <c r="D145" s="617"/>
      <c r="E145" s="617"/>
      <c r="F145" s="617"/>
      <c r="G145" s="617"/>
      <c r="H145" s="466">
        <v>0</v>
      </c>
      <c r="I145" s="468"/>
      <c r="J145" s="617"/>
      <c r="K145" s="1694">
        <f>SUM(H145)</f>
        <v>0</v>
      </c>
      <c r="L145" s="466">
        <v>0</v>
      </c>
    </row>
    <row r="146" spans="1:14" ht="12.75" customHeight="1" x14ac:dyDescent="0.2">
      <c r="A146" s="1526" t="s">
        <v>640</v>
      </c>
      <c r="B146" s="615" t="s">
        <v>639</v>
      </c>
      <c r="C146" s="617"/>
      <c r="D146" s="617"/>
      <c r="E146" s="617"/>
      <c r="F146" s="617"/>
      <c r="G146" s="617"/>
      <c r="H146" s="466">
        <v>0</v>
      </c>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8" t="s">
        <v>641</v>
      </c>
      <c r="B151" s="2170"/>
      <c r="C151" s="1692">
        <f>SUM(C129,C130,C139,C149,C150)</f>
        <v>53341</v>
      </c>
      <c r="D151" s="1692">
        <f t="shared" ref="D151:K151" si="16">SUM(D129,D130,D139,D149,D150)</f>
        <v>8548</v>
      </c>
      <c r="E151" s="1692">
        <f t="shared" si="16"/>
        <v>427790</v>
      </c>
      <c r="F151" s="1692">
        <f t="shared" si="16"/>
        <v>69443</v>
      </c>
      <c r="G151" s="1692">
        <f t="shared" si="16"/>
        <v>83509</v>
      </c>
      <c r="H151" s="1692">
        <f t="shared" si="16"/>
        <v>0</v>
      </c>
      <c r="I151" s="1692">
        <f t="shared" si="16"/>
        <v>5129</v>
      </c>
      <c r="J151" s="1692">
        <f t="shared" si="16"/>
        <v>0</v>
      </c>
      <c r="K151" s="1692">
        <f t="shared" si="16"/>
        <v>647760</v>
      </c>
      <c r="L151" s="1692">
        <f>SUM(L129,L130,L139,L149,L150)</f>
        <v>883622</v>
      </c>
    </row>
    <row r="152" spans="1:14" ht="12.75" customHeight="1" thickTop="1" x14ac:dyDescent="0.2">
      <c r="A152" s="2191" t="s">
        <v>1240</v>
      </c>
      <c r="B152" s="2192"/>
      <c r="C152" s="619"/>
      <c r="D152" s="619"/>
      <c r="E152" s="619"/>
      <c r="F152" s="619"/>
      <c r="G152" s="619"/>
      <c r="H152" s="619"/>
      <c r="I152" s="619"/>
      <c r="J152" s="617"/>
      <c r="K152" s="1706">
        <f>'Revenues 9-14'!D275-'Expenditures 15-22'!K151</f>
        <v>-299724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v>0</v>
      </c>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v>0</v>
      </c>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1232</v>
      </c>
      <c r="B165" s="615" t="s">
        <v>638</v>
      </c>
      <c r="C165" s="617"/>
      <c r="D165" s="617"/>
      <c r="E165" s="617"/>
      <c r="F165" s="617"/>
      <c r="G165" s="617"/>
      <c r="H165" s="466">
        <v>0</v>
      </c>
      <c r="I165" s="617"/>
      <c r="J165" s="617"/>
      <c r="K165" s="1693">
        <f>SUM(C165:J165)</f>
        <v>0</v>
      </c>
      <c r="L165" s="466">
        <v>0</v>
      </c>
    </row>
    <row r="166" spans="1:14" x14ac:dyDescent="0.2">
      <c r="A166" s="1526" t="s">
        <v>91</v>
      </c>
      <c r="B166" s="629" t="s">
        <v>610</v>
      </c>
      <c r="C166" s="617"/>
      <c r="D166" s="617"/>
      <c r="E166" s="617"/>
      <c r="F166" s="617"/>
      <c r="G166" s="617"/>
      <c r="H166" s="466">
        <v>0</v>
      </c>
      <c r="I166" s="617"/>
      <c r="J166" s="617"/>
      <c r="K166" s="1693">
        <f>SUM(C166:J166)</f>
        <v>0</v>
      </c>
      <c r="L166" s="466">
        <v>0</v>
      </c>
    </row>
    <row r="167" spans="1:14" ht="12.75" customHeight="1" x14ac:dyDescent="0.2">
      <c r="A167" s="1526" t="s">
        <v>640</v>
      </c>
      <c r="B167" s="615" t="s">
        <v>639</v>
      </c>
      <c r="C167" s="617"/>
      <c r="D167" s="617"/>
      <c r="E167" s="617"/>
      <c r="F167" s="617"/>
      <c r="G167" s="617"/>
      <c r="H167" s="466">
        <v>0</v>
      </c>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24326</v>
      </c>
      <c r="I169" s="617"/>
      <c r="J169" s="617"/>
      <c r="K169" s="1693">
        <f>SUM(C169:H169)</f>
        <v>24326</v>
      </c>
      <c r="L169" s="657">
        <v>24327</v>
      </c>
    </row>
    <row r="170" spans="1:14" ht="33.75" customHeight="1" x14ac:dyDescent="0.2">
      <c r="A170" s="670" t="s">
        <v>1769</v>
      </c>
      <c r="B170" s="672" t="s">
        <v>31</v>
      </c>
      <c r="C170" s="617"/>
      <c r="D170" s="617"/>
      <c r="E170" s="617"/>
      <c r="F170" s="617"/>
      <c r="G170" s="617"/>
      <c r="H170" s="569">
        <v>1095000</v>
      </c>
      <c r="I170" s="617"/>
      <c r="J170" s="617"/>
      <c r="K170" s="1693">
        <f>SUM(C170:J170)</f>
        <v>1095000</v>
      </c>
      <c r="L170" s="569">
        <v>1095000</v>
      </c>
    </row>
    <row r="171" spans="1:14" ht="15.75" customHeight="1" x14ac:dyDescent="0.2">
      <c r="A171" s="622" t="s">
        <v>790</v>
      </c>
      <c r="B171" s="673" t="s">
        <v>86</v>
      </c>
      <c r="C171" s="617"/>
      <c r="D171" s="617"/>
      <c r="E171" s="466">
        <v>0</v>
      </c>
      <c r="F171" s="617"/>
      <c r="G171" s="617"/>
      <c r="H171" s="569">
        <v>350</v>
      </c>
      <c r="I171" s="477"/>
      <c r="J171" s="617"/>
      <c r="K171" s="1693">
        <f>SUM(C171:J171)</f>
        <v>350</v>
      </c>
      <c r="L171" s="569">
        <v>350</v>
      </c>
    </row>
    <row r="172" spans="1:14" ht="12.75" customHeight="1" thickBot="1" x14ac:dyDescent="0.25">
      <c r="A172" s="1690" t="s">
        <v>659</v>
      </c>
      <c r="B172" s="1691" t="s">
        <v>513</v>
      </c>
      <c r="C172" s="617"/>
      <c r="D172" s="617"/>
      <c r="E172" s="1699">
        <f>SUM(E168,E169,E170,E171)</f>
        <v>0</v>
      </c>
      <c r="F172" s="617"/>
      <c r="G172" s="617"/>
      <c r="H172" s="1699">
        <f>SUM(H168,H169,H170,H171)</f>
        <v>1119676</v>
      </c>
      <c r="I172" s="639"/>
      <c r="J172" s="617"/>
      <c r="K172" s="1699">
        <f>SUM(K168,K169,K170,K171)</f>
        <v>1119676</v>
      </c>
      <c r="L172" s="1699">
        <f>SUM(L168,L169,L170,L171)</f>
        <v>1119677</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1119676</v>
      </c>
      <c r="I174" s="639"/>
      <c r="J174" s="617"/>
      <c r="K174" s="1699">
        <f>SUM(K160,K172,K173)</f>
        <v>1119676</v>
      </c>
      <c r="L174" s="1699">
        <f>SUM(L160,L172,L173)</f>
        <v>1119677</v>
      </c>
    </row>
    <row r="175" spans="1:14" ht="13.5" thickTop="1" x14ac:dyDescent="0.2">
      <c r="A175" s="2198" t="s">
        <v>1053</v>
      </c>
      <c r="B175" s="2199"/>
      <c r="C175" s="617"/>
      <c r="D175" s="617"/>
      <c r="E175" s="617"/>
      <c r="F175" s="617"/>
      <c r="G175" s="617"/>
      <c r="H175" s="619"/>
      <c r="I175" s="617"/>
      <c r="J175" s="617"/>
      <c r="K175" s="1706">
        <f>'Revenues 9-14'!E275-'Expenditures 15-22'!K174</f>
        <v>-1119676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8912</v>
      </c>
      <c r="D182" s="466">
        <v>2539</v>
      </c>
      <c r="E182" s="466">
        <v>615924</v>
      </c>
      <c r="F182" s="466">
        <v>11318</v>
      </c>
      <c r="G182" s="466">
        <v>0</v>
      </c>
      <c r="H182" s="466">
        <v>0</v>
      </c>
      <c r="I182" s="467">
        <v>0</v>
      </c>
      <c r="J182" s="467">
        <v>0</v>
      </c>
      <c r="K182" s="1693">
        <f>SUM(C182:J182)</f>
        <v>638693</v>
      </c>
      <c r="L182" s="466">
        <v>700175</v>
      </c>
    </row>
    <row r="183" spans="1:14" ht="12.75" customHeight="1" thickBot="1" x14ac:dyDescent="0.25">
      <c r="A183" s="1531" t="s">
        <v>1037</v>
      </c>
      <c r="B183" s="678">
        <v>2900</v>
      </c>
      <c r="C183" s="573">
        <v>0</v>
      </c>
      <c r="D183" s="573">
        <v>0</v>
      </c>
      <c r="E183" s="573">
        <v>0</v>
      </c>
      <c r="F183" s="573">
        <v>0</v>
      </c>
      <c r="G183" s="573">
        <v>0</v>
      </c>
      <c r="H183" s="573">
        <v>0</v>
      </c>
      <c r="I183" s="532">
        <v>0</v>
      </c>
      <c r="J183" s="532">
        <v>0</v>
      </c>
      <c r="K183" s="1699">
        <f>SUM(C183:J183)</f>
        <v>0</v>
      </c>
      <c r="L183" s="573">
        <v>0</v>
      </c>
    </row>
    <row r="184" spans="1:14" ht="12.75" customHeight="1" thickTop="1" thickBot="1" x14ac:dyDescent="0.25">
      <c r="A184" s="1713" t="s">
        <v>865</v>
      </c>
      <c r="B184" s="1691" t="s">
        <v>590</v>
      </c>
      <c r="C184" s="1699">
        <f>SUM(C180,C182,C183)</f>
        <v>8912</v>
      </c>
      <c r="D184" s="1699">
        <f t="shared" ref="D184:J184" si="17">SUM(D180,D182,D183)</f>
        <v>2539</v>
      </c>
      <c r="E184" s="1699">
        <f t="shared" si="17"/>
        <v>615924</v>
      </c>
      <c r="F184" s="1699">
        <f t="shared" si="17"/>
        <v>11318</v>
      </c>
      <c r="G184" s="1699">
        <f t="shared" si="17"/>
        <v>0</v>
      </c>
      <c r="H184" s="1699">
        <f t="shared" si="17"/>
        <v>0</v>
      </c>
      <c r="I184" s="1699">
        <f t="shared" si="17"/>
        <v>0</v>
      </c>
      <c r="J184" s="1699">
        <f t="shared" si="17"/>
        <v>0</v>
      </c>
      <c r="K184" s="1699">
        <f>SUM(K180,K182,K183)</f>
        <v>638693</v>
      </c>
      <c r="L184" s="1699">
        <f>SUM(L180, L182:L183)</f>
        <v>700175</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3">
        <f t="shared" ref="K188:K193" si="18">SUM(E188,H188)</f>
        <v>0</v>
      </c>
      <c r="L188" s="466">
        <v>0</v>
      </c>
    </row>
    <row r="189" spans="1:14" x14ac:dyDescent="0.2">
      <c r="A189" s="1526" t="s">
        <v>322</v>
      </c>
      <c r="B189" s="615">
        <v>4120</v>
      </c>
      <c r="C189" s="617"/>
      <c r="D189" s="617"/>
      <c r="E189" s="466">
        <v>0</v>
      </c>
      <c r="F189" s="617"/>
      <c r="G189" s="617"/>
      <c r="H189" s="466">
        <v>0</v>
      </c>
      <c r="I189" s="477"/>
      <c r="J189" s="617"/>
      <c r="K189" s="1693">
        <f t="shared" si="18"/>
        <v>0</v>
      </c>
      <c r="L189" s="466">
        <v>0</v>
      </c>
    </row>
    <row r="190" spans="1:14" x14ac:dyDescent="0.2">
      <c r="A190" s="1526" t="s">
        <v>323</v>
      </c>
      <c r="B190" s="629">
        <v>4130</v>
      </c>
      <c r="C190" s="617"/>
      <c r="D190" s="617"/>
      <c r="E190" s="466">
        <v>0</v>
      </c>
      <c r="F190" s="617"/>
      <c r="G190" s="617"/>
      <c r="H190" s="466">
        <v>0</v>
      </c>
      <c r="I190" s="477"/>
      <c r="J190" s="617"/>
      <c r="K190" s="1693">
        <f t="shared" si="18"/>
        <v>0</v>
      </c>
      <c r="L190" s="466">
        <v>0</v>
      </c>
    </row>
    <row r="191" spans="1:14" x14ac:dyDescent="0.2">
      <c r="A191" s="1526" t="s">
        <v>721</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722</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v>0</v>
      </c>
      <c r="F195" s="617"/>
      <c r="G195" s="617"/>
      <c r="H195" s="657">
        <v>0</v>
      </c>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1232</v>
      </c>
      <c r="B201" s="629" t="s">
        <v>638</v>
      </c>
      <c r="C201" s="617"/>
      <c r="D201" s="617"/>
      <c r="E201" s="617"/>
      <c r="F201" s="617"/>
      <c r="G201" s="617"/>
      <c r="H201" s="466">
        <v>0</v>
      </c>
      <c r="I201" s="617"/>
      <c r="J201" s="617"/>
      <c r="K201" s="1693">
        <f>SUM(H201)</f>
        <v>0</v>
      </c>
      <c r="L201" s="466">
        <v>0</v>
      </c>
    </row>
    <row r="202" spans="1:14" x14ac:dyDescent="0.2">
      <c r="A202" s="1526" t="s">
        <v>91</v>
      </c>
      <c r="B202" s="615" t="s">
        <v>610</v>
      </c>
      <c r="C202" s="617"/>
      <c r="D202" s="617"/>
      <c r="E202" s="617"/>
      <c r="F202" s="617"/>
      <c r="G202" s="617"/>
      <c r="H202" s="466">
        <v>0</v>
      </c>
      <c r="I202" s="617"/>
      <c r="J202" s="617"/>
      <c r="K202" s="1693">
        <f>SUM(H202)</f>
        <v>0</v>
      </c>
      <c r="L202" s="466">
        <v>0</v>
      </c>
    </row>
    <row r="203" spans="1:14" x14ac:dyDescent="0.2">
      <c r="A203" s="1538" t="s">
        <v>640</v>
      </c>
      <c r="B203" s="615" t="s">
        <v>639</v>
      </c>
      <c r="C203" s="617"/>
      <c r="D203" s="617"/>
      <c r="E203" s="617"/>
      <c r="F203" s="617"/>
      <c r="G203" s="617"/>
      <c r="H203" s="471">
        <v>0</v>
      </c>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1770</v>
      </c>
      <c r="B206" s="673" t="s">
        <v>31</v>
      </c>
      <c r="C206" s="617"/>
      <c r="D206" s="617"/>
      <c r="E206" s="617"/>
      <c r="F206" s="617"/>
      <c r="G206" s="617"/>
      <c r="H206" s="466">
        <v>0</v>
      </c>
      <c r="I206" s="617"/>
      <c r="J206" s="617"/>
      <c r="K206" s="1693">
        <f>SUM(H206)</f>
        <v>0</v>
      </c>
      <c r="L206" s="466">
        <v>0</v>
      </c>
    </row>
    <row r="207" spans="1:14" ht="15.75" customHeight="1" x14ac:dyDescent="0.2">
      <c r="A207" s="622" t="s">
        <v>790</v>
      </c>
      <c r="B207" s="673" t="s">
        <v>86</v>
      </c>
      <c r="C207" s="617"/>
      <c r="D207" s="617"/>
      <c r="E207" s="617"/>
      <c r="F207" s="617"/>
      <c r="G207" s="617"/>
      <c r="H207" s="467">
        <v>0</v>
      </c>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8912</v>
      </c>
      <c r="D210" s="1692">
        <f>SUM(D184,D185)</f>
        <v>2539</v>
      </c>
      <c r="E210" s="1692">
        <f>SUM(E184,E185,E196)</f>
        <v>615924</v>
      </c>
      <c r="F210" s="1692">
        <f>SUM(F184,F185)</f>
        <v>11318</v>
      </c>
      <c r="G210" s="1692">
        <f>SUM(G184,G185)</f>
        <v>0</v>
      </c>
      <c r="H210" s="1692">
        <f>SUM(H184,H185,H196,H208,H209)</f>
        <v>0</v>
      </c>
      <c r="I210" s="1692">
        <f>SUM(I184,I185)</f>
        <v>0</v>
      </c>
      <c r="J210" s="1692">
        <f>SUM(J184,J185)</f>
        <v>0</v>
      </c>
      <c r="K210" s="1693">
        <f>SUM(K184,K185,K196,K208,K209)</f>
        <v>638693</v>
      </c>
      <c r="L210" s="1692">
        <f>SUM(L184,L185,L196,L208,L209)</f>
        <v>700175</v>
      </c>
    </row>
    <row r="211" spans="1:14" ht="13.5" thickTop="1" x14ac:dyDescent="0.2">
      <c r="A211" s="2198" t="s">
        <v>1053</v>
      </c>
      <c r="B211" s="2199"/>
      <c r="C211" s="619"/>
      <c r="D211" s="619"/>
      <c r="E211" s="619"/>
      <c r="F211" s="619"/>
      <c r="G211" s="619"/>
      <c r="H211" s="619"/>
      <c r="I211" s="617"/>
      <c r="J211" s="617"/>
      <c r="K211" s="1706">
        <f>'Revenues 9-14'!F275-'Expenditures 15-22'!K210</f>
        <v>16035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18746</v>
      </c>
      <c r="E215" s="617"/>
      <c r="F215" s="617"/>
      <c r="G215" s="617"/>
      <c r="H215" s="617"/>
      <c r="I215" s="617"/>
      <c r="J215" s="617"/>
      <c r="K215" s="1693">
        <f>D215</f>
        <v>18746</v>
      </c>
      <c r="L215" s="466">
        <v>21539</v>
      </c>
    </row>
    <row r="216" spans="1:14" x14ac:dyDescent="0.2">
      <c r="A216" s="1526" t="s">
        <v>165</v>
      </c>
      <c r="B216" s="615" t="s">
        <v>1024</v>
      </c>
      <c r="C216" s="617"/>
      <c r="D216" s="467">
        <v>3554</v>
      </c>
      <c r="E216" s="617"/>
      <c r="F216" s="617"/>
      <c r="G216" s="617"/>
      <c r="H216" s="617"/>
      <c r="I216" s="617"/>
      <c r="J216" s="617"/>
      <c r="K216" s="1693">
        <f t="shared" ref="K216:K228" si="19">D216</f>
        <v>3554</v>
      </c>
      <c r="L216" s="466">
        <v>6862</v>
      </c>
    </row>
    <row r="217" spans="1:14" x14ac:dyDescent="0.2">
      <c r="A217" s="1526" t="s">
        <v>166</v>
      </c>
      <c r="B217" s="615">
        <v>1200</v>
      </c>
      <c r="C217" s="617"/>
      <c r="D217" s="466">
        <v>11862</v>
      </c>
      <c r="E217" s="617"/>
      <c r="F217" s="617"/>
      <c r="G217" s="617"/>
      <c r="H217" s="617"/>
      <c r="I217" s="617"/>
      <c r="J217" s="617"/>
      <c r="K217" s="1693">
        <f t="shared" si="19"/>
        <v>11862</v>
      </c>
      <c r="L217" s="466">
        <v>11920</v>
      </c>
    </row>
    <row r="218" spans="1:14" x14ac:dyDescent="0.2">
      <c r="A218" s="1526" t="s">
        <v>296</v>
      </c>
      <c r="B218" s="615" t="s">
        <v>1025</v>
      </c>
      <c r="C218" s="617"/>
      <c r="D218" s="467">
        <v>0</v>
      </c>
      <c r="E218" s="617"/>
      <c r="F218" s="617"/>
      <c r="G218" s="617"/>
      <c r="H218" s="617"/>
      <c r="I218" s="617"/>
      <c r="J218" s="617"/>
      <c r="K218" s="1693">
        <f t="shared" si="19"/>
        <v>0</v>
      </c>
      <c r="L218" s="466">
        <v>0</v>
      </c>
    </row>
    <row r="219" spans="1:14" x14ac:dyDescent="0.2">
      <c r="A219" s="1526" t="s">
        <v>297</v>
      </c>
      <c r="B219" s="615">
        <v>1250</v>
      </c>
      <c r="C219" s="617"/>
      <c r="D219" s="466">
        <v>587</v>
      </c>
      <c r="E219" s="617"/>
      <c r="F219" s="617"/>
      <c r="G219" s="617"/>
      <c r="H219" s="617"/>
      <c r="I219" s="617"/>
      <c r="J219" s="617"/>
      <c r="K219" s="1693">
        <f t="shared" si="19"/>
        <v>587</v>
      </c>
      <c r="L219" s="466">
        <v>635</v>
      </c>
    </row>
    <row r="220" spans="1:14" x14ac:dyDescent="0.2">
      <c r="A220" s="1526" t="s">
        <v>298</v>
      </c>
      <c r="B220" s="615" t="s">
        <v>163</v>
      </c>
      <c r="C220" s="617"/>
      <c r="D220" s="467">
        <v>0</v>
      </c>
      <c r="E220" s="617"/>
      <c r="F220" s="617"/>
      <c r="G220" s="617"/>
      <c r="H220" s="617"/>
      <c r="I220" s="617"/>
      <c r="J220" s="617"/>
      <c r="K220" s="1693">
        <f t="shared" si="19"/>
        <v>0</v>
      </c>
      <c r="L220" s="466">
        <v>0</v>
      </c>
    </row>
    <row r="221" spans="1:14" x14ac:dyDescent="0.2">
      <c r="A221" s="1526" t="s">
        <v>1019</v>
      </c>
      <c r="B221" s="615">
        <v>1300</v>
      </c>
      <c r="C221" s="617"/>
      <c r="D221" s="466">
        <v>0</v>
      </c>
      <c r="E221" s="617"/>
      <c r="F221" s="617"/>
      <c r="G221" s="617"/>
      <c r="H221" s="617"/>
      <c r="I221" s="617"/>
      <c r="J221" s="617"/>
      <c r="K221" s="1693">
        <f t="shared" si="19"/>
        <v>0</v>
      </c>
      <c r="L221" s="466">
        <v>0</v>
      </c>
    </row>
    <row r="222" spans="1:14" x14ac:dyDescent="0.2">
      <c r="A222" s="1526" t="s">
        <v>747</v>
      </c>
      <c r="B222" s="615">
        <v>1400</v>
      </c>
      <c r="C222" s="617"/>
      <c r="D222" s="466">
        <v>0</v>
      </c>
      <c r="E222" s="617"/>
      <c r="F222" s="617"/>
      <c r="G222" s="617"/>
      <c r="H222" s="617"/>
      <c r="I222" s="617"/>
      <c r="J222" s="617"/>
      <c r="K222" s="1693">
        <f t="shared" si="19"/>
        <v>0</v>
      </c>
      <c r="L222" s="466">
        <v>0</v>
      </c>
    </row>
    <row r="223" spans="1:14" x14ac:dyDescent="0.2">
      <c r="A223" s="1526" t="s">
        <v>1020</v>
      </c>
      <c r="B223" s="615">
        <v>1500</v>
      </c>
      <c r="C223" s="617"/>
      <c r="D223" s="466">
        <v>1501</v>
      </c>
      <c r="E223" s="617"/>
      <c r="F223" s="617"/>
      <c r="G223" s="617"/>
      <c r="H223" s="617"/>
      <c r="I223" s="617"/>
      <c r="J223" s="617"/>
      <c r="K223" s="1693">
        <f t="shared" si="19"/>
        <v>1501</v>
      </c>
      <c r="L223" s="466">
        <v>3486</v>
      </c>
    </row>
    <row r="224" spans="1:14" x14ac:dyDescent="0.2">
      <c r="A224" s="1526" t="s">
        <v>1021</v>
      </c>
      <c r="B224" s="615">
        <v>1600</v>
      </c>
      <c r="C224" s="617"/>
      <c r="D224" s="466">
        <v>0</v>
      </c>
      <c r="E224" s="617"/>
      <c r="F224" s="617"/>
      <c r="G224" s="617"/>
      <c r="H224" s="617"/>
      <c r="I224" s="617"/>
      <c r="J224" s="617"/>
      <c r="K224" s="1693">
        <f t="shared" si="19"/>
        <v>0</v>
      </c>
      <c r="L224" s="466">
        <v>0</v>
      </c>
    </row>
    <row r="225" spans="1:12" x14ac:dyDescent="0.2">
      <c r="A225" s="1526" t="s">
        <v>1044</v>
      </c>
      <c r="B225" s="615">
        <v>1650</v>
      </c>
      <c r="C225" s="617"/>
      <c r="D225" s="466">
        <v>0</v>
      </c>
      <c r="E225" s="617"/>
      <c r="F225" s="617"/>
      <c r="G225" s="617"/>
      <c r="H225" s="617"/>
      <c r="I225" s="617"/>
      <c r="J225" s="617"/>
      <c r="K225" s="1693">
        <f t="shared" si="19"/>
        <v>0</v>
      </c>
      <c r="L225" s="466">
        <v>0</v>
      </c>
    </row>
    <row r="226" spans="1:12" x14ac:dyDescent="0.2">
      <c r="A226" s="1526" t="s">
        <v>748</v>
      </c>
      <c r="B226" s="615" t="s">
        <v>164</v>
      </c>
      <c r="C226" s="617"/>
      <c r="D226" s="467">
        <v>0</v>
      </c>
      <c r="E226" s="617"/>
      <c r="F226" s="617"/>
      <c r="G226" s="617"/>
      <c r="H226" s="617"/>
      <c r="I226" s="617"/>
      <c r="J226" s="617"/>
      <c r="K226" s="1693">
        <f t="shared" si="19"/>
        <v>0</v>
      </c>
      <c r="L226" s="466">
        <v>0</v>
      </c>
    </row>
    <row r="227" spans="1:12" x14ac:dyDescent="0.2">
      <c r="A227" s="1526" t="s">
        <v>1148</v>
      </c>
      <c r="B227" s="615">
        <v>1800</v>
      </c>
      <c r="C227" s="617"/>
      <c r="D227" s="466">
        <v>0</v>
      </c>
      <c r="E227" s="617"/>
      <c r="F227" s="617"/>
      <c r="G227" s="617"/>
      <c r="H227" s="617"/>
      <c r="I227" s="617"/>
      <c r="J227" s="617"/>
      <c r="K227" s="1693">
        <f t="shared" si="19"/>
        <v>0</v>
      </c>
      <c r="L227" s="466">
        <v>0</v>
      </c>
    </row>
    <row r="228" spans="1:12" x14ac:dyDescent="0.2">
      <c r="A228" s="1526" t="s">
        <v>1149</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36250</v>
      </c>
      <c r="E229" s="617"/>
      <c r="F229" s="617"/>
      <c r="G229" s="617"/>
      <c r="H229" s="617"/>
      <c r="I229" s="617"/>
      <c r="J229" s="617"/>
      <c r="K229" s="1692">
        <f>SUM(K215:K228)</f>
        <v>36250</v>
      </c>
      <c r="L229" s="1692">
        <f>SUM(L215:L228)</f>
        <v>44442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651</v>
      </c>
      <c r="E232" s="617"/>
      <c r="F232" s="617"/>
      <c r="G232" s="617"/>
      <c r="H232" s="617"/>
      <c r="I232" s="617"/>
      <c r="J232" s="617"/>
      <c r="K232" s="1693">
        <f t="shared" ref="K232:K237" si="20">D232</f>
        <v>651</v>
      </c>
      <c r="L232" s="466">
        <v>712</v>
      </c>
    </row>
    <row r="233" spans="1:12" x14ac:dyDescent="0.2">
      <c r="A233" s="1526" t="s">
        <v>1151</v>
      </c>
      <c r="B233" s="615">
        <v>2120</v>
      </c>
      <c r="C233" s="617"/>
      <c r="D233" s="466">
        <v>0</v>
      </c>
      <c r="E233" s="617"/>
      <c r="F233" s="617"/>
      <c r="G233" s="617"/>
      <c r="H233" s="617"/>
      <c r="I233" s="617"/>
      <c r="J233" s="617"/>
      <c r="K233" s="1693">
        <f t="shared" si="20"/>
        <v>0</v>
      </c>
      <c r="L233" s="466">
        <v>0</v>
      </c>
    </row>
    <row r="234" spans="1:12" x14ac:dyDescent="0.2">
      <c r="A234" s="1526" t="s">
        <v>207</v>
      </c>
      <c r="B234" s="615">
        <v>2130</v>
      </c>
      <c r="C234" s="617"/>
      <c r="D234" s="466">
        <v>13209</v>
      </c>
      <c r="E234" s="617"/>
      <c r="F234" s="617"/>
      <c r="G234" s="617"/>
      <c r="H234" s="617"/>
      <c r="I234" s="617"/>
      <c r="J234" s="617"/>
      <c r="K234" s="1693">
        <f t="shared" si="20"/>
        <v>13209</v>
      </c>
      <c r="L234" s="466">
        <v>14568</v>
      </c>
    </row>
    <row r="235" spans="1:12" x14ac:dyDescent="0.2">
      <c r="A235" s="1526" t="s">
        <v>208</v>
      </c>
      <c r="B235" s="615">
        <v>2140</v>
      </c>
      <c r="C235" s="617"/>
      <c r="D235" s="466">
        <v>0</v>
      </c>
      <c r="E235" s="617"/>
      <c r="F235" s="617"/>
      <c r="G235" s="617"/>
      <c r="H235" s="617"/>
      <c r="I235" s="617"/>
      <c r="J235" s="617"/>
      <c r="K235" s="1693">
        <f t="shared" si="20"/>
        <v>0</v>
      </c>
      <c r="L235" s="466">
        <v>0</v>
      </c>
    </row>
    <row r="236" spans="1:12" x14ac:dyDescent="0.2">
      <c r="A236" s="1526" t="s">
        <v>209</v>
      </c>
      <c r="B236" s="615">
        <v>2150</v>
      </c>
      <c r="C236" s="617"/>
      <c r="D236" s="466">
        <v>806</v>
      </c>
      <c r="E236" s="617"/>
      <c r="F236" s="617"/>
      <c r="G236" s="617"/>
      <c r="H236" s="617"/>
      <c r="I236" s="617"/>
      <c r="J236" s="617"/>
      <c r="K236" s="1693">
        <f t="shared" si="20"/>
        <v>806</v>
      </c>
      <c r="L236" s="466">
        <v>823</v>
      </c>
    </row>
    <row r="237" spans="1:12" x14ac:dyDescent="0.2">
      <c r="A237" s="1526" t="s">
        <v>167</v>
      </c>
      <c r="B237" s="615">
        <v>2190</v>
      </c>
      <c r="C237" s="617"/>
      <c r="D237" s="466">
        <v>0</v>
      </c>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14666</v>
      </c>
      <c r="E238" s="617"/>
      <c r="F238" s="617"/>
      <c r="G238" s="617"/>
      <c r="H238" s="617"/>
      <c r="I238" s="617"/>
      <c r="J238" s="617"/>
      <c r="K238" s="1692">
        <f>SUM(K232:K237)</f>
        <v>14666</v>
      </c>
      <c r="L238" s="1692">
        <f>SUM(L232:L237)</f>
        <v>16103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799</v>
      </c>
      <c r="E240" s="617"/>
      <c r="F240" s="617"/>
      <c r="G240" s="617"/>
      <c r="H240" s="617"/>
      <c r="I240" s="617"/>
      <c r="J240" s="617"/>
      <c r="K240" s="1694">
        <f>D240</f>
        <v>799</v>
      </c>
      <c r="L240" s="481">
        <v>892</v>
      </c>
    </row>
    <row r="241" spans="1:12" x14ac:dyDescent="0.2">
      <c r="A241" s="1526" t="s">
        <v>869</v>
      </c>
      <c r="B241" s="615">
        <v>2220</v>
      </c>
      <c r="C241" s="617"/>
      <c r="D241" s="466">
        <v>0</v>
      </c>
      <c r="E241" s="617"/>
      <c r="F241" s="617"/>
      <c r="G241" s="617"/>
      <c r="H241" s="617"/>
      <c r="I241" s="617"/>
      <c r="J241" s="617"/>
      <c r="K241" s="1694">
        <f>D241</f>
        <v>0</v>
      </c>
      <c r="L241" s="466">
        <v>0</v>
      </c>
    </row>
    <row r="242" spans="1:12" x14ac:dyDescent="0.2">
      <c r="A242" s="1526" t="s">
        <v>870</v>
      </c>
      <c r="B242" s="615">
        <v>2230</v>
      </c>
      <c r="C242" s="617"/>
      <c r="D242" s="466">
        <v>0</v>
      </c>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799</v>
      </c>
      <c r="E243" s="617"/>
      <c r="F243" s="617"/>
      <c r="G243" s="617"/>
      <c r="H243" s="617"/>
      <c r="I243" s="617"/>
      <c r="J243" s="617"/>
      <c r="K243" s="1692">
        <f>SUM(K240:K242)</f>
        <v>799</v>
      </c>
      <c r="L243" s="1692">
        <f>SUM(L240:L242)</f>
        <v>892</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0</v>
      </c>
      <c r="E245" s="617"/>
      <c r="F245" s="617"/>
      <c r="G245" s="617"/>
      <c r="H245" s="617"/>
      <c r="I245" s="617"/>
      <c r="J245" s="617"/>
      <c r="K245" s="1694">
        <f>D245</f>
        <v>0</v>
      </c>
      <c r="L245" s="481">
        <v>0</v>
      </c>
    </row>
    <row r="246" spans="1:12" x14ac:dyDescent="0.2">
      <c r="A246" s="1526" t="s">
        <v>872</v>
      </c>
      <c r="B246" s="615">
        <v>2320</v>
      </c>
      <c r="C246" s="617"/>
      <c r="D246" s="466">
        <v>1470</v>
      </c>
      <c r="E246" s="617"/>
      <c r="F246" s="617"/>
      <c r="G246" s="617"/>
      <c r="H246" s="617"/>
      <c r="I246" s="617"/>
      <c r="J246" s="617"/>
      <c r="K246" s="1694">
        <f t="shared" ref="K246:K256" si="21">D246</f>
        <v>1470</v>
      </c>
      <c r="L246" s="466">
        <v>1486</v>
      </c>
    </row>
    <row r="247" spans="1:12" x14ac:dyDescent="0.2">
      <c r="A247" s="1526" t="s">
        <v>873</v>
      </c>
      <c r="B247" s="615">
        <v>2330</v>
      </c>
      <c r="C247" s="617"/>
      <c r="D247" s="466">
        <v>0</v>
      </c>
      <c r="E247" s="617"/>
      <c r="F247" s="617"/>
      <c r="G247" s="617"/>
      <c r="H247" s="617"/>
      <c r="I247" s="617"/>
      <c r="J247" s="617"/>
      <c r="K247" s="1694">
        <f t="shared" si="21"/>
        <v>0</v>
      </c>
      <c r="L247" s="466">
        <v>0</v>
      </c>
    </row>
    <row r="248" spans="1:12" x14ac:dyDescent="0.2">
      <c r="A248" s="1527" t="s">
        <v>317</v>
      </c>
      <c r="B248" s="603" t="s">
        <v>299</v>
      </c>
      <c r="C248" s="617"/>
      <c r="D248" s="474">
        <v>0</v>
      </c>
      <c r="E248" s="617"/>
      <c r="F248" s="617"/>
      <c r="G248" s="617"/>
      <c r="H248" s="617"/>
      <c r="I248" s="617"/>
      <c r="J248" s="617"/>
      <c r="K248" s="1694">
        <f t="shared" si="21"/>
        <v>0</v>
      </c>
      <c r="L248" s="466">
        <v>0</v>
      </c>
    </row>
    <row r="249" spans="1:12" x14ac:dyDescent="0.2">
      <c r="A249" s="1528" t="s">
        <v>1908</v>
      </c>
      <c r="B249" s="684" t="s">
        <v>300</v>
      </c>
      <c r="C249" s="617"/>
      <c r="D249" s="474">
        <v>0</v>
      </c>
      <c r="E249" s="617"/>
      <c r="F249" s="617"/>
      <c r="G249" s="617"/>
      <c r="H249" s="617"/>
      <c r="I249" s="617"/>
      <c r="J249" s="617"/>
      <c r="K249" s="1694">
        <f t="shared" si="21"/>
        <v>0</v>
      </c>
      <c r="L249" s="466">
        <v>0</v>
      </c>
    </row>
    <row r="250" spans="1:12" x14ac:dyDescent="0.2">
      <c r="A250" s="1527" t="s">
        <v>1909</v>
      </c>
      <c r="B250" s="603" t="s">
        <v>301</v>
      </c>
      <c r="C250" s="617"/>
      <c r="D250" s="474">
        <v>0</v>
      </c>
      <c r="E250" s="617"/>
      <c r="F250" s="617"/>
      <c r="G250" s="617"/>
      <c r="H250" s="617"/>
      <c r="I250" s="617"/>
      <c r="J250" s="617"/>
      <c r="K250" s="1694">
        <f t="shared" si="21"/>
        <v>0</v>
      </c>
      <c r="L250" s="466">
        <v>0</v>
      </c>
    </row>
    <row r="251" spans="1:12" x14ac:dyDescent="0.2">
      <c r="A251" s="1527" t="s">
        <v>256</v>
      </c>
      <c r="B251" s="603" t="s">
        <v>302</v>
      </c>
      <c r="C251" s="617"/>
      <c r="D251" s="474">
        <v>0</v>
      </c>
      <c r="E251" s="617"/>
      <c r="F251" s="617"/>
      <c r="G251" s="617"/>
      <c r="H251" s="617"/>
      <c r="I251" s="617"/>
      <c r="J251" s="617"/>
      <c r="K251" s="1694">
        <f t="shared" si="21"/>
        <v>0</v>
      </c>
      <c r="L251" s="466">
        <v>0</v>
      </c>
    </row>
    <row r="252" spans="1:12" x14ac:dyDescent="0.2">
      <c r="A252" s="1527" t="s">
        <v>726</v>
      </c>
      <c r="B252" s="603" t="s">
        <v>303</v>
      </c>
      <c r="C252" s="617"/>
      <c r="D252" s="474">
        <v>0</v>
      </c>
      <c r="E252" s="617"/>
      <c r="F252" s="617"/>
      <c r="G252" s="617"/>
      <c r="H252" s="617"/>
      <c r="I252" s="617"/>
      <c r="J252" s="617"/>
      <c r="K252" s="1694">
        <f t="shared" si="21"/>
        <v>0</v>
      </c>
      <c r="L252" s="466">
        <v>0</v>
      </c>
    </row>
    <row r="253" spans="1:12" x14ac:dyDescent="0.2">
      <c r="A253" s="1527" t="s">
        <v>257</v>
      </c>
      <c r="B253" s="603" t="s">
        <v>304</v>
      </c>
      <c r="C253" s="617"/>
      <c r="D253" s="474">
        <v>0</v>
      </c>
      <c r="E253" s="617"/>
      <c r="F253" s="617"/>
      <c r="G253" s="617"/>
      <c r="H253" s="617"/>
      <c r="I253" s="617"/>
      <c r="J253" s="617"/>
      <c r="K253" s="1694">
        <f t="shared" si="21"/>
        <v>0</v>
      </c>
      <c r="L253" s="466">
        <v>0</v>
      </c>
    </row>
    <row r="254" spans="1:12" ht="22.5" x14ac:dyDescent="0.2">
      <c r="A254" s="1527" t="s">
        <v>1087</v>
      </c>
      <c r="B254" s="684" t="s">
        <v>305</v>
      </c>
      <c r="C254" s="617"/>
      <c r="D254" s="474">
        <v>0</v>
      </c>
      <c r="E254" s="617"/>
      <c r="F254" s="617"/>
      <c r="G254" s="617"/>
      <c r="H254" s="617"/>
      <c r="I254" s="617"/>
      <c r="J254" s="617"/>
      <c r="K254" s="1694">
        <f t="shared" si="21"/>
        <v>0</v>
      </c>
      <c r="L254" s="466">
        <v>0</v>
      </c>
    </row>
    <row r="255" spans="1:12" x14ac:dyDescent="0.2">
      <c r="A255" s="1527" t="s">
        <v>1088</v>
      </c>
      <c r="B255" s="603" t="s">
        <v>306</v>
      </c>
      <c r="C255" s="617"/>
      <c r="D255" s="474">
        <v>0</v>
      </c>
      <c r="E255" s="617"/>
      <c r="F255" s="617"/>
      <c r="G255" s="617"/>
      <c r="H255" s="617"/>
      <c r="I255" s="617"/>
      <c r="J255" s="617"/>
      <c r="K255" s="1694">
        <f t="shared" si="21"/>
        <v>0</v>
      </c>
      <c r="L255" s="466">
        <v>0</v>
      </c>
    </row>
    <row r="256" spans="1:12" x14ac:dyDescent="0.2">
      <c r="A256" s="1527" t="s">
        <v>1028</v>
      </c>
      <c r="B256" s="615" t="s">
        <v>307</v>
      </c>
      <c r="C256" s="617"/>
      <c r="D256" s="474">
        <v>0</v>
      </c>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1470</v>
      </c>
      <c r="E257" s="617"/>
      <c r="F257" s="617"/>
      <c r="G257" s="617"/>
      <c r="H257" s="617"/>
      <c r="I257" s="617"/>
      <c r="J257" s="617"/>
      <c r="K257" s="1692">
        <f>SUM(K245:K256)</f>
        <v>1470</v>
      </c>
      <c r="L257" s="1692">
        <f>SUM(L245:L256)</f>
        <v>1486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8684</v>
      </c>
      <c r="E259" s="617"/>
      <c r="F259" s="617"/>
      <c r="G259" s="617"/>
      <c r="H259" s="617"/>
      <c r="I259" s="617"/>
      <c r="J259" s="617"/>
      <c r="K259" s="1694">
        <f>D259</f>
        <v>8684</v>
      </c>
      <c r="L259" s="481">
        <v>10868</v>
      </c>
    </row>
    <row r="260" spans="1:14" s="598" customFormat="1" x14ac:dyDescent="0.2">
      <c r="A260" s="1544" t="s">
        <v>1907</v>
      </c>
      <c r="B260" s="629">
        <v>2490</v>
      </c>
      <c r="C260" s="617"/>
      <c r="D260" s="466">
        <v>0</v>
      </c>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8684</v>
      </c>
      <c r="E261" s="617"/>
      <c r="F261" s="617"/>
      <c r="G261" s="617"/>
      <c r="H261" s="617"/>
      <c r="I261" s="617"/>
      <c r="J261" s="617"/>
      <c r="K261" s="1692">
        <f>SUM(K259:K260)</f>
        <v>8684</v>
      </c>
      <c r="L261" s="1692">
        <f>SUM(L259:L260)</f>
        <v>10868</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0</v>
      </c>
      <c r="E263" s="617"/>
      <c r="F263" s="617"/>
      <c r="G263" s="617"/>
      <c r="H263" s="617"/>
      <c r="I263" s="617"/>
      <c r="J263" s="617"/>
      <c r="K263" s="1694">
        <f>D263</f>
        <v>0</v>
      </c>
      <c r="L263" s="481">
        <v>0</v>
      </c>
    </row>
    <row r="264" spans="1:14" x14ac:dyDescent="0.2">
      <c r="A264" s="1526" t="s">
        <v>483</v>
      </c>
      <c r="B264" s="686">
        <v>2520</v>
      </c>
      <c r="C264" s="617"/>
      <c r="D264" s="466">
        <v>8539</v>
      </c>
      <c r="E264" s="617"/>
      <c r="F264" s="617"/>
      <c r="G264" s="617"/>
      <c r="H264" s="617"/>
      <c r="I264" s="617"/>
      <c r="J264" s="617"/>
      <c r="K264" s="1694">
        <f t="shared" ref="K264:K269" si="22">D264</f>
        <v>8539</v>
      </c>
      <c r="L264" s="466">
        <v>8830</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7263</v>
      </c>
      <c r="E266" s="617"/>
      <c r="F266" s="617"/>
      <c r="G266" s="617"/>
      <c r="H266" s="617"/>
      <c r="I266" s="617"/>
      <c r="J266" s="617"/>
      <c r="K266" s="1694">
        <f t="shared" si="22"/>
        <v>7263</v>
      </c>
      <c r="L266" s="466">
        <v>7381</v>
      </c>
    </row>
    <row r="267" spans="1:14" x14ac:dyDescent="0.2">
      <c r="A267" s="1526" t="s">
        <v>1010</v>
      </c>
      <c r="B267" s="615">
        <v>2550</v>
      </c>
      <c r="C267" s="617"/>
      <c r="D267" s="466">
        <v>128</v>
      </c>
      <c r="E267" s="617"/>
      <c r="F267" s="617"/>
      <c r="G267" s="617"/>
      <c r="H267" s="617"/>
      <c r="I267" s="617"/>
      <c r="J267" s="617"/>
      <c r="K267" s="1694">
        <f t="shared" si="22"/>
        <v>128</v>
      </c>
      <c r="L267" s="466">
        <v>129</v>
      </c>
    </row>
    <row r="268" spans="1:14" x14ac:dyDescent="0.2">
      <c r="A268" s="1526" t="s">
        <v>102</v>
      </c>
      <c r="B268" s="615">
        <v>2560</v>
      </c>
      <c r="C268" s="617"/>
      <c r="D268" s="466">
        <v>1087</v>
      </c>
      <c r="E268" s="617"/>
      <c r="F268" s="617"/>
      <c r="G268" s="617"/>
      <c r="H268" s="617"/>
      <c r="I268" s="617"/>
      <c r="J268" s="617"/>
      <c r="K268" s="1694">
        <f t="shared" si="22"/>
        <v>1087</v>
      </c>
      <c r="L268" s="466">
        <v>0</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17017</v>
      </c>
      <c r="E270" s="617"/>
      <c r="F270" s="617"/>
      <c r="G270" s="617"/>
      <c r="H270" s="617"/>
      <c r="I270" s="617"/>
      <c r="J270" s="617"/>
      <c r="K270" s="1692">
        <f>SUM(K263:K269)</f>
        <v>17017</v>
      </c>
      <c r="L270" s="1692">
        <f>SUM(L263:L269)</f>
        <v>16340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4">
        <f>D272</f>
        <v>0</v>
      </c>
      <c r="L272" s="481">
        <v>0</v>
      </c>
    </row>
    <row r="273" spans="1:12" x14ac:dyDescent="0.2">
      <c r="A273" s="1526" t="s">
        <v>628</v>
      </c>
      <c r="B273" s="629">
        <v>2620</v>
      </c>
      <c r="C273" s="617"/>
      <c r="D273" s="466">
        <v>0</v>
      </c>
      <c r="E273" s="617"/>
      <c r="F273" s="617"/>
      <c r="G273" s="617"/>
      <c r="H273" s="617"/>
      <c r="I273" s="617"/>
      <c r="J273" s="617"/>
      <c r="K273" s="1694">
        <f>D273</f>
        <v>0</v>
      </c>
      <c r="L273" s="466">
        <v>0</v>
      </c>
    </row>
    <row r="274" spans="1:12" ht="12" customHeight="1" x14ac:dyDescent="0.2">
      <c r="A274" s="1526" t="s">
        <v>1121</v>
      </c>
      <c r="B274" s="615">
        <v>2630</v>
      </c>
      <c r="C274" s="617"/>
      <c r="D274" s="466">
        <v>0</v>
      </c>
      <c r="E274" s="617"/>
      <c r="F274" s="617"/>
      <c r="G274" s="617"/>
      <c r="H274" s="617"/>
      <c r="I274" s="617"/>
      <c r="J274" s="617"/>
      <c r="K274" s="1694">
        <f>D274</f>
        <v>0</v>
      </c>
      <c r="L274" s="466">
        <v>0</v>
      </c>
    </row>
    <row r="275" spans="1:12" x14ac:dyDescent="0.2">
      <c r="A275" s="1526" t="s">
        <v>423</v>
      </c>
      <c r="B275" s="615">
        <v>2640</v>
      </c>
      <c r="C275" s="617"/>
      <c r="D275" s="466">
        <v>0</v>
      </c>
      <c r="E275" s="617"/>
      <c r="F275" s="617"/>
      <c r="G275" s="617"/>
      <c r="H275" s="617"/>
      <c r="I275" s="617"/>
      <c r="J275" s="617"/>
      <c r="K275" s="1694">
        <f>D275</f>
        <v>0</v>
      </c>
      <c r="L275" s="466">
        <v>0</v>
      </c>
    </row>
    <row r="276" spans="1:12" x14ac:dyDescent="0.2">
      <c r="A276" s="1526" t="s">
        <v>424</v>
      </c>
      <c r="B276" s="615">
        <v>2660</v>
      </c>
      <c r="C276" s="617"/>
      <c r="D276" s="466">
        <v>0</v>
      </c>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v>0</v>
      </c>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42636</v>
      </c>
      <c r="E279" s="617"/>
      <c r="F279" s="617"/>
      <c r="G279" s="617"/>
      <c r="H279" s="617"/>
      <c r="I279" s="617"/>
      <c r="J279" s="617"/>
      <c r="K279" s="1699">
        <f>SUM(K238,K243,K257,K261,K270,K277,K278)</f>
        <v>42636</v>
      </c>
      <c r="L279" s="1699">
        <f>SUM(L238,L243,L257,L261,L270,L277,L278)</f>
        <v>45689</v>
      </c>
    </row>
    <row r="280" spans="1:12" ht="15.75" customHeight="1" thickTop="1" thickBot="1" x14ac:dyDescent="0.25">
      <c r="A280" s="1646" t="s">
        <v>930</v>
      </c>
      <c r="B280" s="1635">
        <v>3000</v>
      </c>
      <c r="C280" s="617"/>
      <c r="D280" s="576">
        <v>0</v>
      </c>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v>0</v>
      </c>
      <c r="E282" s="617"/>
      <c r="F282" s="617"/>
      <c r="G282" s="617"/>
      <c r="H282" s="617"/>
      <c r="I282" s="617"/>
      <c r="J282" s="617"/>
      <c r="K282" s="1693">
        <f>D282</f>
        <v>0</v>
      </c>
      <c r="L282" s="467">
        <v>0</v>
      </c>
    </row>
    <row r="283" spans="1:12" x14ac:dyDescent="0.2">
      <c r="A283" s="1526" t="s">
        <v>322</v>
      </c>
      <c r="B283" s="615">
        <v>4120</v>
      </c>
      <c r="C283" s="617"/>
      <c r="D283" s="466">
        <v>0</v>
      </c>
      <c r="E283" s="617"/>
      <c r="F283" s="617"/>
      <c r="G283" s="617"/>
      <c r="H283" s="617"/>
      <c r="I283" s="617"/>
      <c r="J283" s="617"/>
      <c r="K283" s="1693">
        <f>D283</f>
        <v>0</v>
      </c>
      <c r="L283" s="466">
        <v>0</v>
      </c>
    </row>
    <row r="284" spans="1:12" x14ac:dyDescent="0.2">
      <c r="A284" s="1526" t="s">
        <v>721</v>
      </c>
      <c r="B284" s="615">
        <v>4140</v>
      </c>
      <c r="C284" s="617"/>
      <c r="D284" s="467">
        <v>0</v>
      </c>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1232</v>
      </c>
      <c r="B290" s="629" t="s">
        <v>638</v>
      </c>
      <c r="C290" s="617"/>
      <c r="D290" s="617"/>
      <c r="E290" s="617"/>
      <c r="F290" s="617"/>
      <c r="G290" s="617"/>
      <c r="H290" s="466">
        <v>0</v>
      </c>
      <c r="I290" s="617"/>
      <c r="J290" s="617"/>
      <c r="K290" s="1693">
        <f>H290</f>
        <v>0</v>
      </c>
      <c r="L290" s="466">
        <v>0</v>
      </c>
    </row>
    <row r="291" spans="1:14" x14ac:dyDescent="0.2">
      <c r="A291" s="1526" t="s">
        <v>91</v>
      </c>
      <c r="B291" s="615" t="s">
        <v>610</v>
      </c>
      <c r="C291" s="617"/>
      <c r="D291" s="617"/>
      <c r="E291" s="617"/>
      <c r="F291" s="617"/>
      <c r="G291" s="617"/>
      <c r="H291" s="466">
        <v>0</v>
      </c>
      <c r="I291" s="617"/>
      <c r="J291" s="617"/>
      <c r="K291" s="1693">
        <f>H291</f>
        <v>0</v>
      </c>
      <c r="L291" s="466">
        <v>0</v>
      </c>
    </row>
    <row r="292" spans="1:14" x14ac:dyDescent="0.2">
      <c r="A292" s="1526" t="s">
        <v>786</v>
      </c>
      <c r="B292" s="615" t="s">
        <v>639</v>
      </c>
      <c r="C292" s="617"/>
      <c r="D292" s="617"/>
      <c r="E292" s="617"/>
      <c r="F292" s="617"/>
      <c r="G292" s="617"/>
      <c r="H292" s="466">
        <v>0</v>
      </c>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89" t="s">
        <v>526</v>
      </c>
      <c r="B295" s="2190"/>
      <c r="C295" s="617"/>
      <c r="D295" s="1692">
        <f>SUM(D229,D279,D280,D285)</f>
        <v>78886</v>
      </c>
      <c r="E295" s="617"/>
      <c r="F295" s="617"/>
      <c r="G295" s="617"/>
      <c r="H295" s="1692">
        <f>H293</f>
        <v>0</v>
      </c>
      <c r="I295" s="617"/>
      <c r="J295" s="617"/>
      <c r="K295" s="1692">
        <f>SUM(K229,K279,K280,K285,K293,K294)</f>
        <v>78886</v>
      </c>
      <c r="L295" s="1692">
        <f>SUM(L229,L279,L280,L285,L293,L294)</f>
        <v>90131</v>
      </c>
    </row>
    <row r="296" spans="1:14" ht="13.5" thickTop="1" x14ac:dyDescent="0.2">
      <c r="A296" s="2198" t="s">
        <v>1053</v>
      </c>
      <c r="B296" s="2199"/>
      <c r="C296" s="617"/>
      <c r="D296" s="619"/>
      <c r="E296" s="617"/>
      <c r="F296" s="617"/>
      <c r="G296" s="617"/>
      <c r="H296" s="688"/>
      <c r="I296" s="617"/>
      <c r="J296" s="617"/>
      <c r="K296" s="1706">
        <f>'Revenues 9-14'!G275-'Expenditures 15-22'!K295</f>
        <v>85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0</v>
      </c>
      <c r="F301" s="466">
        <v>0</v>
      </c>
      <c r="G301" s="466">
        <v>5402487</v>
      </c>
      <c r="H301" s="466">
        <v>0</v>
      </c>
      <c r="I301" s="467">
        <v>0</v>
      </c>
      <c r="J301" s="467">
        <v>0</v>
      </c>
      <c r="K301" s="1693">
        <f>SUM(C301:J301)</f>
        <v>5402487</v>
      </c>
      <c r="L301" s="467">
        <v>5380968</v>
      </c>
    </row>
    <row r="302" spans="1:14" ht="13.5" customHeight="1" x14ac:dyDescent="0.2">
      <c r="A302" s="1539" t="s">
        <v>1037</v>
      </c>
      <c r="B302" s="615" t="s">
        <v>595</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5402487</v>
      </c>
      <c r="H303" s="1699">
        <f t="shared" si="23"/>
        <v>0</v>
      </c>
      <c r="I303" s="1699">
        <f t="shared" si="23"/>
        <v>0</v>
      </c>
      <c r="J303" s="1699">
        <f t="shared" si="23"/>
        <v>0</v>
      </c>
      <c r="K303" s="1699">
        <f t="shared" si="23"/>
        <v>5402487</v>
      </c>
      <c r="L303" s="1699">
        <f t="shared" si="23"/>
        <v>5380968</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v>0</v>
      </c>
      <c r="F306" s="617"/>
      <c r="G306" s="617"/>
      <c r="H306" s="467">
        <v>0</v>
      </c>
      <c r="I306" s="617"/>
      <c r="J306" s="617"/>
      <c r="K306" s="1693">
        <f>SUM(E306,H306)</f>
        <v>0</v>
      </c>
      <c r="L306" s="467">
        <v>0</v>
      </c>
    </row>
    <row r="307" spans="1:14" x14ac:dyDescent="0.2">
      <c r="A307" s="1526" t="s">
        <v>322</v>
      </c>
      <c r="B307" s="615">
        <v>4120</v>
      </c>
      <c r="C307" s="617"/>
      <c r="D307" s="617"/>
      <c r="E307" s="467">
        <v>0</v>
      </c>
      <c r="F307" s="617"/>
      <c r="G307" s="617"/>
      <c r="H307" s="467">
        <v>0</v>
      </c>
      <c r="I307" s="477"/>
      <c r="J307" s="617"/>
      <c r="K307" s="1693">
        <f>SUM(E307,H307)</f>
        <v>0</v>
      </c>
      <c r="L307" s="466">
        <v>0</v>
      </c>
    </row>
    <row r="308" spans="1:14" x14ac:dyDescent="0.2">
      <c r="A308" s="1526" t="s">
        <v>721</v>
      </c>
      <c r="B308" s="615">
        <v>4140</v>
      </c>
      <c r="C308" s="617"/>
      <c r="D308" s="617"/>
      <c r="E308" s="467">
        <v>0</v>
      </c>
      <c r="F308" s="617"/>
      <c r="G308" s="617"/>
      <c r="H308" s="467">
        <v>0</v>
      </c>
      <c r="I308" s="477"/>
      <c r="J308" s="617"/>
      <c r="K308" s="1693">
        <f>SUM(E308,H308)</f>
        <v>0</v>
      </c>
      <c r="L308" s="466">
        <v>0</v>
      </c>
    </row>
    <row r="309" spans="1:14" ht="12.75" customHeight="1" x14ac:dyDescent="0.2">
      <c r="A309" s="1530" t="s">
        <v>722</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6" t="s">
        <v>295</v>
      </c>
      <c r="B312" s="2187"/>
      <c r="C312" s="1692">
        <f>SUM(C303)</f>
        <v>0</v>
      </c>
      <c r="D312" s="1692">
        <f>SUM(D303)</f>
        <v>0</v>
      </c>
      <c r="E312" s="1692">
        <f>SUM(E303,E310)</f>
        <v>0</v>
      </c>
      <c r="F312" s="1692">
        <f>SUM(F303)</f>
        <v>0</v>
      </c>
      <c r="G312" s="1692">
        <f>SUM(G303)</f>
        <v>5402487</v>
      </c>
      <c r="H312" s="1692">
        <f>SUM(H303,H310)</f>
        <v>0</v>
      </c>
      <c r="I312" s="1692">
        <f>SUM(I303)</f>
        <v>0</v>
      </c>
      <c r="J312" s="1692">
        <f>SUM(J303)</f>
        <v>0</v>
      </c>
      <c r="K312" s="1692">
        <f>SUM(K303,K310,K311)</f>
        <v>5402487</v>
      </c>
      <c r="L312" s="1692">
        <f>SUM(L303,L310,L311)</f>
        <v>5380968</v>
      </c>
      <c r="M312" s="666"/>
      <c r="N312" s="666"/>
    </row>
    <row r="313" spans="1:14" ht="13.5" thickTop="1" x14ac:dyDescent="0.2">
      <c r="A313" s="2182" t="s">
        <v>1053</v>
      </c>
      <c r="B313" s="2183"/>
      <c r="C313" s="627"/>
      <c r="D313" s="627"/>
      <c r="E313" s="627"/>
      <c r="F313" s="627"/>
      <c r="G313" s="627"/>
      <c r="H313" s="627"/>
      <c r="I313" s="627"/>
      <c r="J313" s="627"/>
      <c r="K313" s="1707">
        <f>'Revenues 9-14'!H275-'Expenditures 15-22'!K312</f>
        <v>-5402487</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1908</v>
      </c>
      <c r="B320" s="699" t="s">
        <v>300</v>
      </c>
      <c r="C320" s="467">
        <v>0</v>
      </c>
      <c r="D320" s="467">
        <v>0</v>
      </c>
      <c r="E320" s="467">
        <v>0</v>
      </c>
      <c r="F320" s="467">
        <v>0</v>
      </c>
      <c r="G320" s="467">
        <v>0</v>
      </c>
      <c r="H320" s="467">
        <v>0</v>
      </c>
      <c r="I320" s="467">
        <v>0</v>
      </c>
      <c r="J320" s="467">
        <v>0</v>
      </c>
      <c r="K320" s="1693">
        <f t="shared" ref="K320:K327" si="24">SUM(C320:J320)</f>
        <v>0</v>
      </c>
      <c r="L320" s="467">
        <v>0</v>
      </c>
      <c r="M320" s="666"/>
      <c r="N320" s="666"/>
    </row>
    <row r="321" spans="1:14" s="675" customFormat="1" x14ac:dyDescent="0.2">
      <c r="A321" s="1541" t="s">
        <v>318</v>
      </c>
      <c r="B321" s="698" t="s">
        <v>301</v>
      </c>
      <c r="C321" s="467">
        <v>0</v>
      </c>
      <c r="D321" s="467">
        <v>4456</v>
      </c>
      <c r="E321" s="467">
        <v>0</v>
      </c>
      <c r="F321" s="467">
        <v>0</v>
      </c>
      <c r="G321" s="467">
        <v>0</v>
      </c>
      <c r="H321" s="467">
        <v>0</v>
      </c>
      <c r="I321" s="467">
        <v>0</v>
      </c>
      <c r="J321" s="467">
        <v>0</v>
      </c>
      <c r="K321" s="1693">
        <f t="shared" si="24"/>
        <v>4456</v>
      </c>
      <c r="L321" s="467">
        <v>15000</v>
      </c>
      <c r="M321" s="666"/>
      <c r="N321" s="666"/>
    </row>
    <row r="322" spans="1:14" s="675" customFormat="1" x14ac:dyDescent="0.2">
      <c r="A322" s="1541" t="s">
        <v>256</v>
      </c>
      <c r="B322" s="698" t="s">
        <v>302</v>
      </c>
      <c r="C322" s="467">
        <v>0</v>
      </c>
      <c r="D322" s="467">
        <v>0</v>
      </c>
      <c r="E322" s="467">
        <v>49857</v>
      </c>
      <c r="F322" s="467">
        <v>0</v>
      </c>
      <c r="G322" s="467">
        <v>0</v>
      </c>
      <c r="H322" s="467">
        <v>0</v>
      </c>
      <c r="I322" s="467">
        <v>0</v>
      </c>
      <c r="J322" s="467">
        <v>0</v>
      </c>
      <c r="K322" s="1693">
        <f t="shared" si="24"/>
        <v>49857</v>
      </c>
      <c r="L322" s="467">
        <v>49935</v>
      </c>
      <c r="M322" s="666"/>
      <c r="N322" s="666"/>
    </row>
    <row r="323" spans="1:14" s="675" customFormat="1" x14ac:dyDescent="0.2">
      <c r="A323" s="1541" t="s">
        <v>726</v>
      </c>
      <c r="B323" s="698" t="s">
        <v>303</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1028</v>
      </c>
      <c r="B327" s="698" t="s">
        <v>307</v>
      </c>
      <c r="C327" s="467">
        <v>0</v>
      </c>
      <c r="D327" s="467">
        <v>0</v>
      </c>
      <c r="E327" s="467">
        <v>26447</v>
      </c>
      <c r="F327" s="467">
        <v>0</v>
      </c>
      <c r="G327" s="467">
        <v>0</v>
      </c>
      <c r="H327" s="467">
        <v>0</v>
      </c>
      <c r="I327" s="467">
        <v>0</v>
      </c>
      <c r="J327" s="467">
        <v>0</v>
      </c>
      <c r="K327" s="1693">
        <f t="shared" si="24"/>
        <v>26447</v>
      </c>
      <c r="L327" s="467">
        <v>60000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4456</v>
      </c>
      <c r="E330" s="1692">
        <f t="shared" si="25"/>
        <v>76304</v>
      </c>
      <c r="F330" s="1692">
        <f t="shared" si="25"/>
        <v>0</v>
      </c>
      <c r="G330" s="1692">
        <f t="shared" si="25"/>
        <v>0</v>
      </c>
      <c r="H330" s="1692">
        <f t="shared" si="25"/>
        <v>0</v>
      </c>
      <c r="I330" s="1692">
        <f t="shared" si="25"/>
        <v>0</v>
      </c>
      <c r="J330" s="1692">
        <f t="shared" si="25"/>
        <v>0</v>
      </c>
      <c r="K330" s="1692">
        <f>SUM(K319:K329)</f>
        <v>80760</v>
      </c>
      <c r="L330" s="1692">
        <f>SUM(L319:L329)</f>
        <v>124935</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3">
        <f>H337</f>
        <v>0</v>
      </c>
      <c r="L337" s="478">
        <v>0</v>
      </c>
    </row>
    <row r="338" spans="1:14" ht="12.75" customHeight="1" x14ac:dyDescent="0.2">
      <c r="A338" s="1540" t="s">
        <v>1232</v>
      </c>
      <c r="B338" s="691" t="s">
        <v>638</v>
      </c>
      <c r="C338" s="639"/>
      <c r="D338" s="639"/>
      <c r="E338" s="639"/>
      <c r="F338" s="639"/>
      <c r="G338" s="639"/>
      <c r="H338" s="478">
        <v>0</v>
      </c>
      <c r="I338" s="639"/>
      <c r="J338" s="639"/>
      <c r="K338" s="1693">
        <f>H338</f>
        <v>0</v>
      </c>
      <c r="L338" s="478">
        <v>0</v>
      </c>
    </row>
    <row r="339" spans="1:14" x14ac:dyDescent="0.2">
      <c r="A339" s="1526" t="s">
        <v>957</v>
      </c>
      <c r="B339" s="629">
        <v>5150</v>
      </c>
      <c r="C339" s="639"/>
      <c r="D339" s="639"/>
      <c r="E339" s="639"/>
      <c r="F339" s="639"/>
      <c r="G339" s="639"/>
      <c r="H339" s="467">
        <v>0</v>
      </c>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4456</v>
      </c>
      <c r="E342" s="1692">
        <f>SUM(E330)</f>
        <v>76304</v>
      </c>
      <c r="F342" s="1692">
        <f>SUM(F330)</f>
        <v>0</v>
      </c>
      <c r="G342" s="1692">
        <f>SUM(G330)</f>
        <v>0</v>
      </c>
      <c r="H342" s="1692">
        <f>SUM(H330,H334,H340)</f>
        <v>0</v>
      </c>
      <c r="I342" s="1692">
        <f>SUM(I330)</f>
        <v>0</v>
      </c>
      <c r="J342" s="1692">
        <f>SUM(J330)</f>
        <v>0</v>
      </c>
      <c r="K342" s="1692">
        <f>SUM(K330,K334,K340)</f>
        <v>80760</v>
      </c>
      <c r="L342" s="1699">
        <f>SUM(L330,L340,L341)</f>
        <v>124935</v>
      </c>
    </row>
    <row r="343" spans="1:14" ht="12.75" customHeight="1" thickTop="1" x14ac:dyDescent="0.2">
      <c r="A343" s="2184" t="s">
        <v>1053</v>
      </c>
      <c r="B343" s="2185"/>
      <c r="C343" s="617"/>
      <c r="D343" s="617"/>
      <c r="E343" s="617"/>
      <c r="F343" s="617"/>
      <c r="G343" s="617"/>
      <c r="H343" s="617"/>
      <c r="I343" s="617"/>
      <c r="J343" s="617"/>
      <c r="K343" s="1706">
        <f>'Revenues 9-14'!J275-'Expenditures 15-22'!K342</f>
        <v>-39467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v>0</v>
      </c>
      <c r="I354" s="702"/>
      <c r="J354" s="617"/>
      <c r="K354" s="1721">
        <f>H354</f>
        <v>0</v>
      </c>
      <c r="L354" s="471">
        <v>0</v>
      </c>
    </row>
    <row r="355" spans="1:14" ht="12.75" customHeight="1" x14ac:dyDescent="0.2">
      <c r="A355" s="1535" t="s">
        <v>1966</v>
      </c>
      <c r="B355" s="691" t="s">
        <v>1959</v>
      </c>
      <c r="C355" s="617"/>
      <c r="D355" s="617"/>
      <c r="E355" s="617"/>
      <c r="F355" s="617"/>
      <c r="G355" s="617"/>
      <c r="H355" s="467">
        <v>0</v>
      </c>
      <c r="I355" s="702"/>
      <c r="J355" s="617"/>
      <c r="K355" s="1765">
        <f>H355</f>
        <v>0</v>
      </c>
      <c r="L355" s="467">
        <v>0</v>
      </c>
    </row>
    <row r="356" spans="1:14" ht="12.75" customHeight="1" x14ac:dyDescent="0.2">
      <c r="A356" s="1857" t="s">
        <v>722</v>
      </c>
      <c r="B356" s="684" t="s">
        <v>579</v>
      </c>
      <c r="C356" s="617"/>
      <c r="D356" s="617"/>
      <c r="E356" s="617"/>
      <c r="F356" s="617"/>
      <c r="G356" s="617"/>
      <c r="H356" s="479">
        <v>0</v>
      </c>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640</v>
      </c>
      <c r="B361" s="603" t="s">
        <v>639</v>
      </c>
      <c r="C361" s="617"/>
      <c r="D361" s="617"/>
      <c r="E361" s="617"/>
      <c r="F361" s="617"/>
      <c r="G361" s="617"/>
      <c r="H361" s="467">
        <v>0</v>
      </c>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8" t="s">
        <v>1053</v>
      </c>
      <c r="B368" s="2199"/>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www.w3.org/XML/1998/namespace"/>
    <ds:schemaRef ds:uri="http://schemas.microsoft.com/office/2006/documentManagement/types"/>
    <ds:schemaRef ds:uri="6ce3111e-7420-4802-b50a-75d4e9a0b980"/>
    <ds:schemaRef ds:uri="http://schemas.microsoft.com/sharepoint/v3"/>
    <ds:schemaRef ds:uri="http://purl.org/dc/terms/"/>
    <ds:schemaRef ds:uri="http://purl.org/dc/dcmitype/"/>
    <ds:schemaRef ds:uri="http://schemas.openxmlformats.org/package/2006/metadata/core-properties"/>
    <ds:schemaRef ds:uri="http://schemas.microsoft.com/office/infopath/2007/PartnerControls"/>
    <ds:schemaRef ds:uri="4d435f69-8686-490b-bd6d-b153bf22ab50"/>
    <ds:schemaRef ds:uri="d21dc803-237d-4c68-8692-8d731fd2911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2018-10-11T18:43:59Z</cp:lastPrinted>
  <dcterms:created xsi:type="dcterms:W3CDTF">2003-10-29T19:06:34Z</dcterms:created>
  <dcterms:modified xsi:type="dcterms:W3CDTF">2018-10-12T18:53:46Z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Reporting</vt:lpwstr>
  </property>
  <property fmtid="{D5CDD505-2E9C-101B-9397-08002B2CF9AE}" pid="5" name="tabIndex">
    <vt:lpwstr>0100</vt:lpwstr>
  </property>
  <property fmtid="{D5CDD505-2E9C-101B-9397-08002B2CF9AE}" pid="6" name="workpaperIndex">
    <vt:lpwstr/>
  </property>
</Properties>
</file>