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N21" i="3" l="1"/>
  <c r="E301" i="29" l="1"/>
  <c r="L182" i="29"/>
  <c r="L124" i="29"/>
  <c r="G5" i="29"/>
  <c r="F5" i="29"/>
  <c r="E5" i="29"/>
  <c r="D5" i="29"/>
  <c r="C5" i="29"/>
  <c r="C32" i="3"/>
  <c r="C16" i="7" l="1"/>
  <c r="C14" i="7"/>
  <c r="C8" i="7"/>
  <c r="C7" i="7"/>
  <c r="C6" i="7"/>
  <c r="C5" i="7"/>
  <c r="C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B6999" i="106" s="1"/>
  <c r="D6999" i="106" s="1"/>
  <c r="K95" i="29"/>
  <c r="B7001" i="106" s="1"/>
  <c r="D7001" i="106" s="1"/>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F37" i="108"/>
  <c r="G28" i="108"/>
  <c r="G29" i="108"/>
  <c r="E30" i="108"/>
  <c r="D31"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B5752" i="106"/>
  <c r="D5752" i="106" s="1"/>
  <c r="F106" i="34"/>
  <c r="F35" i="34" l="1"/>
  <c r="J210" i="29"/>
  <c r="B7072" i="106" s="1"/>
  <c r="D7072" i="106" s="1"/>
  <c r="B1223" i="106"/>
  <c r="D1223" i="106" s="1"/>
  <c r="D5" i="4"/>
  <c r="B3406" i="106" s="1"/>
  <c r="D3406" i="106" s="1"/>
  <c r="F41" i="34"/>
  <c r="I210" i="29"/>
  <c r="D9" i="7"/>
  <c r="B1767" i="106" s="1"/>
  <c r="D1767" i="106" s="1"/>
  <c r="D13" i="7"/>
  <c r="B3726" i="106" s="1"/>
  <c r="D3726" i="106" s="1"/>
  <c r="F45" i="34"/>
  <c r="B7235" i="106"/>
  <c r="D7235" i="106" s="1"/>
  <c r="D6103" i="106"/>
  <c r="H109" i="5"/>
  <c r="B6025" i="106" s="1"/>
  <c r="D6025" i="106" s="1"/>
  <c r="D5" i="7"/>
  <c r="B1761" i="106" s="1"/>
  <c r="D1761" i="106" s="1"/>
  <c r="J22" i="37"/>
  <c r="D22" i="37"/>
  <c r="J49" i="8"/>
  <c r="B4172" i="106" s="1"/>
  <c r="D4172" i="106" s="1"/>
  <c r="D24" i="37"/>
  <c r="B4270" i="106" s="1"/>
  <c r="D4270" i="106" s="1"/>
  <c r="I342" i="29"/>
  <c r="B7222" i="106" s="1"/>
  <c r="D7222" i="106" s="1"/>
  <c r="B1124" i="106"/>
  <c r="D1124" i="106" s="1"/>
  <c r="F28" i="108"/>
  <c r="D27" i="108"/>
  <c r="B1274" i="106"/>
  <c r="D1274" i="106" s="1"/>
  <c r="F70" i="34"/>
  <c r="F46" i="34"/>
  <c r="F34" i="34"/>
  <c r="E28" i="108"/>
  <c r="G26" i="108"/>
  <c r="G30" i="108"/>
  <c r="E26" i="108"/>
  <c r="B6995" i="106"/>
  <c r="D6995" i="106" s="1"/>
  <c r="D15" i="7"/>
  <c r="B1772" i="106" s="1"/>
  <c r="D1772" i="106" s="1"/>
  <c r="J274" i="5"/>
  <c r="B7054" i="106" s="1"/>
  <c r="D7054" i="106" s="1"/>
  <c r="H173" i="5"/>
  <c r="B5906" i="106" s="1"/>
  <c r="D5906" i="106" s="1"/>
  <c r="F111" i="34"/>
  <c r="G172" i="5"/>
  <c r="B5770" i="106" s="1"/>
  <c r="D5770" i="106" s="1"/>
  <c r="C352" i="29"/>
  <c r="C367" i="29" s="1"/>
  <c r="B3622" i="106" s="1"/>
  <c r="D3622" i="106" s="1"/>
  <c r="D12" i="7"/>
  <c r="B1769" i="106" s="1"/>
  <c r="D1769" i="106" s="1"/>
  <c r="F127" i="34"/>
  <c r="D4" i="7"/>
  <c r="B1760" i="106" s="1"/>
  <c r="D1760" i="106" s="1"/>
  <c r="C342" i="29"/>
  <c r="B7216" i="106" s="1"/>
  <c r="D7216" i="106" s="1"/>
  <c r="K285" i="29"/>
  <c r="L22" i="37"/>
  <c r="H28" i="118"/>
  <c r="K184" i="29"/>
  <c r="F13" i="4" s="1"/>
  <c r="B2596" i="106" s="1"/>
  <c r="D2596" i="106" s="1"/>
  <c r="G210" i="29"/>
  <c r="E174" i="29"/>
  <c r="B1309" i="106" s="1"/>
  <c r="D1309" i="106" s="1"/>
  <c r="B3647" i="106"/>
  <c r="D3647" i="106" s="1"/>
  <c r="F21" i="8"/>
  <c r="J41" i="3"/>
  <c r="B2026" i="106"/>
  <c r="D2026" i="106" s="1"/>
  <c r="M16" i="3"/>
  <c r="L5" i="11"/>
  <c r="B2056" i="106" s="1"/>
  <c r="D2056" i="106" s="1"/>
  <c r="B2029" i="106"/>
  <c r="D2029" i="106" s="1"/>
  <c r="M19" i="3"/>
  <c r="B276" i="106" s="1"/>
  <c r="D276" i="106" s="1"/>
  <c r="B3454" i="106"/>
  <c r="D3454" i="106" s="1"/>
  <c r="M20" i="3"/>
  <c r="B2864" i="106" s="1"/>
  <c r="D2864" i="106" s="1"/>
  <c r="B2028" i="106"/>
  <c r="D2028" i="106" s="1"/>
  <c r="M18" i="3"/>
  <c r="B275" i="106" s="1"/>
  <c r="D275" i="106" s="1"/>
  <c r="B2027" i="106"/>
  <c r="D2027" i="106" s="1"/>
  <c r="M17" i="3"/>
  <c r="B274" i="106" s="1"/>
  <c r="D274" i="106" s="1"/>
  <c r="K41" i="3"/>
  <c r="F128" i="34"/>
  <c r="F172" i="5"/>
  <c r="B5644" i="106" s="1"/>
  <c r="D5644" i="106" s="1"/>
  <c r="L312" i="29"/>
  <c r="H365" i="29"/>
  <c r="B7242" i="106" s="1"/>
  <c r="D7242" i="106" s="1"/>
  <c r="L342" i="29"/>
  <c r="H342" i="29"/>
  <c r="B7221" i="106" s="1"/>
  <c r="D7221" i="106" s="1"/>
  <c r="G173" i="5"/>
  <c r="B5778" i="106" s="1"/>
  <c r="D5778" i="106" s="1"/>
  <c r="I274" i="5"/>
  <c r="F136" i="34"/>
  <c r="B7041" i="106"/>
  <c r="D7041" i="106" s="1"/>
  <c r="L367" i="29"/>
  <c r="B1746" i="106"/>
  <c r="D1746" i="106" s="1"/>
  <c r="K274" i="5"/>
  <c r="K7" i="4" s="1"/>
  <c r="B3718" i="106" s="1"/>
  <c r="D3718" i="106" s="1"/>
  <c r="G5" i="4"/>
  <c r="B3409" i="106" s="1"/>
  <c r="D3409" i="106" s="1"/>
  <c r="K173" i="5"/>
  <c r="K6" i="4" s="1"/>
  <c r="B3570" i="106" s="1"/>
  <c r="D3570" i="106" s="1"/>
  <c r="B3649" i="106"/>
  <c r="D3649" i="106" s="1"/>
  <c r="G367" i="29"/>
  <c r="B3650" i="106" s="1"/>
  <c r="D3650" i="106" s="1"/>
  <c r="K350" i="29"/>
  <c r="F77" i="4"/>
  <c r="B3255" i="106" s="1"/>
  <c r="D3255" i="106" s="1"/>
  <c r="I24" i="12"/>
  <c r="F130" i="34"/>
  <c r="I173" i="5"/>
  <c r="B4216" i="106" s="1"/>
  <c r="D4216" i="106" s="1"/>
  <c r="F131" i="34"/>
  <c r="E109" i="5"/>
  <c r="E4" i="4" s="1"/>
  <c r="B2630" i="106" s="1"/>
  <c r="D2630" i="106" s="1"/>
  <c r="H6" i="4"/>
  <c r="B2656" i="106" s="1"/>
  <c r="D2656" i="106" s="1"/>
  <c r="H4" i="4"/>
  <c r="B2655" i="106" s="1"/>
  <c r="D2655" i="106" s="1"/>
  <c r="F72" i="34"/>
  <c r="G14" i="4"/>
  <c r="B2609" i="106" s="1"/>
  <c r="D2609" i="106" s="1"/>
  <c r="F71" i="34"/>
  <c r="B1410" i="106"/>
  <c r="D1410" i="106" s="1"/>
  <c r="G109" i="5"/>
  <c r="E29" i="108"/>
  <c r="B1329" i="106"/>
  <c r="D1329" i="106" s="1"/>
  <c r="F61" i="34"/>
  <c r="B5513" i="106"/>
  <c r="D5513" i="106" s="1"/>
  <c r="D109" i="5"/>
  <c r="B5356" i="106" s="1"/>
  <c r="D5356" i="106" s="1"/>
  <c r="G38" i="108"/>
  <c r="E38" i="108"/>
  <c r="D36" i="108"/>
  <c r="F36" i="108"/>
  <c r="D26" i="108"/>
  <c r="E15" i="145"/>
  <c r="G15" i="145" s="1"/>
  <c r="F26" i="108"/>
  <c r="F49" i="34"/>
  <c r="F38" i="34"/>
  <c r="C172" i="5"/>
  <c r="F94" i="34"/>
  <c r="C109" i="5"/>
  <c r="B5121" i="106" s="1"/>
  <c r="D5121" i="106" s="1"/>
  <c r="F19" i="7"/>
  <c r="B1807" i="106" s="1"/>
  <c r="D1807" i="106" s="1"/>
  <c r="D7" i="7"/>
  <c r="B1763" i="106" s="1"/>
  <c r="D1763" i="106" s="1"/>
  <c r="D17" i="7"/>
  <c r="B4104" i="106" s="1"/>
  <c r="D4104" i="106" s="1"/>
  <c r="D11" i="7"/>
  <c r="B1768" i="106" s="1"/>
  <c r="D1768" i="106" s="1"/>
  <c r="L15" i="11"/>
  <c r="B3459" i="106" s="1"/>
  <c r="D3459" i="106" s="1"/>
  <c r="L13" i="11"/>
  <c r="B2060" i="106" s="1"/>
  <c r="D2060" i="106" s="1"/>
  <c r="D69" i="36"/>
  <c r="J77" i="4"/>
  <c r="B6262" i="106" s="1"/>
  <c r="D6262" i="106" s="1"/>
  <c r="H76" i="4"/>
  <c r="B3298" i="106" s="1"/>
  <c r="D3298" i="106" s="1"/>
  <c r="K76" i="4"/>
  <c r="B3586" i="106" s="1"/>
  <c r="D3586" i="106" s="1"/>
  <c r="H33" i="118"/>
  <c r="D31" i="36"/>
  <c r="H29" i="118"/>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I6" i="4" l="1"/>
  <c r="B5011" i="106" s="1"/>
  <c r="D5011" i="106" s="1"/>
  <c r="B1317" i="106"/>
  <c r="D1317" i="106" s="1"/>
  <c r="B7071" i="106"/>
  <c r="D7071" i="106" s="1"/>
  <c r="F66" i="34"/>
  <c r="B1381" i="106"/>
  <c r="D1381" i="106" s="1"/>
  <c r="N22" i="3"/>
  <c r="B283" i="106" s="1"/>
  <c r="D283" i="106" s="1"/>
  <c r="B3621" i="106"/>
  <c r="D3621" i="106" s="1"/>
  <c r="B1365" i="106"/>
  <c r="D1365" i="106" s="1"/>
  <c r="F65" i="34"/>
  <c r="F73" i="34"/>
  <c r="G15" i="4"/>
  <c r="B6032" i="106" s="1"/>
  <c r="D6032" i="106" s="1"/>
  <c r="B6014" i="106"/>
  <c r="D6014" i="106" s="1"/>
  <c r="F173" i="5"/>
  <c r="B5653" i="106" s="1"/>
  <c r="D5653" i="106" s="1"/>
  <c r="F274" i="5"/>
  <c r="J7" i="4"/>
  <c r="G6" i="4"/>
  <c r="B2604" i="106" s="1"/>
  <c r="D2604" i="106" s="1"/>
  <c r="B5914" i="106"/>
  <c r="D5914" i="106" s="1"/>
  <c r="H275" i="5"/>
  <c r="B5915" i="106" s="1"/>
  <c r="D5915" i="106" s="1"/>
  <c r="K28" i="118"/>
  <c r="O27" i="118" s="1"/>
  <c r="O29" i="118" s="1"/>
  <c r="B1879" i="106"/>
  <c r="D1879" i="106" s="1"/>
  <c r="H22" i="37"/>
  <c r="D44" i="36"/>
  <c r="N23" i="3"/>
  <c r="B284" i="106" s="1"/>
  <c r="D284" i="106" s="1"/>
  <c r="B273" i="106"/>
  <c r="D273" i="106" s="1"/>
  <c r="M23" i="3"/>
  <c r="B3568" i="106"/>
  <c r="D3568" i="106" s="1"/>
  <c r="D52" i="36"/>
  <c r="K342" i="29"/>
  <c r="F13" i="34" s="1"/>
  <c r="K77" i="4"/>
  <c r="B3587" i="106" s="1"/>
  <c r="D3587" i="106" s="1"/>
  <c r="B7215" i="106"/>
  <c r="D7215" i="106" s="1"/>
  <c r="D274" i="5"/>
  <c r="K365" i="29"/>
  <c r="K16" i="4" s="1"/>
  <c r="B3628" i="106"/>
  <c r="D3628" i="106" s="1"/>
  <c r="H367" i="29"/>
  <c r="B3660" i="106" s="1"/>
  <c r="D3660" i="106" s="1"/>
  <c r="B3670" i="106"/>
  <c r="D3670" i="106" s="1"/>
  <c r="K352" i="29"/>
  <c r="B1996" i="106"/>
  <c r="D1996" i="106" s="1"/>
  <c r="I26" i="12"/>
  <c r="B7741" i="106" s="1"/>
  <c r="D7741" i="106" s="1"/>
  <c r="H8" i="4"/>
  <c r="B2658" i="106" s="1"/>
  <c r="D2658" i="106" s="1"/>
  <c r="D41" i="108"/>
  <c r="E43" i="108" s="1"/>
  <c r="B6024" i="106"/>
  <c r="D6024" i="106" s="1"/>
  <c r="G4" i="4"/>
  <c r="B2603" i="106" s="1"/>
  <c r="D2603" i="106" s="1"/>
  <c r="D4" i="4"/>
  <c r="B2564" i="106" s="1"/>
  <c r="D2564" i="106" s="1"/>
  <c r="L114" i="29"/>
  <c r="F41" i="108"/>
  <c r="G43" i="108" s="1"/>
  <c r="C114" i="29"/>
  <c r="B757" i="106" s="1"/>
  <c r="D757" i="106" s="1"/>
  <c r="B5214" i="106"/>
  <c r="D5214" i="106" s="1"/>
  <c r="C173" i="5"/>
  <c r="C4" i="4"/>
  <c r="B2551" i="106" s="1"/>
  <c r="D2551" i="106" s="1"/>
  <c r="D19" i="7"/>
  <c r="B1775" i="106" s="1"/>
  <c r="D1775"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F24" i="37" l="1"/>
  <c r="B7243" i="106"/>
  <c r="D7243" i="106" s="1"/>
  <c r="B7224" i="106"/>
  <c r="D7224" i="106" s="1"/>
  <c r="F275" i="5"/>
  <c r="B5720" i="106" s="1"/>
  <c r="D5720" i="106" s="1"/>
  <c r="H10" i="4"/>
  <c r="B4127" i="106" s="1"/>
  <c r="D4127" i="106" s="1"/>
  <c r="D275" i="5"/>
  <c r="F6" i="4"/>
  <c r="B2593" i="106" s="1"/>
  <c r="D2593" i="106" s="1"/>
  <c r="J8" i="4"/>
  <c r="F8" i="4"/>
  <c r="D8" i="146" s="1"/>
  <c r="M40" i="3"/>
  <c r="B279" i="106"/>
  <c r="D279" i="106" s="1"/>
  <c r="K13" i="4"/>
  <c r="B3572" i="106" s="1"/>
  <c r="D3572" i="106" s="1"/>
  <c r="B3672" i="106"/>
  <c r="D3672" i="106" s="1"/>
  <c r="K367" i="29"/>
  <c r="K368" i="29" s="1"/>
  <c r="B3681" i="106" s="1"/>
  <c r="D3681" i="106" s="1"/>
  <c r="B1145" i="106"/>
  <c r="D1145" i="106" s="1"/>
  <c r="B5223" i="106"/>
  <c r="D5223" i="106" s="1"/>
  <c r="C6" i="4"/>
  <c r="B2553" i="106" s="1"/>
  <c r="D2553"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M41" i="3"/>
  <c r="B280" i="106"/>
  <c r="D280"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<sst xmlns="http://schemas.openxmlformats.org/spreadsheetml/2006/main" count="5142" uniqueCount="2164">
  <si>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</si>
  <si>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</si>
  <si>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</si>
  <si>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</si>
  <si>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</si>
  <si>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</si>
  <si>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</si>
  <si>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</si>
  <si>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</si>
  <si>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</si>
  <si>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</si>
  <si>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</si>
  <si>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</si>
  <si>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</si>
  <si>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</si>
  <si>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</si>
  <si>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</si>
  <si>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</si>
  <si>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</si>
  <si>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</si>
  <si>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</si>
  <si>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</si>
  <si>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</si>
  <si>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</si>
  <si>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</si>
  <si>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</si>
  <si>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</si>
  <si>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</si>
  <si>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</si>
  <si>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</si>
  <si>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</si>
  <si>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</si>
  <si>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</si>
  <si>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</si>
  <si>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</si>
  <si>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</si>
  <si>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</si>
  <si>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</si>
  <si>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</si>
  <si>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</si>
  <si>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</si>
  <si>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</si>
  <si>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</si>
  <si>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</si>
  <si>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</si>
  <si>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</si>
  <si>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</si>
  <si>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</si>
  <si>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</si>
  <si>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</si>
  <si>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</si>
  <si>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</si>
  <si>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</si>
  <si>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</si>
  <si>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</si>
  <si>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</si>
  <si>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</si>
  <si>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</si>
  <si>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</si>
  <si>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</si>
  <si>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</si>
  <si>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</si>
  <si>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</si>
  <si>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</si>
  <si>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</si>
  <si>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</si>
  <si>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</si>
  <si>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</si>
  <si>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</si>
  <si>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</si>
  <si>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</si>
  <si>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</si>
  <si>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</si>
  <si>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</si>
  <si>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</si>
  <si>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</si>
  <si>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</si>
  <si>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</si>
  <si>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</si>
  <si>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</si>
  <si>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</si>
  <si>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</si>
  <si>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</si>
  <si>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</si>
  <si>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</si>
  <si>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</si>
  <si>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</si>
  <si>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</si>
  <si>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</si>
  <si>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</si>
  <si>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</si>
  <si>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</si>
  <si>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</si>
  <si>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</si>
  <si>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</si>
  <si>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</si>
  <si>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</si>
  <si>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</si>
  <si>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</si>
  <si>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</si>
  <si>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</si>
  <si>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</si>
  <si>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</si>
  <si>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</si>
  <si>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</si>
  <si>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</si>
  <si>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</si>
  <si>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</si>
  <si>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</si>
  <si>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</si>
  <si>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</si>
  <si>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</si>
  <si>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</si>
  <si>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</si>
  <si>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</si>
  <si>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</si>
  <si>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</si>
  <si>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</si>
  <si>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</si>
  <si>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</si>
  <si>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</si>
  <si>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</si>
  <si>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</si>
  <si>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</si>
  <si>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</si>
  <si>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</si>
  <si>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</si>
  <si>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</si>
  <si>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</si>
  <si>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</si>
  <si>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</si>
  <si>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</si>
  <si>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</si>
  <si>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</si>
  <si>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</si>
  <si>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</si>
  <si>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</si>
  <si>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</si>
  <si>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</si>
  <si>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</si>
  <si>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</si>
  <si>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</si>
  <si>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</si>
  <si>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</si>
  <si>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</si>
  <si>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</si>
  <si>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</si>
  <si>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</si>
  <si>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</si>
  <si>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</si>
  <si>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</si>
  <si>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</si>
  <si>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</si>
  <si>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</si>
  <si>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</si>
  <si>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</si>
  <si>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</si>
  <si>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</si>
  <si>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</si>
  <si>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</si>
  <si>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</si>
  <si>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</si>
  <si>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</si>
  <si>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</si>
  <si>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</si>
  <si>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</si>
  <si>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</si>
  <si>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</si>
  <si>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</si>
  <si>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</si>
  <si>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</si>
  <si>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</si>
  <si>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</si>
  <si>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</si>
  <si>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</si>
  <si>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</si>
  <si>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</si>
  <si>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</si>
  <si>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</si>
  <si>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</si>
  <si>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</si>
  <si>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</si>
  <si>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</si>
  <si>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</si>
  <si>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</si>
  <si>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</si>
  <si>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</si>
  <si>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</si>
  <si>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</si>
  <si>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</si>
  <si>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</si>
  <si>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</si>
  <si>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</si>
  <si>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</si>
  <si>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</si>
  <si>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</si>
  <si>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</si>
  <si>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</si>
  <si>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</si>
  <si>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</si>
  <si>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</si>
  <si>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</si>
  <si>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</si>
  <si>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</si>
  <si>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</si>
  <si>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</si>
  <si>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</si>
  <si>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</si>
  <si>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</si>
  <si>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</si>
  <si>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</si>
  <si>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</si>
  <si>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</si>
  <si>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</si>
  <si>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</si>
  <si>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</si>
  <si>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</si>
  <si>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</si>
  <si>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</si>
  <si>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</si>
  <si>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</si>
  <si>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</si>
  <si>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</si>
  <si>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</si>
  <si>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</si>
  <si>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</si>
  <si>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</si>
  <si>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</si>
  <si>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</si>
  <si>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</si>
  <si>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</si>
  <si>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</si>
  <si>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</si>
  <si>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</si>
  <si>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</si>
  <si>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</si>
  <si>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</si>
  <si>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</si>
  <si>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</si>
  <si>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</si>
  <si>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</si>
  <si>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</si>
  <si>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</si>
  <si>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</si>
  <si>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</si>
  <si>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</si>
  <si>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</si>
  <si>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</si>
  <si>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</si>
  <si>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</si>
  <si>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</si>
  <si>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</si>
  <si>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</si>
  <si>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</si>
  <si>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</si>
  <si>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</si>
  <si>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</si>
  <si>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</si>
  <si>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</si>
  <si>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</si>
  <si>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</si>
  <si>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</si>
  <si>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</si>
  <si>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</si>
  <si>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</si>
  <si>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</si>
  <si>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</si>
  <si>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</si>
  <si>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</si>
  <si>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</si>
  <si>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</si>
  <si>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</si>
  <si>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</si>
  <si>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</si>
  <si>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</si>
  <si>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</si>
  <si>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</si>
  <si>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</si>
  <si>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</si>
  <si>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</si>
  <si>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</si>
  <si>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</si>
  <si>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</si>
  <si>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</si>
  <si>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</si>
  <si>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</si>
  <si>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</si>
  <si>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</si>
  <si>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</si>
  <si>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</si>
  <si>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</si>
  <si>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</si>
  <si>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</si>
  <si>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</si>
  <si>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</si>
  <si>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</si>
  <si>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</si>
  <si>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</si>
  <si>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</si>
  <si>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</si>
  <si>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</si>
  <si>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</si>
  <si>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</si>
  <si>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</si>
  <si>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</si>
  <si>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</si>
  <si>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</si>
  <si>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</si>
  <si>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</si>
  <si>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</si>
  <si>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</si>
  <si>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</si>
  <si>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</si>
  <si>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</si>
  <si>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</si>
  <si>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</si>
  <si>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</si>
  <si>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</si>
  <si>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</si>
  <si>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</si>
  <si>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</si>
  <si>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</si>
  <si>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</si>
  <si>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</si>
  <si>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</si>
  <si>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</si>
  <si>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</si>
  <si>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</si>
  <si>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</si>
  <si>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</si>
  <si>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</si>
  <si>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</si>
  <si>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</si>
  <si>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</si>
  <si>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</si>
  <si>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</si>
  <si>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</si>
  <si>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</si>
  <si>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</si>
  <si>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</si>
  <si>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</si>
  <si>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</si>
  <si>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</si>
  <si>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</si>
  <si>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</si>
  <si>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</si>
  <si>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</si>
  <si>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</si>
  <si>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</si>
  <si>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</si>
  <si>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</si>
  <si>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</si>
  <si>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</si>
  <si>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</si>
  <si>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</si>
  <si>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</si>
  <si>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</si>
  <si>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</si>
  <si>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</si>
  <si>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</si>
  <si>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</si>
  <si>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</si>
  <si>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</si>
  <si>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</si>
  <si>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</si>
  <si>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</si>
  <si>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</si>
  <si>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</si>
  <si>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</si>
  <si>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</si>
  <si>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</si>
  <si>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</si>
  <si>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</si>
  <si>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</si>
  <si>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</si>
  <si>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</si>
  <si>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</si>
  <si>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</si>
  <si>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</si>
  <si>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</si>
  <si>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</si>
  <si>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</si>
  <si>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</si>
  <si>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</si>
  <si>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</si>
  <si>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</si>
  <si>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</si>
  <si>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</si>
  <si>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</si>
  <si>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</si>
  <si>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</si>
  <si>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</si>
  <si>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</si>
  <si>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</si>
  <si>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</si>
  <si>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</si>
  <si>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</si>
  <si>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</si>
  <si>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</si>
  <si>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</si>
  <si>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</si>
  <si>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</si>
  <si>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</si>
  <si>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</si>
  <si>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</si>
  <si>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</si>
  <si>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</si>
  <si>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</si>
  <si>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</si>
  <si>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</si>
  <si>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</si>
  <si>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</si>
  <si>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</si>
  <si>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</si>
  <si>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</si>
  <si>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</si>
  <si>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</si>
  <si>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</si>
  <si>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</si>
  <si>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</si>
  <si>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</si>
  <si>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</si>
  <si>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</si>
  <si>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</si>
  <si>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</si>
  <si>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</si>
  <si>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</si>
  <si>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</si>
  <si>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</si>
  <si>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</si>
  <si>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</si>
  <si>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</si>
  <si>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</si>
  <si>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</si>
  <si>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</si>
  <si>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</si>
  <si>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</si>
  <si>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</si>
  <si>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</si>
  <si>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</si>
  <si>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</si>
  <si>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</si>
  <si>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</si>
  <si>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</si>
  <si>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</si>
  <si>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</si>
  <si>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</si>
  <si>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</si>
  <si>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</si>
  <si>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</si>
  <si>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</si>
  <si>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</si>
  <si>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</si>
  <si>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</si>
  <si>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</si>
  <si>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</si>
  <si>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</si>
  <si>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</si>
  <si>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</si>
  <si>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</si>
  <si>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</si>
  <si>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</si>
  <si>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</si>
  <si>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</si>
  <si>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</si>
  <si>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</si>
  <si>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</si>
  <si>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</si>
  <si>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</si>
  <si>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</si>
  <si>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</si>
  <si>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</si>
  <si>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</si>
  <si>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</si>
  <si>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</si>
  <si>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</si>
  <si>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</si>
  <si>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</si>
  <si>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</si>
  <si>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</si>
  <si>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</si>
  <si>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</si>
  <si>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</si>
  <si>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</si>
  <si>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</si>
  <si>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</si>
  <si>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</si>
  <si>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</si>
  <si>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</si>
  <si>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</si>
  <si>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</si>
  <si>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</si>
  <si>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</si>
  <si>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</si>
  <si>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</si>
  <si>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</si>
  <si>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</si>
  <si>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</si>
  <si>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</si>
  <si>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</si>
  <si>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</si>
  <si>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</si>
  <si>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</si>
  <si>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</si>
  <si>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</si>
  <si>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</si>
  <si>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</si>
  <si>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</si>
  <si>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</si>
  <si>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</si>
  <si>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</si>
  <si>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</si>
  <si>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</si>
  <si>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</si>
  <si>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</si>
  <si>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</si>
  <si>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</si>
  <si>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</si>
  <si>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</si>
  <si>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</si>
  <si>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</si>
  <si>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</si>
  <si>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</si>
  <si>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</si>
  <si>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</si>
  <si>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</si>
  <si>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</si>
  <si>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</si>
  <si>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</si>
  <si>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</si>
  <si>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</si>
  <si>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</si>
  <si>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</si>
  <si>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</si>
  <si>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</si>
  <si>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</si>
  <si>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</si>
  <si>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</si>
  <si>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</si>
  <si>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</si>
  <si>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</si>
  <si>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</si>
  <si>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</si>
  <si>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</si>
  <si>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</si>
  <si>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</si>
  <si>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</si>
  <si>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</si>
  <si>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</si>
  <si>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</si>
  <si>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</si>
  <si>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</si>
  <si>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</si>
  <si>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</si>
  <si>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</si>
  <si>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</si>
  <si>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</si>
  <si>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</si>
  <si>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</si>
  <si>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</si>
  <si>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</si>
  <si>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</si>
  <si>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</si>
  <si>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</si>
  <si>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</si>
  <si>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</si>
  <si>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</si>
  <si>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</si>
  <si>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</si>
  <si>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</si>
  <si>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</si>
  <si>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</si>
  <si>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</si>
  <si>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</si>
  <si>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</si>
  <si>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</si>
  <si>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</si>
  <si>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</si>
  <si>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</si>
  <si>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</si>
  <si>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</si>
  <si>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</si>
  <si>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</si>
  <si>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</si>
  <si>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</si>
  <si>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</si>
  <si>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</si>
  <si>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</si>
  <si>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</si>
  <si>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</si>
  <si>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</si>
  <si>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</si>
  <si>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</si>
  <si>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</si>
  <si>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</si>
  <si>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</si>
  <si>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</si>
  <si>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</si>
  <si>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</si>
  <si>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</si>
  <si>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</si>
  <si>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</si>
  <si>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</si>
  <si>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</si>
  <si>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</si>
  <si>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</si>
  <si>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</si>
  <si>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</si>
  <si>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</si>
  <si>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</si>
  <si>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</si>
  <si>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</si>
  <si>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</si>
  <si>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</si>
  <si>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</si>
  <si>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</si>
  <si>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</si>
  <si>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</si>
  <si>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</si>
  <si>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</si>
  <si>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</si>
  <si>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</si>
  <si>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</si>
  <si>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</si>
  <si>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</si>
  <si>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</si>
  <si>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</si>
  <si>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</si>
  <si>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</si>
  <si>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</si>
  <si>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</si>
  <si>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</si>
  <si>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</si>
  <si>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</si>
  <si>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</si>
  <si>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</si>
  <si>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</si>
  <si>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</si>
  <si>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</si>
  <si>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</si>
  <si>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</si>
  <si>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</si>
  <si>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</si>
  <si>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</si>
  <si>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</si>
  <si>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</si>
  <si>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</si>
  <si>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</si>
  <si>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</si>
  <si>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</si>
  <si>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</si>
  <si>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</si>
  <si>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</si>
  <si>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</si>
  <si>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</si>
  <si>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</si>
  <si>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</si>
  <si>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</si>
  <si>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</si>
  <si>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</si>
  <si>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</si>
  <si>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</si>
  <si>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</si>
  <si>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</si>
  <si>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</si>
  <si>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</si>
  <si>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</si>
  <si>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</si>
  <si>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</si>
  <si>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</si>
  <si>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</si>
  <si>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</si>
  <si>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</si>
  <si>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</si>
  <si>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</si>
  <si>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</si>
  <si>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</si>
  <si>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</si>
  <si>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</si>
  <si>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</si>
  <si>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</si>
  <si>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</si>
  <si>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</si>
  <si>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</si>
  <si>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</si>
  <si>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</si>
  <si>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</si>
  <si>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</si>
  <si>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</si>
  <si>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</si>
  <si>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</si>
  <si>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</si>
  <si>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</si>
  <si>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</si>
  <si>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</si>
  <si>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</si>
  <si>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</si>
  <si>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</si>
  <si>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</si>
  <si>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</si>
  <si>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</si>
  <si>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</si>
  <si>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</si>
  <si>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</si>
  <si>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</si>
  <si>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</si>
  <si>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</si>
  <si>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</si>
  <si>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</si>
  <si>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</si>
  <si>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</si>
  <si>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</si>
  <si>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</si>
  <si>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</si>
  <si>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</si>
  <si>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</si>
  <si>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</si>
  <si>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</si>
  <si>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</si>
  <si>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</si>
  <si>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</si>
  <si>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</si>
  <si>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</si>
  <si>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</si>
  <si>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</si>
  <si>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</si>
  <si>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</si>
  <si>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</si>
  <si>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</si>
  <si>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</si>
  <si>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</si>
  <si>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</si>
  <si>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</si>
  <si>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</si>
  <si>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</si>
  <si>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</si>
  <si>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</si>
  <si>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</si>
  <si>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</si>
  <si>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</si>
  <si>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</si>
  <si>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</si>
  <si>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</si>
  <si>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</si>
  <si>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</si>
  <si>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</si>
  <si>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</si>
  <si>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</si>
  <si>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</si>
  <si>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</si>
  <si>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</si>
  <si>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</si>
  <si>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</si>
  <si>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</si>
  <si>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</si>
  <si>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</si>
  <si>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</si>
  <si>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</si>
  <si>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</si>
  <si>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</si>
  <si>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</si>
  <si>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</si>
  <si>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</si>
  <si>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</si>
  <si>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</si>
  <si>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</si>
  <si>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</si>
  <si>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</si>
  <si>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</si>
  <si>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</si>
  <si>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</si>
  <si>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</si>
  <si>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</si>
  <si>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</si>
  <si>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</si>
  <si>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</si>
  <si>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</si>
  <si>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</si>
  <si>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</si>
  <si>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</si>
  <si>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</si>
  <si>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</si>
  <si>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</si>
  <si>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</si>
  <si>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</si>
  <si>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</si>
  <si>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</si>
  <si>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</si>
  <si>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</si>
  <si>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</si>
  <si>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</si>
  <si>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</si>
  <si>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</si>
  <si>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</si>
  <si>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</si>
  <si>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</si>
  <si>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</si>
  <si>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</si>
  <si>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</si>
  <si>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</si>
  <si>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</si>
  <si>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</si>
  <si>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</si>
  <si>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</si>
  <si>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</si>
  <si>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</si>
  <si>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</si>
  <si>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</si>
  <si>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</si>
  <si>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</si>
  <si>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</si>
  <si>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</si>
  <si>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</si>
  <si>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</si>
  <si>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</si>
  <si>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</si>
  <si>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</si>
  <si>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</si>
  <si>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</si>
  <si>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</si>
  <si>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</si>
  <si>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</si>
  <si>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</si>
  <si>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</si>
  <si>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</si>
  <si>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</si>
  <si>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</si>
  <si>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</si>
  <si>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</si>
  <si>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</si>
  <si>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</si>
  <si>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</si>
  <si>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</si>
  <si>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</si>
  <si>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</si>
  <si>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</si>
  <si>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</si>
  <si>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</si>
  <si>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</si>
  <si>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</si>
  <si>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</si>
  <si>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</si>
  <si>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</si>
  <si>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</si>
  <si>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</si>
  <si>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</si>
  <si>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</si>
  <si>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</si>
  <si>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</si>
  <si>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</si>
  <si>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</si>
  <si>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</si>
  <si>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</si>
  <si>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</si>
  <si>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</si>
  <si>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</si>
  <si>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</si>
  <si>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</si>
  <si>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</si>
  <si>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</si>
  <si>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</si>
  <si>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</si>
  <si>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</si>
  <si>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</si>
  <si>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</si>
  <si>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</si>
  <si>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</si>
  <si>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</si>
  <si>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</si>
  <si>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</si>
  <si>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</si>
  <si>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</si>
  <si>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</si>
  <si>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</si>
  <si>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</si>
  <si>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</si>
  <si>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</si>
  <si>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</si>
  <si>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</si>
  <si>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</si>
  <si>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</si>
  <si>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</si>
  <si>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</si>
  <si>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</si>
  <si>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</si>
  <si>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</si>
  <si>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</si>
  <si>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</si>
  <si>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</si>
  <si>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</si>
  <si>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</si>
  <si>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</si>
  <si>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</si>
  <si>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</si>
  <si>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</si>
  <si>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</si>
  <si>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</si>
  <si>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</si>
  <si>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</si>
  <si>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</si>
  <si>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</si>
  <si>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</si>
  <si>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</si>
  <si>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</si>
  <si>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</si>
  <si>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</si>
  <si>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</si>
  <si>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</si>
  <si>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</si>
  <si>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</si>
  <si>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</si>
  <si>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</si>
  <si>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</si>
  <si>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</si>
  <si>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</si>
  <si>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</si>
  <si>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</si>
  <si>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</si>
  <si>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</si>
  <si>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</si>
  <si>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</si>
  <si>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</si>
  <si>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</si>
  <si>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</si>
  <si>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</si>
  <si>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</si>
  <si>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</si>
  <si>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</si>
  <si>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</si>
  <si>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</si>
  <si>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</si>
  <si>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</si>
  <si>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</si>
  <si>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</si>
  <si>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</si>
  <si>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</si>
  <si>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</si>
  <si>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</si>
  <si>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</si>
  <si>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</si>
  <si>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</si>
  <si>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</si>
  <si>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</si>
  <si>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</si>
  <si>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</si>
  <si>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</si>
  <si>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</si>
  <si>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</si>
  <si>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</si>
  <si>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</si>
  <si>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</si>
  <si>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</si>
  <si>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</si>
  <si>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</si>
  <si>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</si>
  <si>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</si>
  <si>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</si>
  <si>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</si>
  <si>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</si>
  <si>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</si>
  <si>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</si>
  <si>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</si>
  <si>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</si>
  <si>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</si>
  <si>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</si>
  <si>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</si>
  <si>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</si>
  <si>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</si>
  <si>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</si>
  <si>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</si>
  <si>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</si>
  <si>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</si>
  <si>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</si>
  <si>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</si>
  <si>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</si>
  <si>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</si>
  <si>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</si>
  <si>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</si>
  <si>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</si>
  <si>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</si>
  <si>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</si>
  <si>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</si>
  <si>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</si>
  <si>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</si>
  <si>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</si>
  <si>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</si>
  <si>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</si>
  <si>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</si>
  <si>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</si>
  <si>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</si>
  <si>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</si>
  <si>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</si>
  <si>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</si>
  <si>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</si>
  <si>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</si>
  <si>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</si>
  <si>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</si>
  <si>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</si>
  <si>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</si>
  <si>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</si>
  <si>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</si>
  <si>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</si>
  <si>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</si>
  <si>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</si>
  <si>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</si>
  <si>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</si>
  <si>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</si>
  <si>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</si>
  <si>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</si>
  <si>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</si>
  <si>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</si>
  <si>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</si>
  <si>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</si>
  <si>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</si>
  <si>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</si>
  <si>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</si>
  <si>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</si>
  <si>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</si>
  <si>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</si>
  <si>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</si>
  <si>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</si>
  <si>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</si>
  <si>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</si>
  <si>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</si>
  <si>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</si>
  <si>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</si>
  <si>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</si>
  <si>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</si>
  <si>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</si>
  <si>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</si>
  <si>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</si>
  <si>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</si>
  <si>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</si>
  <si>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</si>
  <si>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</si>
  <si>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</si>
  <si>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</si>
  <si>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</si>
  <si>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</si>
  <si>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</si>
  <si>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</si>
  <si>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</si>
  <si>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</si>
  <si>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</si>
  <si>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</si>
  <si>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</si>
  <si>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</si>
  <si>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</si>
  <si>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</si>
  <si>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</si>
  <si>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</si>
  <si>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</si>
  <si>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</si>
  <si>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</si>
  <si>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</si>
  <si>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</si>
  <si>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</si>
  <si>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</si>
  <si>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</si>
  <si>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</si>
  <si>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</si>
  <si>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</si>
  <si>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</si>
  <si>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</si>
  <si>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</si>
  <si>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</si>
  <si>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</si>
  <si>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</si>
  <si>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</si>
  <si>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</si>
  <si>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</si>
  <si>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</si>
  <si>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</si>
  <si>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</si>
  <si>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</si>
  <si>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</si>
  <si>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</si>
  <si>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</si>
  <si>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</si>
  <si>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</si>
  <si>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</si>
  <si>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</si>
  <si>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</si>
  <si>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</si>
  <si>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</si>
  <si>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</si>
  <si>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</si>
  <si>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</si>
  <si>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</si>
  <si>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</si>
  <si>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</si>
  <si>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</si>
  <si>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</si>
  <si>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</si>
  <si>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</si>
  <si>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</si>
  <si>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</si>
  <si>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</si>
  <si>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</si>
  <si>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</si>
  <si>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</si>
  <si>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</si>
  <si>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</si>
  <si>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</si>
  <si>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</si>
  <si>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</si>
  <si>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</si>
  <si>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</si>
  <si>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</si>
  <si>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</si>
  <si>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</si>
  <si>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</si>
  <si>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</si>
  <si>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</si>
  <si>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</si>
  <si>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</si>
  <si>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</si>
  <si>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</si>
  <si>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</si>
  <si>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</si>
  <si>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</si>
  <si>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</si>
  <si>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</si>
  <si>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</si>
  <si>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</si>
  <si>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</si>
  <si>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</si>
  <si>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</si>
  <si>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</si>
  <si>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</si>
  <si>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</si>
  <si>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</si>
  <si>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</si>
  <si>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</si>
  <si>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</si>
  <si>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</si>
  <si>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</si>
  <si>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</si>
  <si>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</si>
  <si>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</si>
  <si>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</si>
  <si>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</si>
  <si>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</si>
  <si>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</si>
  <si>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</si>
  <si>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</si>
  <si>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</si>
  <si>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</si>
  <si>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</si>
  <si>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</si>
  <si>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</si>
  <si>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</si>
  <si>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</si>
  <si>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</si>
  <si>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</si>
  <si>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</si>
  <si>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</si>
  <si>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</si>
  <si>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</si>
  <si>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</si>
  <si>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</si>
  <si>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</si>
  <si>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</si>
  <si>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</si>
  <si>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</si>
  <si>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</si>
  <si>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</si>
  <si>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</si>
  <si>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</si>
  <si>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</si>
  <si>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</si>
  <si>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</si>
  <si>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</si>
  <si>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</si>
  <si>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</si>
  <si>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</si>
  <si>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</si>
  <si>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</si>
  <si>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</si>
  <si>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</si>
  <si>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</si>
  <si>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</si>
  <si>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</si>
  <si>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</si>
  <si>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</si>
  <si>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</si>
  <si>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</si>
  <si>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</si>
  <si>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</si>
  <si>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</si>
  <si>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</si>
  <si>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</si>
  <si>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</si>
  <si>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</si>
  <si>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</si>
  <si>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</si>
  <si>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</si>
  <si>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</si>
  <si>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</si>
  <si>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</si>
  <si>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</si>
  <si>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</si>
  <si>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</si>
  <si>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</si>
  <si>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</si>
  <si>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</si>
  <si>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</si>
  <si>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</si>
  <si>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</si>
  <si>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</si>
  <si>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</si>
  <si>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</si>
  <si>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</si>
  <si>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</si>
  <si>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</si>
  <si>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</si>
  <si>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</si>
  <si>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</si>
  <si>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</si>
  <si>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</si>
  <si>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</si>
  <si>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</si>
  <si>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</si>
  <si>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</si>
  <si>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</si>
  <si>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</si>
  <si>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</si>
  <si>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</si>
  <si>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</si>
  <si>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</si>
  <si>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</si>
  <si>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</si>
  <si>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</si>
  <si>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</si>
  <si>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</si>
  <si>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</si>
  <si>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</si>
  <si>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</si>
  <si>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</si>
  <si>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</si>
  <si>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</si>
  <si>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</si>
  <si>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</si>
  <si>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</si>
  <si>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</si>
  <si>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</si>
  <si>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</si>
  <si>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</si>
  <si>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</si>
  <si>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</si>
  <si>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</si>
  <si>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</si>
  <si>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</si>
  <si>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</si>
  <si>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</si>
  <si>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</si>
  <si>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</si>
  <si>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</si>
  <si>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</si>
  <si>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</si>
  <si>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</si>
  <si>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</si>
  <si>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</si>
  <si>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</si>
  <si>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</si>
  <si>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</si>
  <si>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</si>
  <si>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</si>
  <si>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</si>
  <si>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</si>
  <si>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</si>
  <si>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</si>
  <si>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</si>
  <si>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</si>
  <si>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</si>
  <si>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</si>
  <si>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</si>
  <si>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</si>
  <si>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</si>
  <si>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</si>
  <si>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</si>
  <si>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</si>
  <si>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</si>
  <si>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</si>
  <si>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</si>
  <si>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</si>
  <si>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</si>
  <si>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</si>
  <si>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</si>
  <si>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</si>
  <si>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</si>
  <si>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</si>
  <si>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</si>
  <si>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</si>
  <si>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</si>
  <si>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</si>
  <si>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</si>
  <si>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</si>
  <si>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</si>
  <si>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</si>
  <si>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</si>
  <si>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</si>
  <si>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</si>
  <si>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</si>
  <si>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</si>
  <si>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</si>
  <si>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</si>
  <si>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</si>
  <si>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</si>
  <si>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</si>
  <si>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</si>
  <si>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</si>
  <si>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</si>
  <si>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</si>
  <si>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</si>
  <si>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</si>
  <si>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</si>
  <si>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</si>
  <si>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</si>
  <si>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</si>
  <si>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</si>
  <si>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</si>
  <si>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</si>
  <si>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</si>
  <si>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</si>
  <si>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</si>
  <si>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</si>
  <si>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</si>
  <si>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</si>
  <si>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</si>
  <si>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</si>
  <si>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</si>
  <si>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</si>
  <si>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</si>
  <si>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</si>
  <si>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</si>
  <si>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</si>
  <si>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</si>
  <si>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</si>
  <si>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</si>
  <si>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</si>
  <si>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</si>
  <si>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</si>
  <si>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</si>
  <si>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</si>
  <si>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</si>
  <si>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</si>
  <si>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</si>
  <si>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</si>
  <si>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</si>
  <si>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</si>
  <si>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</si>
  <si>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</si>
  <si>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</si>
  <si>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</si>
  <si>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</si>
  <si>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</si>
  <si>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</si>
  <si>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</si>
  <si>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</si>
  <si>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</si>
  <si>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</si>
  <si>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</si>
  <si>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</si>
  <si>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</si>
  <si>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</si>
  <si>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</si>
  <si>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</si>
  <si>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</si>
  <si>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</si>
  <si>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</si>
  <si>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</si>
  <si>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</si>
  <si>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</si>
  <si>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</si>
  <si>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</si>
  <si>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</si>
  <si>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</si>
  <si>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</si>
  <si>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</si>
  <si>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</si>
  <si>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</si>
  <si>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</si>
  <si>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</si>
  <si>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</si>
  <si>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</si>
  <si>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</si>
  <si>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</si>
  <si>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</si>
  <si>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</si>
  <si>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</si>
  <si>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</si>
  <si>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</si>
  <si>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</si>
  <si>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</si>
  <si>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</si>
  <si>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</si>
  <si>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</si>
  <si>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</si>
  <si>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</si>
  <si>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</si>
  <si>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</si>
  <si>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</si>
  <si>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</si>
  <si>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</si>
  <si>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</si>
  <si>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</si>
  <si>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</si>
  <si>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</si>
  <si>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</si>
  <si>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</si>
  <si>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</si>
  <si>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</si>
  <si>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</si>
  <si>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</si>
  <si>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</si>
  <si>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</si>
  <si>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</si>
  <si>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</si>
  <si>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</si>
  <si>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</si>
  <si>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</si>
  <si>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</si>
  <si>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</si>
  <si>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</si>
  <si>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</si>
  <si>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</si>
  <si>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</si>
  <si>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</si>
  <si>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</si>
  <si>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</si>
  <si>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</si>
  <si>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</si>
  <si>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</si>
  <si>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</si>
  <si>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</si>
  <si>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</si>
  <si>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</si>
  <si>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</si>
  <si>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</si>
  <si>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</si>
  <si>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</si>
  <si>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</si>
  <si>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</si>
  <si>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</si>
  <si>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</si>
  <si>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</si>
  <si>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</si>
  <si>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</si>
  <si>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</si>
  <si>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</si>
  <si>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</si>
  <si>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</si>
  <si>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</si>
  <si>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</si>
  <si>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</si>
  <si>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</si>
  <si>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</si>
  <si>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</si>
  <si>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</si>
  <si>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</si>
  <si>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</si>
  <si>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</si>
  <si>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</si>
  <si>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</si>
  <si>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</si>
  <si>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</si>
  <si>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</si>
  <si>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</si>
  <si>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</si>
  <si>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</si>
  <si>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</si>
  <si>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</si>
  <si>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</si>
  <si>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</si>
  <si>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</si>
  <si>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</si>
  <si>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</si>
  <si>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</si>
  <si>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</si>
  <si>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</si>
  <si>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</si>
  <si>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</si>
  <si>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</si>
  <si>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</si>
  <si>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</si>
  <si>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</si>
  <si>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</si>
  <si>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</si>
  <si>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</si>
  <si>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</si>
  <si>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</si>
  <si>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</si>
  <si>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</si>
  <si>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</si>
  <si>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</si>
  <si>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</si>
  <si>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</si>
  <si>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</si>
  <si>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</si>
  <si>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</si>
  <si>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</si>
  <si>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</si>
  <si>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</si>
  <si>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</si>
  <si>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</si>
  <si>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</si>
  <si>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</si>
  <si>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</si>
  <si>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</si>
  <si>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</si>
  <si>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</si>
  <si>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</si>
  <si>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</si>
  <si>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</si>
  <si>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</si>
  <si>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</si>
  <si>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</si>
  <si>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</si>
  <si>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</si>
  <si>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</si>
  <si>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</si>
  <si>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</si>
  <si>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</si>
  <si>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</si>
  <si>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</si>
  <si>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</si>
  <si>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</si>
  <si>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</si>
  <si>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</si>
  <si>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</si>
  <si>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</si>
  <si>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</si>
  <si>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</si>
  <si>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</si>
  <si>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</si>
  <si>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</si>
  <si>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</si>
  <si>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</si>
  <si>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</si>
  <si>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</si>
  <si>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</si>
  <si>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</si>
  <si>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</si>
  <si>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</si>
  <si>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</si>
  <si>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</si>
  <si>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</si>
  <si>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</si>
  <si>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</si>
  <si>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</si>
  <si>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</si>
  <si>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</si>
  <si>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</si>
  <si>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</si>
  <si>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</si>
  <si>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</si>
  <si>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</si>
  <si>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</si>
  <si>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</si>
  <si>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</si>
  <si>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</si>
  <si>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</si>
  <si>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</si>
  <si>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</si>
  <si>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</si>
  <si>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</si>
  <si>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</si>
  <si>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</si>
  <si>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</si>
  <si>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</si>
  <si>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</si>
  <si>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</si>
  <si>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</si>
  <si>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</si>
  <si>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</si>
  <si>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</si>
  <si>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</si>
  <si>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</si>
  <si>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</si>
  <si>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</si>
  <si>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</si>
  <si>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</si>
  <si>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</si>
  <si>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</si>
  <si>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</si>
  <si>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</si>
  <si>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</si>
  <si>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</si>
  <si>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</si>
  <si>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</si>
  <si>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</si>
  <si>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</si>
  <si>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</si>
  <si>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</si>
  <si>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</si>
  <si>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</si>
  <si>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</si>
  <si>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</si>
  <si>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</si>
  <si>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</si>
  <si>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</si>
  <si>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</si>
  <si>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</si>
  <si>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</si>
  <si>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</si>
  <si>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</si>
  <si>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</si>
  <si>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</si>
  <si>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</si>
  <si>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</si>
  <si>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</si>
  <si>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</si>
  <si>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</si>
  <si>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</si>
  <si>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</si>
  <si>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</si>
  <si>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</si>
  <si>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</si>
  <si>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</si>
  <si>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</si>
  <si>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</si>
  <si>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</si>
  <si>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</si>
  <si>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</si>
  <si>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</si>
  <si>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</si>
  <si>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</si>
  <si>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</si>
  <si>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</si>
  <si>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</si>
  <si>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</si>
  <si>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</si>
  <si>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</si>
  <si>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</si>
  <si>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</si>
  <si>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</si>
  <si>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</si>
  <si>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</si>
  <si>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</si>
  <si>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</si>
  <si>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</si>
  <si>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</si>
  <si>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</si>
  <si>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</si>
  <si>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</si>
  <si>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</si>
  <si>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</si>
  <si>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</si>
  <si>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</si>
  <si>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</si>
  <si>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</si>
  <si>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</si>
  <si>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</si>
  <si>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</si>
  <si>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</si>
  <si>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</si>
  <si>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</si>
  <si>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</si>
  <si>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</si>
  <si>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</si>
  <si>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</si>
  <si>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</si>
  <si>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</si>
  <si>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</si>
  <si>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</si>
  <si>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</si>
  <si>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</si>
  <si>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</si>
  <si>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</si>
  <si>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</si>
  <si>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</si>
  <si>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</si>
  <si>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</si>
  <si>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</si>
  <si>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</si>
  <si>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</si>
  <si>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</si>
  <si>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</si>
  <si>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</si>
  <si>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</si>
  <si>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</si>
  <si>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</si>
  <si>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</si>
  <si>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</si>
  <si>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</si>
  <si>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</si>
  <si>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</si>
  <si>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</si>
  <si>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</si>
  <si>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</si>
  <si>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</si>
  <si>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</si>
  <si>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</si>
  <si>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</si>
  <si>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</si>
  <si>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</si>
  <si>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</si>
  <si>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</si>
  <si>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</si>
  <si>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</si>
  <si>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</si>
  <si>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</si>
  <si>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</si>
  <si>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</si>
  <si>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</si>
  <si>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</si>
  <si>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</si>
  <si>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</si>
  <si>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</si>
  <si>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</si>
  <si>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</si>
  <si>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</si>
  <si>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</si>
  <si>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</si>
  <si>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</si>
  <si>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</si>
  <si>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</si>
  <si>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</si>
  <si>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</si>
  <si>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</si>
  <si>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</si>
  <si>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</si>
  <si>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</si>
  <si>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</si>
  <si>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</si>
  <si>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</si>
  <si>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</si>
  <si>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</si>
  <si>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</si>
  <si>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</si>
  <si>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</si>
  <si>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</si>
  <si>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</si>
  <si>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</si>
  <si>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</si>
  <si>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</si>
  <si>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</si>
  <si>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</si>
  <si>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</si>
  <si>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</si>
  <si>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</si>
  <si>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</si>
  <si>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</si>
  <si>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</si>
  <si>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</si>
  <si>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</si>
  <si>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</si>
  <si>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</si>
  <si>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</si>
  <si>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</si>
  <si>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</si>
  <si>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</si>
  <si>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</si>
  <si>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</si>
  <si>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</si>
  <si>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</si>
  <si>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</si>
  <si>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</si>
  <si>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</si>
  <si>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</si>
  <si>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</si>
  <si>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</si>
  <si>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</si>
  <si>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</si>
  <si>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</si>
  <si>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</si>
  <si>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</si>
  <si>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</si>
  <si>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</si>
  <si>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</si>
  <si>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</si>
  <si>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</si>
  <si>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</si>
  <si>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</si>
  <si>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</si>
  <si>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</si>
  <si>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</si>
  <si>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</si>
  <si>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</si>
  <si>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</si>
  <si>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</si>
  <si>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</si>
  <si>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</si>
  <si>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</si>
  <si>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</si>
  <si>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</si>
  <si>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</si>
  <si>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</si>
  <si>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</si>
  <si>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</si>
  <si>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</si>
  <si>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</si>
  <si>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</si>
  <si>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</si>
  <si>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</si>
  <si>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</si>
  <si>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</si>
  <si>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</si>
  <si>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</si>
  <si>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</si>
  <si>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</si>
  <si>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</si>
  <si>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</si>
  <si>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</si>
  <si>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</si>
  <si>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</si>
  <si>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</si>
  <si>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</si>
  <si>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</si>
  <si>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</si>
  <si>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</si>
  <si>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</si>
  <si>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</si>
  <si>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</si>
  <si>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</si>
  <si>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</si>
  <si>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</si>
  <si>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</si>
  <si>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</si>
  <si>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</si>
  <si>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</si>
  <si>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</si>
  <si>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</si>
  <si>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</si>
  <si>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</si>
  <si>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</si>
  <si>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</si>
  <si>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</si>
  <si>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</si>
  <si>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</si>
  <si>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</si>
  <si>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</si>
  <si>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</si>
  <si>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</si>
  <si>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</si>
  <si>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</si>
  <si>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</si>
  <si>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</si>
  <si>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</si>
  <si>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</si>
  <si>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</si>
  <si>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</si>
  <si>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</si>
  <si>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</si>
  <si>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</si>
  <si>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</si>
  <si>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</si>
  <si>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</si>
  <si>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</si>
  <si>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</si>
  <si>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</si>
  <si>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</si>
  <si>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</si>
  <si>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</si>
  <si>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</si>
  <si>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</si>
  <si>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</si>
  <si>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</si>
  <si>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</si>
  <si>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</si>
  <si>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</si>
  <si>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</si>
  <si>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</si>
  <si>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</si>
  <si>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</si>
  <si>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</si>
  <si>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</si>
  <si>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</si>
  <si>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</si>
  <si>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</si>
  <si>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</si>
  <si>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</si>
  <si>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</si>
  <si>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</si>
  <si>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</si>
  <si>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</si>
  <si>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</si>
  <si>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</si>
  <si>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</si>
  <si>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</si>
  <si>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</si>
  <si>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</si>
  <si>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</si>
  <si>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</si>
  <si>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</si>
  <si>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</si>
  <si>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</si>
  <si>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</si>
  <si>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</si>
  <si>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</si>
  <si>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</si>
  <si>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</si>
  <si>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</si>
  <si>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</si>
  <si>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</si>
  <si>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</si>
  <si>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</si>
  <si>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</si>
  <si>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</si>
  <si>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</si>
  <si>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</si>
  <si>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</si>
  <si>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</si>
  <si>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</si>
  <si>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</si>
  <si>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</si>
  <si>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</si>
  <si>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</si>
  <si>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</si>
  <si>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</si>
  <si>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</si>
  <si>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</si>
  <si>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</si>
  <si>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</si>
  <si>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</si>
  <si>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</si>
  <si>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</si>
  <si>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</si>
  <si>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</si>
  <si>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</si>
  <si>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</si>
  <si>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</si>
  <si>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</si>
  <si>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</si>
  <si>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</si>
  <si>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</si>
  <si>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</si>
  <si>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</si>
  <si>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</si>
  <si>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</si>
  <si>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</si>
  <si>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</si>
  <si>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</si>
  <si>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</si>
  <si>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</si>
  <si>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</si>
  <si>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</si>
  <si>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</si>
  <si>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</si>
  <si>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</si>
  <si>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</si>
  <si>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</si>
  <si>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</si>
  <si>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</si>
  <si>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</si>
  <si>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</si>
  <si>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</si>
  <si>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</si>
  <si>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</si>
  <si>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</si>
  <si>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</si>
  <si>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</si>
  <si>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</si>
  <si>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</si>
  <si>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</si>
  <si>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</si>
  <si>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</si>
  <si>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</si>
  <si>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</si>
  <si>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</si>
  <si>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</si>
  <si>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</si>
  <si>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</si>
  <si>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</si>
  <si>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</si>
  <si>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</si>
  <si>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</si>
  <si>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</si>
  <si>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</si>
  <si>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</si>
  <si>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</si>
  <si>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</si>
  <si>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</si>
  <si>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</si>
  <si>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</si>
  <si>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</si>
  <si>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</si>
  <si>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</si>
  <si>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</si>
  <si>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</si>
  <si>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</si>
  <si>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</si>
  <si>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</si>
  <si>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</si>
  <si>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</si>
  <si>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</si>
  <si>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</si>
  <si>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</si>
  <si>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</si>
  <si>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</si>
  <si>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</si>
  <si>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</si>
  <si>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</si>
  <si>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</si>
  <si>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</si>
  <si>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</si>
  <si>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</si>
  <si>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</si>
  <si>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</si>
  <si>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</si>
  <si>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</si>
  <si>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</si>
  <si>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</si>
  <si>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</si>
  <si>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</si>
  <si>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</si>
  <si>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</si>
  <si>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</si>
  <si>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</si>
  <si>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</si>
  <si>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</si>
  <si>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</si>
  <si>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</si>
  <si>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</si>
  <si>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</si>
  <si>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</si>
  <si>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</si>
  <si>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</si>
  <si>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</si>
  <si>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</si>
  <si>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</si>
  <si>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</si>
  <si>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</si>
  <si>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</si>
  <si>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</si>
  <si>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</si>
  <si>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</si>
  <si>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</si>
  <si>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</si>
  <si>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</si>
  <si>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</si>
  <si>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</si>
  <si>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</si>
  <si>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</si>
  <si>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</si>
  <si>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</si>
  <si>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</si>
  <si>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</si>
  <si>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</si>
  <si>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</si>
  <si>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</si>
  <si>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</si>
  <si>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</si>
  <si>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</si>
  <si>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</si>
  <si>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</si>
  <si>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</si>
  <si>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</si>
  <si>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</si>
  <si>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</si>
  <si>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</si>
  <si>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</si>
  <si>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</si>
  <si>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</si>
  <si>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</si>
  <si>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</si>
  <si>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</si>
  <si>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</si>
  <si>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</si>
  <si>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</si>
  <si>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</si>
  <si>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</si>
  <si>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</si>
  <si>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</si>
  <si>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</si>
  <si>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</si>
  <si>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</si>
  <si>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</si>
  <si>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</si>
  <si>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</si>
  <si>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</si>
  <si>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</si>
  <si>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</si>
  <si>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</si>
  <si>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</si>
  <si>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</si>
  <si>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Lauterbach &amp; Amen, LLP</t>
  </si>
  <si>
    <t>McHenry</t>
  </si>
  <si>
    <t>Matt Beran</t>
  </si>
  <si>
    <t>668 N. River Road</t>
  </si>
  <si>
    <t>2155 Crystal Lake Road</t>
  </si>
  <si>
    <t>Cary</t>
  </si>
  <si>
    <t>Naperville</t>
  </si>
  <si>
    <t>IL</t>
  </si>
  <si>
    <t>630-393-1483</t>
  </si>
  <si>
    <t>630-393-2516</t>
  </si>
  <si>
    <t>065-033233</t>
  </si>
  <si>
    <t>mberan@lauterbachamen.com</t>
  </si>
  <si>
    <t>GO Bonds 2011A</t>
  </si>
  <si>
    <t>GO Bonds 2011C</t>
  </si>
  <si>
    <t>GO Refunding Bonds 2013</t>
  </si>
  <si>
    <t>GO Refunding Bonds 2014</t>
  </si>
  <si>
    <t>GO Refunding Bonds 2016A</t>
  </si>
  <si>
    <t>GO Refunding Bonds 2017A</t>
  </si>
  <si>
    <t>GO Refunding Bonds 2017B</t>
  </si>
  <si>
    <t>ED-INSTRUCTION-SUPPLIES</t>
  </si>
  <si>
    <t>10-1000-400</t>
  </si>
  <si>
    <t>AMAZON</t>
  </si>
  <si>
    <t>OP-BUDINESS- PURCHASED SERVICES</t>
  </si>
  <si>
    <t>20-2540-300</t>
  </si>
  <si>
    <t>CALL ONE</t>
  </si>
  <si>
    <t>ED - DATA PROCESSING - SUPPLIES</t>
  </si>
  <si>
    <t>10-2660-400</t>
  </si>
  <si>
    <t>CDW GOVERNMENT INC</t>
  </si>
  <si>
    <t>OP - BUSINESS - SUPPLIES</t>
  </si>
  <si>
    <t>20-2540-400</t>
  </si>
  <si>
    <t>CENTERPOINT ENERGY SERVICES</t>
  </si>
  <si>
    <t>TR - PUPIL TRANSPORTATION - PURCHASED SERVICES</t>
  </si>
  <si>
    <t>40-2550-300</t>
  </si>
  <si>
    <t>CHAIN O LAKES TRANSPORTATION</t>
  </si>
  <si>
    <t>CHAMPION ENERGY LLC</t>
  </si>
  <si>
    <t>OP - OP &amp; MAINT PLANT SERVICE - PURCHASED SERVICES</t>
  </si>
  <si>
    <t>COMCAST</t>
  </si>
  <si>
    <t>COMFORT SERVICES INC</t>
  </si>
  <si>
    <t>ED -DATA PROCESSING - SUPPLIES</t>
  </si>
  <si>
    <t>GORDON FLESCH COMPANY INC</t>
  </si>
  <si>
    <t>LANGTON GROUP</t>
  </si>
  <si>
    <t>ED - FISCAL SERVICES - PURCHASED SERVICES</t>
  </si>
  <si>
    <t>10-2520-300</t>
  </si>
  <si>
    <t>LAUTERBACH &amp; AMEN LLP</t>
  </si>
  <si>
    <t>ED INSTRUCTION - SUPPLIES</t>
  </si>
  <si>
    <t>MCGRAW HILL SCHOOL ED</t>
  </si>
  <si>
    <t>MIDLAND PAPER</t>
  </si>
  <si>
    <t>MIDWEST SNOW SOLUTIONS</t>
  </si>
  <si>
    <t>ED - OP &amp; MAINT PLANT SERVICE - PURCHASED SERVICES</t>
  </si>
  <si>
    <t>10-2660-300</t>
  </si>
  <si>
    <t>NETRIX LLC</t>
  </si>
  <si>
    <t>ED - FOOD SERVICES - PURCHASED SERVICES</t>
  </si>
  <si>
    <t>10-2560-300</t>
  </si>
  <si>
    <t>ORGANIC LIFE</t>
  </si>
  <si>
    <t>PEARSON EDUCATION INC</t>
  </si>
  <si>
    <t>TR - PUPIL TRANSPORTATION - SUPPLIES</t>
  </si>
  <si>
    <t>40-2550-400</t>
  </si>
  <si>
    <t>PETROCHOICE</t>
  </si>
  <si>
    <t>REVTRAK INC</t>
  </si>
  <si>
    <t>RJB PROPERTIES INC</t>
  </si>
  <si>
    <t>ED - GENERAL ADMIN - PURCHASED SERVICES</t>
  </si>
  <si>
    <t>10-2300-300</t>
  </si>
  <si>
    <t>ROBIN SCHWARTZ</t>
  </si>
  <si>
    <t>VILLAGE OF CARY</t>
  </si>
  <si>
    <t>OP - OP &amp; MAINT PLANT SERVICE - SUPPLIES</t>
  </si>
  <si>
    <t>WAREHOUSE DIRECT INC</t>
  </si>
  <si>
    <t>RJB</t>
  </si>
  <si>
    <t>Gallagher/ Basset Services, Inc.; Educational Benefit Cooperative</t>
  </si>
  <si>
    <t>PMA</t>
  </si>
  <si>
    <t>Franczek Radelet; Hodges Loizzi Eisenhammer; Robbins Schwartz</t>
  </si>
  <si>
    <t>Comfort Services TJB</t>
  </si>
  <si>
    <t>CenterPoint</t>
  </si>
  <si>
    <t>Organic Life</t>
  </si>
  <si>
    <t>Gallagher/Bassett Services, Inc.; Arthur J. Gallagher Risk Management Inc.; CLIC; AIG</t>
  </si>
  <si>
    <t>SEDOM</t>
  </si>
  <si>
    <t>State of Illinois Joint Purchasing; National Joint Powers Alliance</t>
  </si>
  <si>
    <t>SEDOM; Chain O Lakes Transportation</t>
  </si>
  <si>
    <t>Cary Park District; Cary Youth Baseball; Cary Jr. Trojans Football; Cary Basketball Assoc.</t>
  </si>
  <si>
    <t>N/A</t>
  </si>
  <si>
    <t>Short-Term Long-Term Debt 24 - Total Refundings of $3,895,000</t>
  </si>
  <si>
    <t>Debt Certificates, Series 2017C</t>
  </si>
  <si>
    <t>Debt Certificate</t>
  </si>
  <si>
    <t>Brian Coleman</t>
  </si>
  <si>
    <t>brian.coleman@cary26.org</t>
  </si>
  <si>
    <t>224-357-5100</t>
  </si>
  <si>
    <t>maria.treto-french@cary26.org</t>
  </si>
  <si>
    <t>Cary CCSD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</si>
</sst>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0" applyFont="1" applyAlignment="1">
      <alignment horizontal="left" indent="2"/>
    </xf>
    <xf numFmtId="0" fontId="30" fillId="0" borderId="0" xfId="2" applyAlignment="1" applyProtection="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519546</xdr:colOff>
          <xdr:row>0</xdr:row>
          <xdr:rowOff>155863</xdr:rowOff>
        </xdr:from>
        <xdr:to>
          <xdr:col>1</xdr:col>
          <xdr:colOff>1431348</xdr:colOff>
          <xdr:row>5</xdr:row>
          <xdr:rowOff>29440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1697182</xdr:colOff>
          <xdr:row>1</xdr:row>
          <xdr:rowOff>0</xdr:rowOff>
        </xdr:from>
        <xdr:to>
          <xdr:col>1</xdr:col>
          <xdr:colOff>2608984</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2883478</xdr:colOff>
          <xdr:row>0</xdr:row>
          <xdr:rowOff>147204</xdr:rowOff>
        </xdr:from>
        <xdr:to>
          <xdr:col>1</xdr:col>
          <xdr:colOff>3795280</xdr:colOff>
          <xdr:row>5</xdr:row>
          <xdr:rowOff>20781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536864</xdr:colOff>
          <xdr:row>6</xdr:row>
          <xdr:rowOff>103910</xdr:rowOff>
        </xdr:from>
        <xdr:to>
          <xdr:col>1</xdr:col>
          <xdr:colOff>1447801</xdr:colOff>
          <xdr:row>11</xdr:row>
          <xdr:rowOff>63211</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1688522</xdr:colOff>
          <xdr:row>6</xdr:row>
          <xdr:rowOff>103910</xdr:rowOff>
        </xdr:from>
        <xdr:to>
          <xdr:col>1</xdr:col>
          <xdr:colOff>2599459</xdr:colOff>
          <xdr:row>11</xdr:row>
          <xdr:rowOff>63211</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2926773</xdr:colOff>
          <xdr:row>6</xdr:row>
          <xdr:rowOff>138546</xdr:rowOff>
        </xdr:from>
        <xdr:to>
          <xdr:col>1</xdr:col>
          <xdr:colOff>3837710</xdr:colOff>
          <xdr:row>11</xdr:row>
          <xdr:rowOff>97847</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2076</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t="s">
        <v>2076</v>
      </c>
      <c r="P12" s="100" t="s">
        <v>211</v>
      </c>
      <c r="Q12" s="74"/>
      <c r="R12" s="30"/>
      <c r="S12" s="30"/>
      <c r="T12" s="85" t="s">
        <v>282</v>
      </c>
      <c r="U12" s="51"/>
      <c r="V12" s="51"/>
      <c r="W12" s="51"/>
      <c r="X12" s="51"/>
      <c r="Y12" s="45"/>
      <c r="Z12" s="45"/>
      <c r="AA12" s="46"/>
    </row>
    <row r="13" spans="1:28" ht="13.5" customHeight="1" x14ac:dyDescent="0.2">
      <c r="A13" s="2003">
        <v>44063026004</v>
      </c>
      <c r="B13" s="2004"/>
      <c r="C13" s="2004"/>
      <c r="D13" s="2004"/>
      <c r="E13" s="2004"/>
      <c r="F13" s="2004"/>
      <c r="G13" s="2004"/>
      <c r="H13" s="2005"/>
      <c r="I13" s="31"/>
      <c r="J13" s="30"/>
      <c r="K13" s="28"/>
      <c r="L13" s="30"/>
      <c r="M13" s="30"/>
      <c r="N13" s="30"/>
      <c r="O13" s="30"/>
      <c r="P13" s="30"/>
      <c r="Q13" s="30"/>
      <c r="R13" s="30"/>
      <c r="S13" s="30"/>
      <c r="T13" s="2008" t="s">
        <v>2077</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2078</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2163</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2081</v>
      </c>
      <c r="B19" s="2002"/>
      <c r="C19" s="2002"/>
      <c r="D19" s="2002"/>
      <c r="E19" s="2002"/>
      <c r="F19" s="2002"/>
      <c r="G19" s="2002"/>
      <c r="H19" s="2000"/>
      <c r="I19" s="30"/>
      <c r="J19" s="99"/>
      <c r="K19" s="40"/>
      <c r="L19" s="38"/>
      <c r="M19" s="112" t="s">
        <v>332</v>
      </c>
      <c r="P19" s="27"/>
      <c r="Q19" s="27"/>
      <c r="R19" s="27"/>
      <c r="S19" s="31"/>
      <c r="T19" s="2001" t="s">
        <v>2083</v>
      </c>
      <c r="U19" s="1999"/>
      <c r="V19" s="1999"/>
      <c r="W19" s="2000"/>
      <c r="X19" s="2016" t="s">
        <v>2084</v>
      </c>
      <c r="Y19" s="2017"/>
      <c r="Z19" s="2014">
        <v>60563</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2082</v>
      </c>
      <c r="B21" s="1999"/>
      <c r="C21" s="1999"/>
      <c r="D21" s="1999"/>
      <c r="E21" s="1999"/>
      <c r="F21" s="1999"/>
      <c r="G21" s="1999"/>
      <c r="H21" s="2000"/>
      <c r="I21" s="2024" t="s">
        <v>698</v>
      </c>
      <c r="J21" s="1987"/>
      <c r="K21" s="1987"/>
      <c r="L21" s="1987"/>
      <c r="M21" s="1987"/>
      <c r="N21" s="1987"/>
      <c r="O21" s="1987"/>
      <c r="P21" s="1987"/>
      <c r="Q21" s="1987"/>
      <c r="R21" s="1987"/>
      <c r="S21" s="1988"/>
      <c r="T21" s="1966" t="s">
        <v>2085</v>
      </c>
      <c r="U21" s="1967"/>
      <c r="V21" s="1967"/>
      <c r="W21" s="1967"/>
      <c r="X21" s="1980" t="s">
        <v>2086</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2162</v>
      </c>
      <c r="B23" s="2022"/>
      <c r="C23" s="2022"/>
      <c r="D23" s="2022"/>
      <c r="E23" s="2022"/>
      <c r="F23" s="2022"/>
      <c r="G23" s="2022"/>
      <c r="H23" s="2023"/>
      <c r="T23" s="1961" t="s">
        <v>2087</v>
      </c>
      <c r="U23" s="1962"/>
      <c r="V23" s="1962"/>
      <c r="W23" s="1962"/>
      <c r="X23" s="1977">
        <v>44469</v>
      </c>
      <c r="Y23" s="1978"/>
      <c r="Z23" s="1978"/>
      <c r="AA23" s="1979"/>
    </row>
    <row r="24" spans="1:27" ht="14.1" customHeight="1" x14ac:dyDescent="0.2">
      <c r="A24" s="88" t="s">
        <v>697</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60013</v>
      </c>
      <c r="B25" s="1999"/>
      <c r="C25" s="1999"/>
      <c r="D25" s="1999"/>
      <c r="E25" s="1999"/>
      <c r="F25" s="1999"/>
      <c r="G25" s="1999"/>
      <c r="H25" s="2000"/>
      <c r="I25" s="113"/>
      <c r="J25" s="2065"/>
      <c r="K25" s="2065"/>
      <c r="L25" s="2065"/>
      <c r="M25" s="2065"/>
      <c r="N25" s="2065"/>
      <c r="O25" s="2065"/>
      <c r="P25" s="2065"/>
      <c r="Q25" s="2065"/>
      <c r="R25" s="2065"/>
      <c r="S25" s="2066"/>
      <c r="T25" s="1958" t="s">
        <v>2088</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2076</v>
      </c>
      <c r="F29" s="141" t="s">
        <v>1382</v>
      </c>
      <c r="G29" s="114"/>
      <c r="I29" s="54"/>
      <c r="J29" s="102" t="s">
        <v>2076</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02" t="s">
        <v>2076</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02"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t="s">
        <v>2159</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t="s">
        <v>2160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t="s">
        <v>2161</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1904</v>
      </c>
      <c r="B2" s="1550" t="s">
        <v>2036</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1216</v>
      </c>
      <c r="B4" s="1771">
        <f>'Revenues 9-14'!C5</f>
        <v>17052054</v>
      </c>
      <c r="C4" s="1546">
        <f>625535+8768249</f>
        <v>9393784</v>
      </c>
      <c r="D4" s="1774">
        <f>B4-C4</f>
        <v>7658270</v>
      </c>
      <c r="E4" s="1546">
        <v>8040954</v>
      </c>
      <c r="F4" s="1774">
        <f>E4-C4</f>
        <v>-1352830</v>
      </c>
    </row>
    <row r="5" spans="1:6" ht="13.7" customHeight="1" x14ac:dyDescent="0.2">
      <c r="A5" s="716" t="s">
        <v>924</v>
      </c>
      <c r="B5" s="1772">
        <f>'Revenues 9-14'!D5</f>
        <v>1905366</v>
      </c>
      <c r="C5" s="585">
        <f>69703+977033</f>
        <v>1046736</v>
      </c>
      <c r="D5" s="1775">
        <f t="shared" ref="D5:D18" si="0">B5-C5</f>
        <v>858630</v>
      </c>
      <c r="E5" s="585">
        <v>895992</v>
      </c>
      <c r="F5" s="1775">
        <f>E5-C5</f>
        <v>-150744</v>
      </c>
    </row>
    <row r="6" spans="1:6" ht="13.7" customHeight="1" x14ac:dyDescent="0.2">
      <c r="A6" s="716" t="s">
        <v>430</v>
      </c>
      <c r="B6" s="1772">
        <f>'Revenues 9-14'!E5</f>
        <v>3406183</v>
      </c>
      <c r="C6" s="585">
        <f>108379+1519170</f>
        <v>1627549</v>
      </c>
      <c r="D6" s="1775">
        <f t="shared" si="0"/>
        <v>1778634</v>
      </c>
      <c r="E6" s="585">
        <v>1393160</v>
      </c>
      <c r="F6" s="1775">
        <f t="shared" ref="F6:F18" si="1">E6-C6</f>
        <v>-234389</v>
      </c>
    </row>
    <row r="7" spans="1:6" ht="13.7" customHeight="1" x14ac:dyDescent="0.2">
      <c r="A7" s="716" t="s">
        <v>157</v>
      </c>
      <c r="B7" s="1772">
        <f>'Revenues 9-14'!F5</f>
        <v>1038459</v>
      </c>
      <c r="C7" s="585">
        <f>38247+536116</f>
        <v>574363</v>
      </c>
      <c r="D7" s="1775">
        <f t="shared" si="0"/>
        <v>464096</v>
      </c>
      <c r="E7" s="585">
        <v>491647</v>
      </c>
      <c r="F7" s="1775">
        <f t="shared" si="1"/>
        <v>-82716</v>
      </c>
    </row>
    <row r="8" spans="1:6" ht="13.7" customHeight="1" x14ac:dyDescent="0.2">
      <c r="A8" s="716" t="s">
        <v>1240</v>
      </c>
      <c r="B8" s="1772">
        <f>'Revenues 9-14'!G5</f>
        <v>448695</v>
      </c>
      <c r="C8" s="585">
        <f>16443+230480</f>
        <v>246923</v>
      </c>
      <c r="D8" s="1775">
        <f t="shared" si="0"/>
        <v>201772</v>
      </c>
      <c r="E8" s="585">
        <v>211363</v>
      </c>
      <c r="F8" s="1775">
        <f t="shared" si="1"/>
        <v>-35560</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0</v>
      </c>
      <c r="C10" s="585"/>
      <c r="D10" s="1775">
        <f t="shared" si="0"/>
        <v>0</v>
      </c>
      <c r="E10" s="585"/>
      <c r="F10" s="1775">
        <f t="shared" si="1"/>
        <v>0</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249962</v>
      </c>
      <c r="C14" s="585">
        <f>9294+130273</f>
        <v>139567</v>
      </c>
      <c r="D14" s="1775">
        <f t="shared" si="0"/>
        <v>110395</v>
      </c>
      <c r="E14" s="585">
        <v>119467</v>
      </c>
      <c r="F14" s="1775">
        <f t="shared" si="1"/>
        <v>-20100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468883</v>
      </c>
      <c r="C16" s="585">
        <f>17158+240502</f>
        <v>257660</v>
      </c>
      <c r="D16" s="1775">
        <f t="shared" si="0"/>
        <v>211223</v>
      </c>
      <c r="E16" s="585">
        <v>220553</v>
      </c>
      <c r="F16" s="1775">
        <f t="shared" si="1"/>
        <v>-37107</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24569602</v>
      </c>
      <c r="C19" s="1773">
        <f>SUM(C4:C18)</f>
        <v>13286582</v>
      </c>
      <c r="D19" s="1773">
        <f>SUM(D4:D18)</f>
        <v>11283020</v>
      </c>
      <c r="E19" s="1773">
        <f>SUM(E4:E18)</f>
        <v>11373136</v>
      </c>
      <c r="F19" s="1773">
        <f>SUM(F4:F18)</f>
        <v>-1913446</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election activeCell="A39" sqref="A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2"/>
    </row>
    <row r="2" spans="1:7" ht="33.75" x14ac:dyDescent="0.2">
      <c r="A2" s="2215" t="s">
        <v>1904</v>
      </c>
      <c r="B2" s="2216"/>
      <c r="C2" s="1909" t="s">
        <v>2037</v>
      </c>
      <c r="D2" s="724" t="s">
        <v>2044</v>
      </c>
      <c r="E2" s="724" t="s">
        <v>2045</v>
      </c>
      <c r="F2" s="1909" t="s">
        <v>2038</v>
      </c>
    </row>
    <row r="3" spans="1:7" ht="15.75" customHeight="1" x14ac:dyDescent="0.2">
      <c r="A3" s="2219" t="s">
        <v>1175</v>
      </c>
      <c r="B3" s="2220"/>
      <c r="C3" s="2208"/>
      <c r="D3" s="2209"/>
      <c r="E3" s="2209"/>
      <c r="F3" s="2210"/>
    </row>
    <row r="4" spans="1:7" ht="12.75" customHeight="1" thickBot="1" x14ac:dyDescent="0.25">
      <c r="A4" s="2217" t="s">
        <v>650</v>
      </c>
      <c r="B4" s="2218"/>
      <c r="C4" s="581"/>
      <c r="D4" s="581"/>
      <c r="E4" s="581"/>
      <c r="F4" s="1777">
        <f>SUM(C4+D4)-E4</f>
        <v>0</v>
      </c>
    </row>
    <row r="5" spans="1:7" ht="15.75" customHeight="1" thickTop="1" x14ac:dyDescent="0.2">
      <c r="A5" s="2202" t="s">
        <v>1171</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4" t="s">
        <v>651</v>
      </c>
      <c r="B15" s="2205"/>
      <c r="C15" s="1777">
        <f>SUM(C6:C14)</f>
        <v>0</v>
      </c>
      <c r="D15" s="1777">
        <f>SUM(D6:D14)</f>
        <v>0</v>
      </c>
      <c r="E15" s="1777">
        <f>SUM(E6:E14)</f>
        <v>0</v>
      </c>
      <c r="F15" s="1777">
        <f>SUM(F6:F14)</f>
        <v>0</v>
      </c>
      <c r="G15" s="552"/>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405</v>
      </c>
      <c r="B19" s="2228"/>
      <c r="C19" s="727"/>
      <c r="D19" s="585"/>
      <c r="E19" s="727"/>
      <c r="F19" s="1777">
        <f>SUM(C19+D19)-E19</f>
        <v>0</v>
      </c>
    </row>
    <row r="20" spans="1:11" ht="12.75" customHeight="1" thickTop="1" thickBot="1" x14ac:dyDescent="0.25">
      <c r="A20" s="2227" t="s">
        <v>467</v>
      </c>
      <c r="B20" s="2228"/>
      <c r="C20" s="727"/>
      <c r="D20" s="585"/>
      <c r="E20" s="727"/>
      <c r="F20" s="1777">
        <f>SUM(C20+D20)-E20</f>
        <v>0</v>
      </c>
    </row>
    <row r="21" spans="1:11" ht="14.25" thickTop="1" thickBot="1" x14ac:dyDescent="0.25">
      <c r="A21" s="2204" t="s">
        <v>652</v>
      </c>
      <c r="B21" s="2205"/>
      <c r="C21" s="1777">
        <f>SUM(C17:C20)</f>
        <v>0</v>
      </c>
      <c r="D21" s="1777">
        <f>SUM(D17:D20)</f>
        <v>0</v>
      </c>
      <c r="E21" s="1777">
        <f>SUM(E17:E20)</f>
        <v>0</v>
      </c>
      <c r="F21" s="1777">
        <f>SUM(F17:F20)</f>
        <v>0</v>
      </c>
      <c r="G21" s="552"/>
    </row>
    <row r="22" spans="1:11" ht="15.75" customHeight="1" thickTop="1" x14ac:dyDescent="0.2">
      <c r="A22" s="2229" t="s">
        <v>1173</v>
      </c>
      <c r="B22" s="2203"/>
      <c r="C22" s="2211"/>
      <c r="D22" s="2212"/>
      <c r="E22" s="2212"/>
      <c r="F22" s="2213"/>
    </row>
    <row r="23" spans="1:11" ht="13.5" thickBot="1" x14ac:dyDescent="0.25">
      <c r="A23" s="2217" t="s">
        <v>653</v>
      </c>
      <c r="B23" s="2218"/>
      <c r="C23" s="581"/>
      <c r="D23" s="581"/>
      <c r="E23" s="581"/>
      <c r="F23" s="1777">
        <f>SUM(C23+D23)-E23</f>
        <v>0</v>
      </c>
      <c r="G23" s="552"/>
    </row>
    <row r="24" spans="1:11" ht="15.75" customHeight="1" thickTop="1" x14ac:dyDescent="0.2">
      <c r="A24" s="2229" t="s">
        <v>1174</v>
      </c>
      <c r="B24" s="2203"/>
      <c r="C24" s="2211"/>
      <c r="D24" s="2212"/>
      <c r="E24" s="2212"/>
      <c r="F24" s="2213"/>
    </row>
    <row r="25" spans="1:11" ht="13.5" thickBot="1" x14ac:dyDescent="0.25">
      <c r="A25" s="2217" t="s">
        <v>654</v>
      </c>
      <c r="B25" s="2218"/>
      <c r="C25" s="581"/>
      <c r="D25" s="581"/>
      <c r="E25" s="581"/>
      <c r="F25" s="1777">
        <f>SUM(C25+D25)-E25</f>
        <v>0</v>
      </c>
      <c r="G25" s="552"/>
    </row>
    <row r="26" spans="1:11" ht="15.75" customHeight="1" thickTop="1" x14ac:dyDescent="0.2">
      <c r="A26" s="2202" t="s">
        <v>677</v>
      </c>
      <c r="B26" s="2203"/>
      <c r="C26" s="728"/>
      <c r="D26" s="728"/>
      <c r="E26" s="728"/>
      <c r="F26" s="729"/>
    </row>
    <row r="27" spans="1:11" ht="13.5" thickBot="1" x14ac:dyDescent="0.25">
      <c r="A27" s="2204" t="s">
        <v>1129</v>
      </c>
      <c r="B27" s="2205"/>
      <c r="C27" s="585"/>
      <c r="D27" s="585"/>
      <c r="E27" s="585"/>
      <c r="F27" s="1777">
        <f>SUM(C27+D27)-E27</f>
        <v>0</v>
      </c>
      <c r="G27" s="552"/>
    </row>
    <row r="28" spans="1:11" ht="7.5" customHeight="1" thickTop="1" x14ac:dyDescent="0.2">
      <c r="A28" s="594"/>
    </row>
    <row r="29" spans="1:11" ht="23.25" customHeight="1" x14ac:dyDescent="0.2">
      <c r="A29" s="2230" t="s">
        <v>602</v>
      </c>
      <c r="B29" s="2207"/>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2089</v>
      </c>
      <c r="B31" s="734">
        <v>40574</v>
      </c>
      <c r="C31" s="735">
        <v>13400000</v>
      </c>
      <c r="D31" s="736">
        <v>7</v>
      </c>
      <c r="E31" s="735">
        <v>3515000</v>
      </c>
      <c r="F31" s="735"/>
      <c r="G31" s="735">
        <v>-1340000</v>
      </c>
      <c r="H31" s="735"/>
      <c r="I31" s="1778">
        <f>((E31+F31)-H31)+G31</f>
        <v>2175000</v>
      </c>
      <c r="J31" s="735">
        <f>I31-990384</f>
        <v>1184616</v>
      </c>
      <c r="K31" s="737"/>
    </row>
    <row r="32" spans="1:11" ht="12" customHeight="1" x14ac:dyDescent="0.2">
      <c r="A32" s="733" t="s">
        <v>2090</v>
      </c>
      <c r="B32" s="734">
        <v>40574</v>
      </c>
      <c r="C32" s="735">
        <v>1600000</v>
      </c>
      <c r="D32" s="736">
        <v>7</v>
      </c>
      <c r="E32" s="735">
        <v>1600000</v>
      </c>
      <c r="F32" s="735"/>
      <c r="G32" s="735"/>
      <c r="H32" s="735"/>
      <c r="I32" s="1778">
        <f>((E32+F32)-H32)+G32</f>
        <v>1600000</v>
      </c>
      <c r="J32" s="735">
        <f t="shared" ref="J32:J37" si="1">I32</f>
        <v>1600000</v>
      </c>
      <c r="K32" s="737"/>
    </row>
    <row r="33" spans="1:11" ht="12" customHeight="1" x14ac:dyDescent="0.2">
      <c r="A33" s="733" t="s">
        <v>2091</v>
      </c>
      <c r="B33" s="734">
        <v>41624</v>
      </c>
      <c r="C33" s="735">
        <v>5475000</v>
      </c>
      <c r="D33" s="736">
        <v>3</v>
      </c>
      <c r="E33" s="735">
        <v>2090000</v>
      </c>
      <c r="F33" s="735"/>
      <c r="G33" s="735"/>
      <c r="H33" s="735">
        <v>1250000</v>
      </c>
      <c r="I33" s="1778">
        <f t="shared" ref="I33:I48" si="2">((E33+F33)-H33)+G33</f>
        <v>840000</v>
      </c>
      <c r="J33" s="735">
        <f t="shared" si="1"/>
        <v>840000</v>
      </c>
      <c r="K33" s="737"/>
    </row>
    <row r="34" spans="1:11" ht="12" customHeight="1" x14ac:dyDescent="0.2">
      <c r="A34" s="733" t="s">
        <v>2092</v>
      </c>
      <c r="B34" s="734">
        <v>41963</v>
      </c>
      <c r="C34" s="735">
        <v>7190000</v>
      </c>
      <c r="D34" s="736">
        <v>3</v>
      </c>
      <c r="E34" s="735">
        <v>4035000</v>
      </c>
      <c r="F34" s="735"/>
      <c r="G34" s="735"/>
      <c r="H34" s="735">
        <v>1740000</v>
      </c>
      <c r="I34" s="1778">
        <f t="shared" si="2"/>
        <v>2295000</v>
      </c>
      <c r="J34" s="735">
        <f t="shared" si="1"/>
        <v>2295000</v>
      </c>
      <c r="K34" s="738"/>
    </row>
    <row r="35" spans="1:11" ht="12" customHeight="1" x14ac:dyDescent="0.2">
      <c r="A35" s="733" t="s">
        <v>2093</v>
      </c>
      <c r="B35" s="734">
        <v>42682</v>
      </c>
      <c r="C35" s="739">
        <v>9975000</v>
      </c>
      <c r="D35" s="736">
        <v>3</v>
      </c>
      <c r="E35" s="739">
        <v>9975000</v>
      </c>
      <c r="F35" s="739"/>
      <c r="G35" s="739">
        <v>-845000</v>
      </c>
      <c r="H35" s="739">
        <v>5000</v>
      </c>
      <c r="I35" s="1778">
        <f t="shared" si="2"/>
        <v>9125000</v>
      </c>
      <c r="J35" s="739">
        <f>I35</f>
        <v>9125000</v>
      </c>
      <c r="K35" s="738"/>
    </row>
    <row r="36" spans="1:11" ht="12" customHeight="1" x14ac:dyDescent="0.2">
      <c r="A36" s="733" t="s">
        <v>2094</v>
      </c>
      <c r="B36" s="734">
        <v>42706</v>
      </c>
      <c r="C36" s="735">
        <v>1050000</v>
      </c>
      <c r="D36" s="736">
        <v>3</v>
      </c>
      <c r="E36" s="735">
        <v>690000</v>
      </c>
      <c r="F36" s="735"/>
      <c r="G36" s="735"/>
      <c r="H36" s="735">
        <v>5000</v>
      </c>
      <c r="I36" s="1778">
        <f t="shared" si="2"/>
        <v>685000</v>
      </c>
      <c r="J36" s="735">
        <f t="shared" si="1"/>
        <v>685000</v>
      </c>
      <c r="K36" s="740"/>
    </row>
    <row r="37" spans="1:11" ht="12" customHeight="1" x14ac:dyDescent="0.2">
      <c r="A37" s="733" t="s">
        <v>2095</v>
      </c>
      <c r="B37" s="734">
        <v>42740</v>
      </c>
      <c r="C37" s="467">
        <v>3920000</v>
      </c>
      <c r="D37" s="741">
        <v>3</v>
      </c>
      <c r="E37" s="467">
        <v>3915000</v>
      </c>
      <c r="F37" s="467"/>
      <c r="G37" s="467">
        <v>-1710000</v>
      </c>
      <c r="H37" s="467">
        <v>5000</v>
      </c>
      <c r="I37" s="1778">
        <f t="shared" si="2"/>
        <v>2200000</v>
      </c>
      <c r="J37" s="467">
        <f t="shared" si="1"/>
        <v>2200000</v>
      </c>
      <c r="K37" s="738"/>
    </row>
    <row r="38" spans="1:11" ht="12" customHeight="1" x14ac:dyDescent="0.2">
      <c r="A38" s="733" t="s">
        <v>2157</v>
      </c>
      <c r="B38" s="734">
        <v>43077</v>
      </c>
      <c r="C38" s="735">
        <v>3040000</v>
      </c>
      <c r="D38" s="742">
        <v>7</v>
      </c>
      <c r="E38" s="743"/>
      <c r="F38" s="743">
        <v>3040000</v>
      </c>
      <c r="G38" s="743"/>
      <c r="H38" s="743"/>
      <c r="I38" s="1778">
        <f t="shared" si="2"/>
        <v>3040000</v>
      </c>
      <c r="J38" s="744">
        <f>I38</f>
        <v>3040000</v>
      </c>
      <c r="K38" s="745"/>
    </row>
    <row r="39" spans="1:11" ht="12" customHeight="1" x14ac:dyDescent="0.2">
      <c r="A39" s="733"/>
      <c r="B39" s="734"/>
      <c r="C39" s="735"/>
      <c r="D39" s="742"/>
      <c r="E39" s="743"/>
      <c r="F39" s="743"/>
      <c r="G39" s="743"/>
      <c r="H39" s="743"/>
      <c r="I39" s="1778">
        <f t="shared" si="2"/>
        <v>0</v>
      </c>
      <c r="J39" s="744"/>
      <c r="K39" s="745"/>
    </row>
    <row r="40" spans="1:11" ht="12" customHeight="1" x14ac:dyDescent="0.2">
      <c r="A40" s="733"/>
      <c r="B40" s="734"/>
      <c r="C40" s="735"/>
      <c r="D40" s="742"/>
      <c r="E40" s="743"/>
      <c r="F40" s="743"/>
      <c r="G40" s="743"/>
      <c r="H40" s="743"/>
      <c r="I40" s="1778">
        <f t="shared" si="2"/>
        <v>0</v>
      </c>
      <c r="J40" s="744"/>
      <c r="K40" s="745"/>
    </row>
    <row r="41" spans="1:11" ht="12" customHeight="1" x14ac:dyDescent="0.2">
      <c r="A41" s="733"/>
      <c r="B41" s="734"/>
      <c r="C41" s="735"/>
      <c r="D41" s="742"/>
      <c r="E41" s="743"/>
      <c r="F41" s="743"/>
      <c r="G41" s="743"/>
      <c r="H41" s="743"/>
      <c r="I41" s="1778">
        <f t="shared" si="2"/>
        <v>0</v>
      </c>
      <c r="J41" s="744"/>
      <c r="K41" s="745"/>
    </row>
    <row r="42" spans="1:11" ht="12" customHeight="1" x14ac:dyDescent="0.2">
      <c r="A42" s="733"/>
      <c r="B42" s="734"/>
      <c r="C42" s="735"/>
      <c r="D42" s="742"/>
      <c r="E42" s="743"/>
      <c r="F42" s="743"/>
      <c r="G42" s="743"/>
      <c r="H42" s="743"/>
      <c r="I42" s="1778">
        <f t="shared" si="2"/>
        <v>0</v>
      </c>
      <c r="J42" s="744"/>
      <c r="K42" s="745"/>
    </row>
    <row r="43" spans="1:11" ht="12" customHeight="1" x14ac:dyDescent="0.2">
      <c r="A43" s="733"/>
      <c r="B43" s="734"/>
      <c r="C43" s="735"/>
      <c r="D43" s="742"/>
      <c r="E43" s="743"/>
      <c r="F43" s="743"/>
      <c r="G43" s="743"/>
      <c r="H43" s="743"/>
      <c r="I43" s="1778">
        <f t="shared" si="2"/>
        <v>0</v>
      </c>
      <c r="J43" s="744"/>
      <c r="K43" s="745"/>
    </row>
    <row r="44" spans="1:11" ht="12" customHeight="1" x14ac:dyDescent="0.2">
      <c r="A44" s="733"/>
      <c r="B44" s="734"/>
      <c r="C44" s="735"/>
      <c r="D44" s="736"/>
      <c r="E44" s="735"/>
      <c r="F44" s="735"/>
      <c r="G44" s="735"/>
      <c r="H44" s="735"/>
      <c r="I44" s="1778">
        <f t="shared" si="2"/>
        <v>0</v>
      </c>
      <c r="J44" s="735"/>
      <c r="K44" s="738"/>
    </row>
    <row r="45" spans="1:11" ht="12" customHeight="1" x14ac:dyDescent="0.2">
      <c r="A45" s="733"/>
      <c r="B45" s="734"/>
      <c r="C45" s="735"/>
      <c r="D45" s="736"/>
      <c r="E45" s="735"/>
      <c r="F45" s="735"/>
      <c r="G45" s="735"/>
      <c r="H45" s="735"/>
      <c r="I45" s="1778">
        <f t="shared" si="2"/>
        <v>0</v>
      </c>
      <c r="J45" s="735"/>
      <c r="K45" s="738"/>
    </row>
    <row r="46" spans="1:11" ht="12" customHeight="1" x14ac:dyDescent="0.2">
      <c r="A46" s="733"/>
      <c r="B46" s="734"/>
      <c r="C46" s="735"/>
      <c r="D46" s="736"/>
      <c r="E46" s="735"/>
      <c r="F46" s="735"/>
      <c r="G46" s="735"/>
      <c r="H46" s="735"/>
      <c r="I46" s="1778">
        <f t="shared" si="2"/>
        <v>0</v>
      </c>
      <c r="J46" s="735"/>
      <c r="K46" s="738"/>
    </row>
    <row r="47" spans="1:11" ht="12" customHeight="1" x14ac:dyDescent="0.2">
      <c r="A47" s="733"/>
      <c r="B47" s="734"/>
      <c r="C47" s="739"/>
      <c r="D47" s="736"/>
      <c r="E47" s="739"/>
      <c r="F47" s="739"/>
      <c r="G47" s="739"/>
      <c r="H47" s="739"/>
      <c r="I47" s="1778">
        <f t="shared" si="2"/>
        <v>0</v>
      </c>
      <c r="J47" s="739"/>
      <c r="K47" s="738"/>
    </row>
    <row r="48" spans="1:11" ht="12" customHeight="1" x14ac:dyDescent="0.2">
      <c r="A48" s="733"/>
      <c r="B48" s="734"/>
      <c r="C48" s="735"/>
      <c r="D48" s="736"/>
      <c r="E48" s="735"/>
      <c r="F48" s="735"/>
      <c r="G48" s="735"/>
      <c r="H48" s="735"/>
      <c r="I48" s="1778">
        <f t="shared" si="2"/>
        <v>0</v>
      </c>
      <c r="J48" s="735"/>
      <c r="K48" s="738"/>
    </row>
    <row r="49" spans="1:11" ht="12" customHeight="1" x14ac:dyDescent="0.2">
      <c r="A49" s="733"/>
      <c r="B49" s="734"/>
      <c r="C49" s="1778">
        <f>SUM(C31:C48)</f>
        <v>45650000</v>
      </c>
      <c r="D49" s="746"/>
      <c r="E49" s="1778">
        <f t="shared" ref="E49:J49" si="3">SUM(E31:E48)</f>
        <v>25820000</v>
      </c>
      <c r="F49" s="1778">
        <f t="shared" si="3"/>
        <v>3040000</v>
      </c>
      <c r="G49" s="1778">
        <f t="shared" si="3"/>
        <v>-3895000</v>
      </c>
      <c r="H49" s="1778">
        <f t="shared" si="3"/>
        <v>3005000</v>
      </c>
      <c r="I49" s="1778">
        <f t="shared" si="3"/>
        <v>21960000</v>
      </c>
      <c r="J49" s="1778">
        <f t="shared" si="3"/>
        <v>20969616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1" t="s">
        <v>604</v>
      </c>
      <c r="C52" s="2222"/>
      <c r="D52" s="2222"/>
      <c r="E52" s="750" t="s">
        <v>899</v>
      </c>
      <c r="F52" s="2223" t="s">
        <v>2158</v>
      </c>
      <c r="G52" s="2224"/>
      <c r="H52" s="737"/>
      <c r="I52" s="737"/>
      <c r="J52" s="747"/>
    </row>
    <row r="53" spans="1:11" ht="11.25" customHeight="1" x14ac:dyDescent="0.2">
      <c r="A53" s="751" t="s">
        <v>968</v>
      </c>
      <c r="B53" s="752" t="s">
        <v>1007</v>
      </c>
      <c r="C53" s="747"/>
      <c r="D53" s="738"/>
      <c r="E53" s="750" t="s">
        <v>517</v>
      </c>
      <c r="F53" s="2225"/>
      <c r="G53" s="2226"/>
      <c r="H53" s="737"/>
      <c r="I53" s="737"/>
      <c r="J53" s="747"/>
    </row>
    <row r="54" spans="1:11" ht="11.25" customHeight="1" x14ac:dyDescent="0.2">
      <c r="A54" s="753" t="s">
        <v>969</v>
      </c>
      <c r="B54" s="748" t="s">
        <v>1008</v>
      </c>
      <c r="C54" s="747"/>
      <c r="D54" s="738"/>
      <c r="E54" s="750" t="s">
        <v>518</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52"/>
      <c r="I1" s="761"/>
      <c r="J1" s="433"/>
    </row>
    <row r="2" spans="1:11" ht="26.25" x14ac:dyDescent="0.2">
      <c r="A2" s="2234" t="s">
        <v>1775</v>
      </c>
      <c r="B2" s="2235"/>
      <c r="C2" s="2235"/>
      <c r="D2" s="2235"/>
      <c r="E2" s="2236"/>
      <c r="F2" s="762" t="s">
        <v>959</v>
      </c>
      <c r="G2" s="763" t="s">
        <v>1772</v>
      </c>
      <c r="H2" s="763" t="s">
        <v>429</v>
      </c>
      <c r="I2" s="763" t="s">
        <v>1219</v>
      </c>
      <c r="J2" s="763" t="s">
        <v>1918</v>
      </c>
      <c r="K2" s="763" t="s">
        <v>140</v>
      </c>
    </row>
    <row r="3" spans="1:11" x14ac:dyDescent="0.2">
      <c r="A3" s="2237" t="s">
        <v>1697</v>
      </c>
      <c r="B3" s="2238"/>
      <c r="C3" s="2238"/>
      <c r="D3" s="2238"/>
      <c r="E3" s="2239"/>
      <c r="F3" s="764"/>
      <c r="G3" s="765"/>
      <c r="H3" s="765"/>
      <c r="I3" s="765"/>
      <c r="J3" s="766"/>
      <c r="K3" s="766"/>
    </row>
    <row r="4" spans="1:11" x14ac:dyDescent="0.2">
      <c r="A4" s="2240" t="s">
        <v>386</v>
      </c>
      <c r="B4" s="2241"/>
      <c r="C4" s="2241"/>
      <c r="D4" s="2241"/>
      <c r="E4" s="2222"/>
      <c r="F4" s="767"/>
      <c r="G4" s="768"/>
      <c r="H4" s="769"/>
      <c r="I4" s="768"/>
      <c r="J4" s="770"/>
      <c r="K4" s="770"/>
    </row>
    <row r="5" spans="1:11" x14ac:dyDescent="0.2">
      <c r="A5" s="2258" t="s">
        <v>1128</v>
      </c>
      <c r="B5" s="2231"/>
      <c r="C5" s="2231"/>
      <c r="D5" s="2231"/>
      <c r="E5" s="2259"/>
      <c r="F5" s="771" t="s">
        <v>902</v>
      </c>
      <c r="G5" s="772"/>
      <c r="H5" s="765">
        <v>250261</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8" t="s">
        <v>1919</v>
      </c>
      <c r="B10" s="2231"/>
      <c r="C10" s="2231"/>
      <c r="D10" s="2231"/>
      <c r="E10" s="2260"/>
      <c r="F10" s="784" t="s">
        <v>916</v>
      </c>
      <c r="G10" s="783"/>
      <c r="H10" s="785"/>
      <c r="I10" s="765"/>
      <c r="J10" s="766"/>
      <c r="K10" s="766"/>
    </row>
    <row r="11" spans="1:11" x14ac:dyDescent="0.2">
      <c r="A11" s="2258" t="s">
        <v>162</v>
      </c>
      <c r="B11" s="2231"/>
      <c r="C11" s="2231"/>
      <c r="D11" s="2231"/>
      <c r="E11" s="2259"/>
      <c r="F11" s="771" t="s">
        <v>906</v>
      </c>
      <c r="G11" s="772"/>
      <c r="H11" s="765"/>
      <c r="I11" s="765"/>
      <c r="J11" s="766"/>
      <c r="K11" s="774"/>
    </row>
    <row r="12" spans="1:11" ht="13.5" thickBot="1" x14ac:dyDescent="0.25">
      <c r="A12" s="2248" t="s">
        <v>960</v>
      </c>
      <c r="B12" s="2249"/>
      <c r="C12" s="2249"/>
      <c r="D12" s="2249"/>
      <c r="E12" s="2250"/>
      <c r="F12" s="1779"/>
      <c r="G12" s="1780">
        <f>SUM(G5:G11)</f>
        <v>0</v>
      </c>
      <c r="H12" s="1780">
        <f>SUM(H5:H11)</f>
        <v>250261</v>
      </c>
      <c r="I12" s="1780">
        <f>SUM(I5:I11)</f>
        <v>0</v>
      </c>
      <c r="J12" s="1780">
        <f>SUM(J5:J11)</f>
        <v>0</v>
      </c>
      <c r="K12" s="1780">
        <f>SUM(K5:K11)</f>
        <v>0</v>
      </c>
    </row>
    <row r="13" spans="1:11" ht="13.5" thickTop="1" x14ac:dyDescent="0.2">
      <c r="A13" s="2242" t="s">
        <v>387</v>
      </c>
      <c r="B13" s="2243"/>
      <c r="C13" s="2243"/>
      <c r="D13" s="2243"/>
      <c r="E13" s="2244"/>
      <c r="F13" s="786"/>
      <c r="G13" s="787"/>
      <c r="H13" s="788"/>
      <c r="I13" s="789"/>
      <c r="J13" s="789"/>
      <c r="K13" s="789"/>
    </row>
    <row r="14" spans="1:11" x14ac:dyDescent="0.2">
      <c r="A14" s="2264" t="s">
        <v>475</v>
      </c>
      <c r="B14" s="2264"/>
      <c r="C14" s="2264"/>
      <c r="D14" s="2264"/>
      <c r="E14" s="2265"/>
      <c r="F14" s="790" t="s">
        <v>908</v>
      </c>
      <c r="G14" s="783"/>
      <c r="H14" s="765"/>
      <c r="I14" s="772"/>
      <c r="J14" s="774"/>
      <c r="K14" s="766"/>
    </row>
    <row r="15" spans="1:11" x14ac:dyDescent="0.2">
      <c r="A15" s="2231" t="s">
        <v>4</v>
      </c>
      <c r="B15" s="2231"/>
      <c r="C15" s="2231"/>
      <c r="D15" s="2231"/>
      <c r="E15" s="2259"/>
      <c r="F15" s="790" t="s">
        <v>909</v>
      </c>
      <c r="G15" s="772"/>
      <c r="H15" s="765"/>
      <c r="I15" s="765"/>
      <c r="J15" s="766"/>
      <c r="K15" s="766"/>
    </row>
    <row r="16" spans="1:11" x14ac:dyDescent="0.2">
      <c r="A16" s="2231" t="s">
        <v>315</v>
      </c>
      <c r="B16" s="2231"/>
      <c r="C16" s="2231"/>
      <c r="D16" s="2231"/>
      <c r="E16" s="2259"/>
      <c r="F16" s="790" t="s">
        <v>979</v>
      </c>
      <c r="G16" s="773"/>
      <c r="H16" s="768"/>
      <c r="I16" s="768"/>
      <c r="J16" s="770"/>
      <c r="K16" s="770"/>
    </row>
    <row r="17" spans="1:11" x14ac:dyDescent="0.2">
      <c r="A17" s="2253" t="s">
        <v>991</v>
      </c>
      <c r="B17" s="2253"/>
      <c r="C17" s="2253"/>
      <c r="D17" s="2253"/>
      <c r="E17" s="2254"/>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66" t="s">
        <v>1915</v>
      </c>
      <c r="B19" s="2266"/>
      <c r="C19" s="2266"/>
      <c r="D19" s="2266"/>
      <c r="E19" s="2267"/>
      <c r="F19" s="790" t="s">
        <v>989</v>
      </c>
      <c r="G19" s="783"/>
      <c r="H19" s="783"/>
      <c r="I19" s="783"/>
      <c r="J19" s="766"/>
      <c r="K19" s="796"/>
    </row>
    <row r="20" spans="1:11" x14ac:dyDescent="0.2">
      <c r="A20" s="2245" t="s">
        <v>1920</v>
      </c>
      <c r="B20" s="2246"/>
      <c r="C20" s="2246"/>
      <c r="D20" s="2246"/>
      <c r="E20" s="2247"/>
      <c r="F20" s="790" t="s">
        <v>990</v>
      </c>
      <c r="G20" s="783"/>
      <c r="H20" s="783"/>
      <c r="I20" s="783"/>
      <c r="J20" s="766"/>
      <c r="K20" s="796"/>
    </row>
    <row r="21" spans="1:11" ht="13.5" thickBot="1" x14ac:dyDescent="0.25">
      <c r="A21" s="2251" t="s">
        <v>658</v>
      </c>
      <c r="B21" s="2251"/>
      <c r="C21" s="2251"/>
      <c r="D21" s="2251"/>
      <c r="E21" s="2251"/>
      <c r="F21" s="1781"/>
      <c r="G21" s="793"/>
      <c r="H21" s="797"/>
      <c r="I21" s="797"/>
      <c r="J21" s="1782">
        <f>SUM(J18:J20)</f>
        <v>0</v>
      </c>
      <c r="K21" s="794"/>
    </row>
    <row r="22" spans="1:11" ht="13.5" thickTop="1" x14ac:dyDescent="0.2">
      <c r="A22" s="2231" t="s">
        <v>1921</v>
      </c>
      <c r="B22" s="2231"/>
      <c r="C22" s="2231"/>
      <c r="D22" s="2231"/>
      <c r="E22" s="2259"/>
      <c r="F22" s="790" t="s">
        <v>916</v>
      </c>
      <c r="G22" s="783"/>
      <c r="H22" s="765"/>
      <c r="I22" s="765"/>
      <c r="J22" s="798"/>
      <c r="K22" s="766"/>
    </row>
    <row r="23" spans="1:11" ht="13.5" thickBot="1" x14ac:dyDescent="0.25">
      <c r="A23" s="2252" t="s">
        <v>961</v>
      </c>
      <c r="B23" s="2251"/>
      <c r="C23" s="2251"/>
      <c r="D23" s="2251"/>
      <c r="E23" s="2251"/>
      <c r="F23" s="1783"/>
      <c r="G23" s="1780">
        <f>SUM(G14:G16,G21,G22)</f>
        <v>0</v>
      </c>
      <c r="H23" s="1780">
        <f>SUM(H14:H16,H21,H22)</f>
        <v>0</v>
      </c>
      <c r="I23" s="1780">
        <f>SUM(I14:I16,I21,I22)</f>
        <v>0</v>
      </c>
      <c r="J23" s="1780">
        <f>SUM(J14:J16,J21,J22)</f>
        <v>0</v>
      </c>
      <c r="K23" s="1780">
        <f>SUM(K14:K16,K21,K22)</f>
        <v>0</v>
      </c>
    </row>
    <row r="24" spans="1:11" ht="14.25" thickTop="1" thickBot="1" x14ac:dyDescent="0.25">
      <c r="A24" s="2252" t="s">
        <v>2025</v>
      </c>
      <c r="B24" s="2251"/>
      <c r="C24" s="2251"/>
      <c r="D24" s="2251"/>
      <c r="E24" s="2251"/>
      <c r="F24" s="1784"/>
      <c r="G24" s="1785">
        <f>SUM(G3,G12)-G23</f>
        <v>0</v>
      </c>
      <c r="H24" s="1785">
        <f>SUM(H3,H12)-H23</f>
        <v>250261</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250261</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1"/>
      <c r="I31" s="2262"/>
      <c r="J31" s="2262"/>
      <c r="K31" s="2262"/>
    </row>
    <row r="32" spans="1:11" x14ac:dyDescent="0.2">
      <c r="A32" s="810"/>
      <c r="B32" s="237"/>
      <c r="C32" s="237"/>
      <c r="D32" s="237"/>
      <c r="E32" s="806"/>
      <c r="F32" s="812" t="s">
        <v>560</v>
      </c>
      <c r="G32" s="765"/>
      <c r="H32" s="2263"/>
      <c r="I32" s="2262"/>
      <c r="J32" s="2262"/>
      <c r="K32" s="2262"/>
    </row>
    <row r="33" spans="1:11" ht="1.5" customHeight="1" x14ac:dyDescent="0.2">
      <c r="A33" s="813" t="s">
        <v>1230</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1" t="s">
        <v>561</v>
      </c>
      <c r="B41" s="2232"/>
      <c r="C41" s="2232"/>
      <c r="D41" s="2232"/>
      <c r="E41" s="2232"/>
      <c r="F41" s="223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6" sqref="E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7"/>
      <c r="E1" s="828"/>
      <c r="F1" s="828"/>
      <c r="G1" s="829"/>
      <c r="H1" s="830"/>
      <c r="I1" s="831"/>
      <c r="J1" s="2268"/>
      <c r="K1" s="2269"/>
      <c r="L1" s="2269"/>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3546438</v>
      </c>
      <c r="D5" s="842"/>
      <c r="E5" s="842"/>
      <c r="F5" s="1782">
        <f>(C5+D5)-E5</f>
        <v>3546438</v>
      </c>
      <c r="G5" s="838"/>
      <c r="H5" s="843"/>
      <c r="I5" s="843"/>
      <c r="J5" s="843"/>
      <c r="K5" s="794"/>
      <c r="L5" s="1791">
        <f>F5-K5</f>
        <v>3546438</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51067956</v>
      </c>
      <c r="D8" s="845"/>
      <c r="E8" s="845"/>
      <c r="F8" s="1782">
        <f>(C8+D8)-E8</f>
        <v>51067956</v>
      </c>
      <c r="G8" s="844">
        <v>50</v>
      </c>
      <c r="H8" s="766">
        <v>22376025</v>
      </c>
      <c r="I8" s="766">
        <v>1168031</v>
      </c>
      <c r="J8" s="766"/>
      <c r="K8" s="1791">
        <f>(H8+I8)-J8</f>
        <v>23544056</v>
      </c>
      <c r="L8" s="1791">
        <f>F8-K8</f>
        <v>27523900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2258320</v>
      </c>
      <c r="D10" s="847"/>
      <c r="E10" s="847"/>
      <c r="F10" s="1786">
        <f>(C10+D10)-E10</f>
        <v>2258320</v>
      </c>
      <c r="G10" s="844">
        <v>20</v>
      </c>
      <c r="H10" s="848">
        <v>1720991</v>
      </c>
      <c r="I10" s="848">
        <v>44701</v>
      </c>
      <c r="J10" s="848"/>
      <c r="K10" s="1791">
        <f>(H10+I10)-J10</f>
        <v>1765692</v>
      </c>
      <c r="L10" s="1791">
        <f>F10-K10</f>
        <v>492628</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1265257</v>
      </c>
      <c r="D12" s="845">
        <v>368184</v>
      </c>
      <c r="E12" s="845"/>
      <c r="F12" s="1782">
        <f>(C12+D12)-E12</f>
        <v>1633441</v>
      </c>
      <c r="G12" s="844">
        <v>10</v>
      </c>
      <c r="H12" s="766">
        <v>1095757</v>
      </c>
      <c r="I12" s="766">
        <v>115453</v>
      </c>
      <c r="J12" s="766"/>
      <c r="K12" s="1791">
        <f>(H12+I12)-J12</f>
        <v>1211210</v>
      </c>
      <c r="L12" s="1791">
        <f>F12-K12</f>
        <v>422231</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586967</v>
      </c>
      <c r="D15" s="845">
        <v>3052885</v>
      </c>
      <c r="E15" s="845">
        <v>586967</v>
      </c>
      <c r="F15" s="1782">
        <f>(C15+D15)-E15</f>
        <v>3052885</v>
      </c>
      <c r="G15" s="850" t="s">
        <v>916</v>
      </c>
      <c r="H15" s="782"/>
      <c r="I15" s="782"/>
      <c r="J15" s="782"/>
      <c r="K15" s="782"/>
      <c r="L15" s="1791">
        <f>F15-K15</f>
        <v>3052885</v>
      </c>
    </row>
    <row r="16" spans="1:14" ht="15" customHeight="1" thickTop="1" thickBot="1" x14ac:dyDescent="0.25">
      <c r="A16" s="1787" t="s">
        <v>663</v>
      </c>
      <c r="B16" s="1788">
        <v>200</v>
      </c>
      <c r="C16" s="1782">
        <f>SUM(C3,C5:C6,C8:C10,C12:C15)</f>
        <v>58724938</v>
      </c>
      <c r="D16" s="1782">
        <f>SUM(D3,D5:D6,D8:D10,D12:D15)</f>
        <v>3421069</v>
      </c>
      <c r="E16" s="1782">
        <f>SUM(E3,E5:E6,E8:E10,E12:E15)</f>
        <v>586967</v>
      </c>
      <c r="F16" s="1782">
        <f>SUM(F3,F5:F6,F8:F10,F12:F15)</f>
        <v>61559040</v>
      </c>
      <c r="G16" s="844"/>
      <c r="H16" s="1782">
        <f>SUM(H3,H6,H8:H10,H12:H14,)</f>
        <v>25192773</v>
      </c>
      <c r="I16" s="1782">
        <f>SUM(I3,I6,I8:I10,I12:I14,)</f>
        <v>1328185</v>
      </c>
      <c r="J16" s="1782">
        <f>SUM(J3,J6,J8:J10,J12:J14,)</f>
        <v>0</v>
      </c>
      <c r="K16" s="1782">
        <f>(H16+I16)-J16</f>
        <v>26520958</v>
      </c>
      <c r="L16" s="1782">
        <f>F16-K16</f>
        <v>35038082</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1328185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A47" sqref="A47"/>
      <selection pane="bottomLeft" activeCell="D89" sqref="D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20845433</v>
      </c>
      <c r="G8" s="866"/>
    </row>
    <row r="9" spans="1:7" x14ac:dyDescent="0.2">
      <c r="A9" s="870" t="s">
        <v>479</v>
      </c>
      <c r="B9" s="871" t="s">
        <v>1988</v>
      </c>
      <c r="C9" s="872"/>
      <c r="D9" s="870" t="s">
        <v>521</v>
      </c>
      <c r="E9" s="869"/>
      <c r="F9" s="1935">
        <f>'Expenditures 15-22'!K151</f>
        <v>1698234</v>
      </c>
      <c r="G9" s="873"/>
    </row>
    <row r="10" spans="1:7" x14ac:dyDescent="0.2">
      <c r="A10" s="870" t="s">
        <v>519</v>
      </c>
      <c r="B10" s="871" t="s">
        <v>1989</v>
      </c>
      <c r="C10" s="872"/>
      <c r="D10" s="870" t="s">
        <v>521</v>
      </c>
      <c r="E10" s="869"/>
      <c r="F10" s="1935">
        <f>'Expenditures 15-22'!K174</f>
        <v>3751419</v>
      </c>
      <c r="G10" s="873"/>
    </row>
    <row r="11" spans="1:7" x14ac:dyDescent="0.2">
      <c r="A11" s="870" t="s">
        <v>480</v>
      </c>
      <c r="B11" s="871" t="s">
        <v>1990</v>
      </c>
      <c r="C11" s="872"/>
      <c r="D11" s="870" t="s">
        <v>521</v>
      </c>
      <c r="E11" s="869"/>
      <c r="F11" s="1935">
        <f>'Expenditures 15-22'!K210</f>
        <v>1495759</v>
      </c>
      <c r="G11" s="873"/>
    </row>
    <row r="12" spans="1:7" x14ac:dyDescent="0.2">
      <c r="A12" s="870" t="s">
        <v>481</v>
      </c>
      <c r="B12" s="871" t="s">
        <v>1991</v>
      </c>
      <c r="C12" s="872"/>
      <c r="D12" s="870" t="s">
        <v>521</v>
      </c>
      <c r="E12" s="869"/>
      <c r="F12" s="1935">
        <f>'Expenditures 15-22'!K295</f>
        <v>797410</v>
      </c>
      <c r="G12" s="873"/>
    </row>
    <row r="13" spans="1:7" x14ac:dyDescent="0.2">
      <c r="A13" s="870" t="s">
        <v>108</v>
      </c>
      <c r="B13" s="871" t="s">
        <v>1992</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28588255</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58523</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437597</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101718</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417982</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1883</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68132</v>
      </c>
      <c r="G52" s="866"/>
    </row>
    <row r="53" spans="1:7" x14ac:dyDescent="0.2">
      <c r="A53" s="870" t="s">
        <v>478</v>
      </c>
      <c r="B53" s="870" t="s">
        <v>1550</v>
      </c>
      <c r="C53" s="890">
        <f>'Expenditures 15-22'!B102</f>
        <v>4000</v>
      </c>
      <c r="D53" s="889" t="str">
        <f>'Expenditures 15-22'!A102</f>
        <v>Total Payments to Other Govt Units</v>
      </c>
      <c r="E53" s="869"/>
      <c r="F53" s="1939">
        <f>'Expenditures 15-22'!K102</f>
        <v>799740</v>
      </c>
      <c r="G53" s="866"/>
    </row>
    <row r="54" spans="1:7" x14ac:dyDescent="0.2">
      <c r="A54" s="870" t="s">
        <v>478</v>
      </c>
      <c r="B54" s="870" t="s">
        <v>1551</v>
      </c>
      <c r="C54" s="890" t="s">
        <v>1038</v>
      </c>
      <c r="D54" s="886" t="s">
        <v>1156</v>
      </c>
      <c r="E54" s="869"/>
      <c r="F54" s="1939">
        <f>'Expenditures 15-22'!G114</f>
        <v>560209</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0</v>
      </c>
      <c r="G57" s="866"/>
    </row>
    <row r="58" spans="1:7" x14ac:dyDescent="0.2">
      <c r="A58" s="870" t="s">
        <v>479</v>
      </c>
      <c r="B58" s="870" t="s">
        <v>1994</v>
      </c>
      <c r="C58" s="887" t="s">
        <v>1038</v>
      </c>
      <c r="D58" s="886" t="s">
        <v>1156</v>
      </c>
      <c r="E58" s="869"/>
      <c r="F58" s="1941">
        <f>'Expenditures 15-22'!G151</f>
        <v>0</v>
      </c>
      <c r="G58" s="866"/>
    </row>
    <row r="59" spans="1:7" x14ac:dyDescent="0.2">
      <c r="A59" s="894" t="s">
        <v>479</v>
      </c>
      <c r="B59" s="857" t="s">
        <v>1995</v>
      </c>
      <c r="C59" s="895" t="s">
        <v>1038</v>
      </c>
      <c r="D59" s="857" t="s">
        <v>308</v>
      </c>
      <c r="F59" s="1942">
        <f>'Expenditures 15-22'!I151</f>
        <v>0</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3005000</v>
      </c>
      <c r="G61" s="866"/>
    </row>
    <row r="62" spans="1:7" x14ac:dyDescent="0.2">
      <c r="A62" s="870" t="s">
        <v>480</v>
      </c>
      <c r="B62" s="870" t="s">
        <v>1998</v>
      </c>
      <c r="C62" s="887">
        <f>'Expenditures 15-22'!B185</f>
        <v>3000</v>
      </c>
      <c r="D62" s="877" t="s">
        <v>468</v>
      </c>
      <c r="E62" s="869"/>
      <c r="F62" s="1939">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0</v>
      </c>
      <c r="G64" s="866"/>
    </row>
    <row r="65" spans="1:8" x14ac:dyDescent="0.2">
      <c r="A65" s="870" t="s">
        <v>480</v>
      </c>
      <c r="B65" s="870" t="s">
        <v>2001</v>
      </c>
      <c r="C65" s="887" t="s">
        <v>1038</v>
      </c>
      <c r="D65" s="886" t="s">
        <v>1156</v>
      </c>
      <c r="E65" s="869"/>
      <c r="F65" s="1939">
        <f>'Expenditures 15-22'!G210</f>
        <v>0</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20972</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5463</v>
      </c>
      <c r="G71" s="866"/>
    </row>
    <row r="72" spans="1:8" x14ac:dyDescent="0.2">
      <c r="A72" s="870" t="s">
        <v>481</v>
      </c>
      <c r="B72" s="870" t="s">
        <v>2007</v>
      </c>
      <c r="C72" s="887">
        <f>'Expenditures 15-22'!B280</f>
        <v>3000</v>
      </c>
      <c r="D72" s="877" t="s">
        <v>468</v>
      </c>
      <c r="E72" s="869"/>
      <c r="F72" s="1939">
        <f>'Expenditures 15-22'!K280</f>
        <v>14</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5477233</v>
      </c>
      <c r="G76" s="866"/>
    </row>
    <row r="77" spans="1:8" s="894" customFormat="1" ht="12" customHeight="1" thickTop="1" thickBot="1" x14ac:dyDescent="0.25">
      <c r="A77" s="1801"/>
      <c r="B77" s="1798"/>
      <c r="C77" s="1794"/>
      <c r="D77" s="1799" t="s">
        <v>2011</v>
      </c>
      <c r="E77" s="1796"/>
      <c r="F77" s="1802">
        <f>(F14-F76)</f>
        <v>23111022</v>
      </c>
      <c r="G77" s="870"/>
    </row>
    <row r="78" spans="1:8" s="894" customFormat="1" ht="12" customHeight="1" thickTop="1" x14ac:dyDescent="0.2">
      <c r="A78" s="1803"/>
      <c r="B78" s="1798"/>
      <c r="C78" s="1794"/>
      <c r="D78" s="1799" t="s">
        <v>2058</v>
      </c>
      <c r="E78" s="1796"/>
      <c r="F78" s="899">
        <v>2262.7399999999998</v>
      </c>
      <c r="G78" s="900"/>
      <c r="H78" s="870"/>
    </row>
    <row r="79" spans="1:8" s="894" customFormat="1" ht="12" customHeight="1" thickBot="1" x14ac:dyDescent="0.25">
      <c r="A79" s="1804"/>
      <c r="B79" s="1798"/>
      <c r="C79" s="1794"/>
      <c r="D79" s="1799" t="s">
        <v>2012</v>
      </c>
      <c r="E79" s="1796" t="s">
        <v>1014</v>
      </c>
      <c r="F79" s="1805">
        <f>IF(F78&gt;0,F77/F78," Complete Line 78")</f>
        <v>10213.732907890435</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388216</v>
      </c>
      <c r="G94" s="913"/>
    </row>
    <row r="95" spans="1:7" x14ac:dyDescent="0.2">
      <c r="A95" s="909" t="s">
        <v>142</v>
      </c>
      <c r="B95" s="909" t="s">
        <v>177</v>
      </c>
      <c r="C95" s="911">
        <v>1700</v>
      </c>
      <c r="D95" s="919" t="str">
        <f>'Revenues 9-14'!A82</f>
        <v>Total District/School Activity Income</v>
      </c>
      <c r="E95" s="907"/>
      <c r="F95" s="1811">
        <f>SUM('Revenues 9-14'!C82,'Revenues 9-14'!D82)</f>
        <v>68872</v>
      </c>
      <c r="G95" s="913"/>
    </row>
    <row r="96" spans="1:7" x14ac:dyDescent="0.2">
      <c r="A96" s="909" t="s">
        <v>478</v>
      </c>
      <c r="B96" s="909" t="s">
        <v>178</v>
      </c>
      <c r="C96" s="911">
        <f>'Revenues 9-14'!B84</f>
        <v>1811</v>
      </c>
      <c r="D96" s="912" t="str">
        <f>'Revenues 9-14'!A84</f>
        <v>Rentals - Regular Textbooks</v>
      </c>
      <c r="E96" s="907"/>
      <c r="F96" s="1811">
        <f>'Revenues 9-14'!C84</f>
        <v>337062</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4490</v>
      </c>
      <c r="G100" s="913"/>
    </row>
    <row r="101" spans="1:7" x14ac:dyDescent="0.2">
      <c r="A101" s="909" t="s">
        <v>142</v>
      </c>
      <c r="B101" s="909" t="s">
        <v>183</v>
      </c>
      <c r="C101" s="911">
        <f>'Revenues 9-14'!B95</f>
        <v>1910</v>
      </c>
      <c r="D101" s="912" t="str">
        <f>'Revenues 9-14'!A95</f>
        <v>Rentals</v>
      </c>
      <c r="E101" s="907"/>
      <c r="F101" s="1811">
        <f>SUM('Revenues 9-14'!C95:D95)</f>
        <v>242272</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359076</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48005</v>
      </c>
      <c r="G107" s="913"/>
    </row>
    <row r="108" spans="1:7" x14ac:dyDescent="0.2">
      <c r="A108" s="909" t="s">
        <v>478</v>
      </c>
      <c r="B108" s="909" t="s">
        <v>843</v>
      </c>
      <c r="C108" s="921">
        <f>'Revenues 9-14'!B145</f>
        <v>3360</v>
      </c>
      <c r="D108" s="912" t="str">
        <f>'Revenues 9-14'!A145</f>
        <v>State Free Lunch &amp; Breakfast</v>
      </c>
      <c r="E108" s="907"/>
      <c r="F108" s="1811">
        <f>'Revenues 9-14'!C145</f>
        <v>2459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659559</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8217</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277615</v>
      </c>
      <c r="G129" s="931"/>
    </row>
    <row r="130" spans="1:7" x14ac:dyDescent="0.2">
      <c r="A130" s="928" t="s">
        <v>688</v>
      </c>
      <c r="B130" s="928" t="s">
        <v>803</v>
      </c>
      <c r="C130" s="933">
        <v>4300</v>
      </c>
      <c r="D130" s="934" t="str">
        <f>'Revenues 9-14'!A211</f>
        <v>Total Title I</v>
      </c>
      <c r="E130" s="907"/>
      <c r="F130" s="1811">
        <f>SUM('Revenues 9-14'!C211,'Revenues 9-14'!D211,'Revenues 9-14'!F211,'Revenues 9-14'!G211)</f>
        <v>123380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654101</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54602</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29964</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26720</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80329</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684</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3364939</v>
      </c>
    </row>
    <row r="179" spans="1:7" ht="12" customHeight="1" x14ac:dyDescent="0.2">
      <c r="A179" s="1792"/>
      <c r="B179" s="1806"/>
      <c r="C179" s="1807"/>
      <c r="D179" s="1808" t="s">
        <v>2014</v>
      </c>
      <c r="E179" s="1809"/>
      <c r="F179" s="1811">
        <f>'PCTC-OEPP 27-28'!F77-F178</f>
        <v>19746083</v>
      </c>
    </row>
    <row r="180" spans="1:7" ht="12" customHeight="1" x14ac:dyDescent="0.2">
      <c r="A180" s="1792"/>
      <c r="B180" s="1806"/>
      <c r="C180" s="1807"/>
      <c r="D180" s="1808" t="s">
        <v>1923</v>
      </c>
      <c r="E180" s="1809"/>
      <c r="F180" s="1811">
        <f>'Cap Outlay Deprec 26'!I18</f>
        <v>1328185</v>
      </c>
    </row>
    <row r="181" spans="1:7" ht="12" customHeight="1" x14ac:dyDescent="0.2">
      <c r="A181" s="1792"/>
      <c r="B181" s="1806"/>
      <c r="C181" s="1807"/>
      <c r="D181" s="1808" t="s">
        <v>2015</v>
      </c>
      <c r="E181" s="1809"/>
      <c r="F181" s="1811">
        <f>F179+F180</f>
        <v>21074268</v>
      </c>
    </row>
    <row r="182" spans="1:7" ht="12" customHeight="1" x14ac:dyDescent="0.2">
      <c r="A182" s="1792"/>
      <c r="B182" s="1812"/>
      <c r="C182" s="1807"/>
      <c r="D182" s="1808" t="str">
        <f>D78</f>
        <v>9 Month ADA from District Average Daily Attendance/Prior General State Aid Inquiry 2017-2018</v>
      </c>
      <c r="E182" s="1809"/>
      <c r="F182" s="1813">
        <f>'PCTC-OEPP 27-28'!F78</f>
        <v>2262.7399999999998</v>
      </c>
      <c r="G182" s="931"/>
    </row>
    <row r="183" spans="1:7" ht="12" customHeight="1" thickBot="1" x14ac:dyDescent="0.25">
      <c r="A183" s="1792"/>
      <c r="B183" s="1812"/>
      <c r="C183" s="1807"/>
      <c r="D183" s="1808" t="s">
        <v>2016</v>
      </c>
      <c r="E183" s="1809" t="s">
        <v>1625</v>
      </c>
      <c r="F183" s="1814">
        <f>F181/F182</f>
        <v>9313.605628574207</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1940</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2096</v>
      </c>
      <c r="B17" s="1868" t="s">
        <v>2097</v>
      </c>
      <c r="C17" s="1678" t="s">
        <v>2098</v>
      </c>
      <c r="D17" s="1867">
        <v>25182</v>
      </c>
      <c r="E17" s="1562">
        <f t="shared" ref="E17:E141" si="1">IF(D17&lt;=25000,D17,IF(D17&gt;25000,25000,0))</f>
        <v>25000</v>
      </c>
      <c r="F17" s="1815">
        <f t="shared" si="0"/>
        <v>25000</v>
      </c>
      <c r="G17" s="1816">
        <f>IF(F17=0,0,D17-F17)</f>
        <v>182</v>
      </c>
      <c r="H17" s="1669"/>
    </row>
    <row r="18" spans="1:8" x14ac:dyDescent="0.25">
      <c r="A18" s="1675" t="s">
        <v>2099</v>
      </c>
      <c r="B18" s="1868" t="s">
        <v>2100</v>
      </c>
      <c r="C18" s="1678" t="s">
        <v>2101</v>
      </c>
      <c r="D18" s="1867">
        <v>88012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63012</v>
      </c>
    </row>
    <row r="19" spans="1:8" x14ac:dyDescent="0.25">
      <c r="A19" s="1675" t="s">
        <v>2102</v>
      </c>
      <c r="B19" s="1869" t="s">
        <v>2103</v>
      </c>
      <c r="C19" s="1678" t="s">
        <v>2104</v>
      </c>
      <c r="D19" s="1867">
        <v>39026</v>
      </c>
      <c r="E19" s="1562">
        <f t="shared" si="2"/>
        <v>25000</v>
      </c>
      <c r="F19" s="1815">
        <f t="shared" si="3"/>
        <v>25000</v>
      </c>
      <c r="G19" s="1816">
        <f t="shared" si="4"/>
        <v>14026</v>
      </c>
    </row>
    <row r="20" spans="1:8" x14ac:dyDescent="0.25">
      <c r="A20" s="1675" t="s">
        <v>2105</v>
      </c>
      <c r="B20" s="1868" t="s">
        <v>2106</v>
      </c>
      <c r="C20" s="1678" t="s">
        <v>2107</v>
      </c>
      <c r="D20" s="1867">
        <v>67320</v>
      </c>
      <c r="E20" s="1562">
        <f t="shared" si="2"/>
        <v>25000</v>
      </c>
      <c r="F20" s="1815">
        <f t="shared" si="3"/>
        <v>25000</v>
      </c>
      <c r="G20" s="1816">
        <f t="shared" si="4"/>
        <v>42320</v>
      </c>
    </row>
    <row r="21" spans="1:8" x14ac:dyDescent="0.25">
      <c r="A21" s="1675" t="s">
        <v>2108</v>
      </c>
      <c r="B21" s="1868" t="s">
        <v>2109</v>
      </c>
      <c r="C21" s="1678" t="s">
        <v>2110</v>
      </c>
      <c r="D21" s="1867">
        <v>168560</v>
      </c>
      <c r="E21" s="1562">
        <f t="shared" si="2"/>
        <v>25000</v>
      </c>
      <c r="F21" s="1815">
        <f t="shared" si="3"/>
        <v>25000</v>
      </c>
      <c r="G21" s="1816">
        <f t="shared" si="4"/>
        <v>143560</v>
      </c>
    </row>
    <row r="22" spans="1:8" x14ac:dyDescent="0.25">
      <c r="A22" s="1675" t="s">
        <v>2105</v>
      </c>
      <c r="B22" s="1868" t="s">
        <v>2106</v>
      </c>
      <c r="C22" s="1678" t="s">
        <v>2111</v>
      </c>
      <c r="D22" s="1867">
        <v>313116</v>
      </c>
      <c r="E22" s="1562">
        <f t="shared" si="2"/>
        <v>25000</v>
      </c>
      <c r="F22" s="1815">
        <f t="shared" si="3"/>
        <v>25000</v>
      </c>
      <c r="G22" s="1816">
        <f t="shared" si="4"/>
        <v>288116</v>
      </c>
    </row>
    <row r="23" spans="1:8" x14ac:dyDescent="0.25">
      <c r="A23" s="1675" t="s">
        <v>2112</v>
      </c>
      <c r="B23" s="1868" t="s">
        <v>2100</v>
      </c>
      <c r="C23" s="1678" t="s">
        <v>2113</v>
      </c>
      <c r="D23" s="1867">
        <v>125217</v>
      </c>
      <c r="E23" s="1562">
        <f t="shared" si="2"/>
        <v>25000</v>
      </c>
      <c r="F23" s="1815">
        <f t="shared" si="3"/>
        <v>25000</v>
      </c>
      <c r="G23" s="1816">
        <f t="shared" si="4"/>
        <v>100217</v>
      </c>
    </row>
    <row r="24" spans="1:8" x14ac:dyDescent="0.25">
      <c r="A24" s="1675" t="s">
        <v>2112</v>
      </c>
      <c r="B24" s="1869" t="s">
        <v>2100</v>
      </c>
      <c r="C24" s="1678" t="s">
        <v>2114</v>
      </c>
      <c r="D24" s="1867">
        <v>101310</v>
      </c>
      <c r="E24" s="1562">
        <f t="shared" si="2"/>
        <v>25000</v>
      </c>
      <c r="F24" s="1815">
        <f t="shared" si="3"/>
        <v>25000</v>
      </c>
      <c r="G24" s="1816">
        <f t="shared" si="4"/>
        <v>76310</v>
      </c>
    </row>
    <row r="25" spans="1:8" x14ac:dyDescent="0.25">
      <c r="A25" s="1675" t="s">
        <v>2115</v>
      </c>
      <c r="B25" s="1868" t="s">
        <v>2103</v>
      </c>
      <c r="C25" s="1678" t="s">
        <v>2116</v>
      </c>
      <c r="D25" s="1867">
        <v>52272</v>
      </c>
      <c r="E25" s="1562">
        <f t="shared" si="2"/>
        <v>25000</v>
      </c>
      <c r="F25" s="1815">
        <f t="shared" si="3"/>
        <v>25000</v>
      </c>
      <c r="G25" s="1816">
        <f t="shared" si="4"/>
        <v>27272</v>
      </c>
    </row>
    <row r="26" spans="1:8" x14ac:dyDescent="0.25">
      <c r="A26" s="1675" t="s">
        <v>2112</v>
      </c>
      <c r="B26" s="1869" t="s">
        <v>2100</v>
      </c>
      <c r="C26" s="1676" t="s">
        <v>2117</v>
      </c>
      <c r="D26" s="1867">
        <v>51370</v>
      </c>
      <c r="E26" s="1562">
        <f t="shared" si="2"/>
        <v>25000</v>
      </c>
      <c r="F26" s="1815">
        <f t="shared" si="3"/>
        <v>25000</v>
      </c>
      <c r="G26" s="1816">
        <f t="shared" si="4"/>
        <v>26370</v>
      </c>
    </row>
    <row r="27" spans="1:8" x14ac:dyDescent="0.25">
      <c r="A27" s="1675" t="s">
        <v>2118</v>
      </c>
      <c r="B27" s="1869" t="s">
        <v>2119</v>
      </c>
      <c r="C27" s="1676" t="s">
        <v>2120</v>
      </c>
      <c r="D27" s="1867">
        <v>27500</v>
      </c>
      <c r="E27" s="1562">
        <f t="shared" si="2"/>
        <v>25000</v>
      </c>
      <c r="F27" s="1815">
        <f t="shared" si="3"/>
        <v>25000</v>
      </c>
      <c r="G27" s="1816">
        <f t="shared" si="4"/>
        <v>2500</v>
      </c>
    </row>
    <row r="28" spans="1:8" x14ac:dyDescent="0.25">
      <c r="A28" s="1675" t="s">
        <v>2121</v>
      </c>
      <c r="B28" s="1869" t="s">
        <v>2097</v>
      </c>
      <c r="C28" s="1676" t="s">
        <v>2122</v>
      </c>
      <c r="D28" s="1867">
        <v>63607</v>
      </c>
      <c r="E28" s="1562">
        <f t="shared" si="2"/>
        <v>25000</v>
      </c>
      <c r="F28" s="1815">
        <f t="shared" si="3"/>
        <v>25000</v>
      </c>
      <c r="G28" s="1816">
        <f t="shared" si="4"/>
        <v>38607</v>
      </c>
    </row>
    <row r="29" spans="1:8" x14ac:dyDescent="0.25">
      <c r="A29" s="1675" t="s">
        <v>2102</v>
      </c>
      <c r="B29" s="1869" t="s">
        <v>2103</v>
      </c>
      <c r="C29" s="1676" t="s">
        <v>2123</v>
      </c>
      <c r="D29" s="1867">
        <v>35261</v>
      </c>
      <c r="E29" s="1562">
        <f t="shared" si="2"/>
        <v>25000</v>
      </c>
      <c r="F29" s="1815">
        <f t="shared" si="3"/>
        <v>25000</v>
      </c>
      <c r="G29" s="1816">
        <f t="shared" si="4"/>
        <v>10261</v>
      </c>
    </row>
    <row r="30" spans="1:8" x14ac:dyDescent="0.25">
      <c r="A30" s="1675" t="s">
        <v>2112</v>
      </c>
      <c r="B30" s="1869" t="s">
        <v>2100</v>
      </c>
      <c r="C30" s="1676" t="s">
        <v>2124</v>
      </c>
      <c r="D30" s="1867">
        <v>59835</v>
      </c>
      <c r="E30" s="1562">
        <f t="shared" si="2"/>
        <v>25000</v>
      </c>
      <c r="F30" s="1815">
        <f t="shared" si="3"/>
        <v>25000</v>
      </c>
      <c r="G30" s="1816">
        <f t="shared" si="4"/>
        <v>34835</v>
      </c>
    </row>
    <row r="31" spans="1:8" x14ac:dyDescent="0.25">
      <c r="A31" s="1675" t="s">
        <v>2125</v>
      </c>
      <c r="B31" s="1869" t="s">
        <v>2126</v>
      </c>
      <c r="C31" s="1676" t="s">
        <v>2127</v>
      </c>
      <c r="D31" s="1867">
        <v>45627</v>
      </c>
      <c r="E31" s="1562">
        <f t="shared" si="2"/>
        <v>25000</v>
      </c>
      <c r="F31" s="1815">
        <f t="shared" si="3"/>
        <v>25000</v>
      </c>
      <c r="G31" s="1816">
        <f t="shared" si="4"/>
        <v>20627</v>
      </c>
    </row>
    <row r="32" spans="1:8" x14ac:dyDescent="0.25">
      <c r="A32" s="1675" t="s">
        <v>2128</v>
      </c>
      <c r="B32" s="1869" t="s">
        <v>2129</v>
      </c>
      <c r="C32" s="1676" t="s">
        <v>2130</v>
      </c>
      <c r="D32" s="1867">
        <v>403029</v>
      </c>
      <c r="E32" s="1562">
        <f t="shared" si="2"/>
        <v>25000</v>
      </c>
      <c r="F32" s="1815">
        <f t="shared" si="3"/>
        <v>25000</v>
      </c>
      <c r="G32" s="1816">
        <f t="shared" si="4"/>
        <v>378029</v>
      </c>
    </row>
    <row r="33" spans="1:7" x14ac:dyDescent="0.25">
      <c r="A33" s="1675" t="s">
        <v>2121</v>
      </c>
      <c r="B33" s="1869" t="s">
        <v>2097</v>
      </c>
      <c r="C33" s="1676" t="s">
        <v>2131</v>
      </c>
      <c r="D33" s="1867">
        <v>34136</v>
      </c>
      <c r="E33" s="1562">
        <f t="shared" si="2"/>
        <v>25000</v>
      </c>
      <c r="F33" s="1815">
        <f t="shared" si="3"/>
        <v>25000</v>
      </c>
      <c r="G33" s="1816">
        <f t="shared" si="4"/>
        <v>9136</v>
      </c>
    </row>
    <row r="34" spans="1:7" x14ac:dyDescent="0.25">
      <c r="A34" s="1675" t="s">
        <v>2132</v>
      </c>
      <c r="B34" s="1869" t="s">
        <v>2133</v>
      </c>
      <c r="C34" s="1676" t="s">
        <v>2134</v>
      </c>
      <c r="D34" s="1867">
        <v>68461</v>
      </c>
      <c r="E34" s="1562">
        <f t="shared" si="2"/>
        <v>25000</v>
      </c>
      <c r="F34" s="1815">
        <f t="shared" si="3"/>
        <v>25000</v>
      </c>
      <c r="G34" s="1816">
        <f t="shared" si="4"/>
        <v>43461</v>
      </c>
    </row>
    <row r="35" spans="1:7" x14ac:dyDescent="0.25">
      <c r="A35" s="1675" t="s">
        <v>2118</v>
      </c>
      <c r="B35" s="1869" t="s">
        <v>2119</v>
      </c>
      <c r="C35" s="1676" t="s">
        <v>2135</v>
      </c>
      <c r="D35" s="1867">
        <v>25129</v>
      </c>
      <c r="E35" s="1562">
        <f t="shared" si="2"/>
        <v>25000</v>
      </c>
      <c r="F35" s="1815">
        <f t="shared" si="3"/>
        <v>25000</v>
      </c>
      <c r="G35" s="1816">
        <f t="shared" si="4"/>
        <v>129</v>
      </c>
    </row>
    <row r="36" spans="1:7" x14ac:dyDescent="0.25">
      <c r="A36" s="1675" t="s">
        <v>2112</v>
      </c>
      <c r="B36" s="1869" t="s">
        <v>2100</v>
      </c>
      <c r="C36" s="1676" t="s">
        <v>2136</v>
      </c>
      <c r="D36" s="1867">
        <v>507032</v>
      </c>
      <c r="E36" s="1562">
        <f t="shared" si="2"/>
        <v>25000</v>
      </c>
      <c r="F36" s="1815">
        <f t="shared" si="3"/>
        <v>25000</v>
      </c>
      <c r="G36" s="1816">
        <f t="shared" si="4"/>
        <v>482032</v>
      </c>
    </row>
    <row r="37" spans="1:7" x14ac:dyDescent="0.25">
      <c r="A37" s="1675" t="s">
        <v>2137</v>
      </c>
      <c r="B37" s="1869" t="s">
        <v>2138</v>
      </c>
      <c r="C37" s="1676" t="s">
        <v>2139</v>
      </c>
      <c r="D37" s="1867">
        <v>66494</v>
      </c>
      <c r="E37" s="1562">
        <f t="shared" si="2"/>
        <v>25000</v>
      </c>
      <c r="F37" s="1815">
        <f t="shared" si="3"/>
        <v>25000</v>
      </c>
      <c r="G37" s="1816">
        <f t="shared" si="4"/>
        <v>41494</v>
      </c>
    </row>
    <row r="38" spans="1:7" x14ac:dyDescent="0.25">
      <c r="A38" s="1675" t="s">
        <v>2112</v>
      </c>
      <c r="B38" s="1689" t="s">
        <v>2100</v>
      </c>
      <c r="C38" s="1676" t="s">
        <v>2140</v>
      </c>
      <c r="D38" s="1867">
        <v>28676</v>
      </c>
      <c r="E38" s="1562">
        <f t="shared" si="2"/>
        <v>25000</v>
      </c>
      <c r="F38" s="1815">
        <f t="shared" si="3"/>
        <v>25000</v>
      </c>
      <c r="G38" s="1816">
        <f t="shared" si="4"/>
        <v>3676</v>
      </c>
    </row>
    <row r="39" spans="1:7" x14ac:dyDescent="0.25">
      <c r="A39" s="1675" t="s">
        <v>2141</v>
      </c>
      <c r="B39" s="1689" t="s">
        <v>2106</v>
      </c>
      <c r="C39" s="1676" t="s">
        <v>2142</v>
      </c>
      <c r="D39" s="1867">
        <v>39601</v>
      </c>
      <c r="E39" s="1562">
        <f t="shared" si="2"/>
        <v>25000</v>
      </c>
      <c r="F39" s="1815">
        <f t="shared" si="3"/>
        <v>25000</v>
      </c>
      <c r="G39" s="1816">
        <f t="shared" si="4"/>
        <v>14601</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2435773</v>
      </c>
      <c r="E141" s="1563">
        <f t="shared" si="1"/>
        <v>25000</v>
      </c>
      <c r="F141" s="1817">
        <f>SUM(F17:F140)</f>
        <v>575000</v>
      </c>
      <c r="G141" s="1818">
        <f>SUM(G17:G140)</f>
        <v>1860773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4" t="s">
        <v>1944</v>
      </c>
      <c r="B11" s="2305"/>
      <c r="C11" s="2305"/>
      <c r="D11" s="2306"/>
      <c r="E11" s="978">
        <v>42026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13161905</v>
      </c>
      <c r="F19" s="1822"/>
      <c r="G19" s="1824">
        <f>'Expenditures 15-22'!K33-SUM('Expenditures 15-22'!G33,'Expenditures 15-22'!I33)+'Expenditures 15-22'!D229</f>
        <v>13161905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2149239</v>
      </c>
      <c r="F21" s="1825"/>
      <c r="G21" s="1828">
        <f>'Expenditures 15-22'!K42-SUM('Expenditures 15-22'!G42,'Expenditures 15-22'!I42)+'Expenditures 15-22'!K120-SUM('Expenditures 15-22'!G120,'Expenditures 15-22'!I120)+'Expenditures 15-22'!K180-SUM('Expenditures 15-22'!G180,'Expenditures 15-22'!I180)+'Expenditures 15-22'!D238</f>
        <v>2149239</v>
      </c>
      <c r="H21" s="988"/>
      <c r="I21" s="162"/>
    </row>
    <row r="22" spans="1:9" s="669" customFormat="1" ht="12" customHeight="1" x14ac:dyDescent="0.2">
      <c r="A22" s="995" t="s">
        <v>584</v>
      </c>
      <c r="B22" s="996"/>
      <c r="C22" s="994">
        <v>2200</v>
      </c>
      <c r="D22" s="1825"/>
      <c r="E22" s="1827">
        <f>'Expenditures 15-22'!K47-SUM('Expenditures 15-22'!G47,'Expenditures 15-22'!I47)+'Expenditures 15-22'!D243</f>
        <v>1116433</v>
      </c>
      <c r="F22" s="1825"/>
      <c r="G22" s="1828">
        <f>'Expenditures 15-22'!K47-SUM('Expenditures 15-22'!G47,'Expenditures 15-22'!I47)+'Expenditures 15-22'!D243</f>
        <v>1116433</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842946</v>
      </c>
      <c r="F23" s="1825"/>
      <c r="G23" s="1827">
        <f>'Expenditures 15-22'!K53-SUM('Expenditures 15-22'!G53,'Expenditures 15-22'!I53)+'Expenditures 15-22'!D257+'Expenditures 15-22'!K330-SUM('Expenditures 15-22'!G330,'Expenditures 15-22'!I330)</f>
        <v>842946</v>
      </c>
      <c r="H23" s="988"/>
      <c r="I23" s="162"/>
    </row>
    <row r="24" spans="1:9" s="669" customFormat="1" ht="12" customHeight="1" x14ac:dyDescent="0.2">
      <c r="A24" s="995" t="s">
        <v>586</v>
      </c>
      <c r="B24" s="996"/>
      <c r="C24" s="994">
        <v>2400</v>
      </c>
      <c r="D24" s="1825"/>
      <c r="E24" s="1827">
        <f>'Expenditures 15-22'!K57-SUM('Expenditures 15-22'!G57,'Expenditures 15-22'!I57)+'Expenditures 15-22'!D261</f>
        <v>1048032</v>
      </c>
      <c r="F24" s="1825"/>
      <c r="G24" s="1828">
        <f>'Expenditures 15-22'!K57-SUM('Expenditures 15-22'!G57,'Expenditures 15-22'!I57)+'Expenditures 15-22'!D261</f>
        <v>1048032</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146758</v>
      </c>
      <c r="E26" s="1827">
        <f>'Expenditures 15-22'!K122-SUM('Expenditures 15-22'!G122,'Expenditures 15-22'!I122)+E7</f>
        <v>0</v>
      </c>
      <c r="F26" s="1827">
        <f>'Expenditures 15-22'!K59-SUM('Expenditures 15-22'!G59,'Expenditures 15-22'!I59)+'Expenditures 15-22'!D263-E7</f>
        <v>146758</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387080</v>
      </c>
      <c r="E27" s="1827">
        <f>E8</f>
        <v>0</v>
      </c>
      <c r="F27" s="1827">
        <f>'Expenditures 15-22'!K60-SUM('Expenditures 15-22'!G60,'Expenditures 15-22'!I60)+'Expenditures 15-22'!D264-E8</f>
        <v>387080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1719169</v>
      </c>
      <c r="F28" s="1829">
        <f>'Expenditures 15-22'!K61-SUM('Expenditures 15-22'!G61,'Expenditures 15-22'!I61)+'Expenditures 15-22'!K124-SUM('Expenditures 15-22'!G124,'Expenditures 15-22'!I124)+'Expenditures 15-22'!D266-E9</f>
        <v>1719169</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1628231</v>
      </c>
      <c r="F29" s="1825"/>
      <c r="G29" s="1828">
        <f>'Expenditures 15-22'!K62-SUM('Expenditures 15-22'!G62,'Expenditures 15-22'!I62)+'Expenditures 15-22'!K125-SUM('Expenditures 15-22'!G125,'Expenditures 15-22'!I125)+'Expenditures 15-22'!K182-SUM('Expenditures 15-22'!G182,'Expenditures 15-22'!I182)+'Expenditures 15-22'!D267</f>
        <v>1628231</v>
      </c>
      <c r="H29" s="986"/>
    </row>
    <row r="30" spans="1:9" ht="12" customHeight="1" x14ac:dyDescent="0.2">
      <c r="A30" s="995" t="s">
        <v>102</v>
      </c>
      <c r="B30" s="998"/>
      <c r="C30" s="994">
        <v>2560</v>
      </c>
      <c r="D30" s="1825"/>
      <c r="E30" s="1827">
        <f>'Expenditures 15-22'!K63-SUM('Expenditures 15-22'!G63,'Expenditures 15-22'!I63)+'Expenditures 15-22'!D268-E10</f>
        <v>425474</v>
      </c>
      <c r="F30" s="1825"/>
      <c r="G30" s="1827">
        <f>'Expenditures 15-22'!K63-SUM('Expenditures 15-22'!G63,'Expenditures 15-22'!I63)+'Expenditures 15-22'!D268-E10</f>
        <v>425474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15755</v>
      </c>
      <c r="F35" s="1825"/>
      <c r="G35" s="1827">
        <f>'Expenditures 15-22'!K69-SUM('Expenditures 15-22'!G69,'Expenditures 15-22'!I69)+'Expenditures 15-22'!D274</f>
        <v>15755</v>
      </c>
    </row>
    <row r="36" spans="1:7" ht="12" customHeight="1" x14ac:dyDescent="0.2">
      <c r="A36" s="995" t="s">
        <v>422</v>
      </c>
      <c r="B36" s="998"/>
      <c r="C36" s="994">
        <v>2640</v>
      </c>
      <c r="D36" s="1827">
        <f>'Expenditures 15-22'!K70-SUM('Expenditures 15-22'!G70,'Expenditures 15-22'!I70)+'Expenditures 15-22'!D275-E13</f>
        <v>104541</v>
      </c>
      <c r="E36" s="1827">
        <f>E13</f>
        <v>0</v>
      </c>
      <c r="F36" s="1827">
        <f>'Expenditures 15-22'!K70-SUM('Expenditures 15-22'!G70,'Expenditures 15-22'!I70)+'Expenditures 15-22'!D275-E13</f>
        <v>104541</v>
      </c>
      <c r="G36" s="1827">
        <f>E13</f>
        <v>0</v>
      </c>
    </row>
    <row r="37" spans="1:7" ht="12" customHeight="1" x14ac:dyDescent="0.2">
      <c r="A37" s="995" t="s">
        <v>423</v>
      </c>
      <c r="B37" s="998"/>
      <c r="C37" s="994">
        <v>2660</v>
      </c>
      <c r="D37" s="1827">
        <f>'Expenditures 15-22'!K71-SUM('Expenditures 15-22'!G71,'Expenditures 15-22'!I71)+'Expenditures 15-22'!D276-E14</f>
        <v>607706</v>
      </c>
      <c r="E37" s="1827">
        <f>E14</f>
        <v>0</v>
      </c>
      <c r="F37" s="1827">
        <f>'Expenditures 15-22'!K71-SUM('Expenditures 15-22'!G71,'Expenditures 15-22'!I71)+'Expenditures 15-22'!D276-E14</f>
        <v>607706</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55212</v>
      </c>
      <c r="F38" s="1825"/>
      <c r="G38" s="1827">
        <f>'Expenditures 15-22'!K73-SUM('Expenditures 15-22'!G73,'Expenditures 15-22'!I73)+'Expenditures 15-22'!K128-SUM('Expenditures 15-22'!G128,'Expenditures 15-22'!I128)+'Expenditures 15-22'!K183-SUM('Expenditures 15-22'!G183,'Expenditures 15-22'!I183)+'Expenditures 15-22'!D278</f>
        <v>55212</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68146</v>
      </c>
      <c r="F39" s="1825"/>
      <c r="G39" s="1827">
        <f>'Expenditures 15-22'!K75-SUM('Expenditures 15-22'!G75,'Expenditures 15-22'!I75)+'Expenditures 15-22'!K130-SUM('Expenditures 15-22'!G130,'Expenditures 15-22'!I130)+'Expenditures 15-22'!K185-SUM('Expenditures 15-22'!G185,'Expenditures 15-22'!I185)+'Expenditures 15-22'!D280</f>
        <v>68146</v>
      </c>
    </row>
    <row r="40" spans="1:7" ht="12" customHeight="1" x14ac:dyDescent="0.2">
      <c r="A40" s="991" t="s">
        <v>1929</v>
      </c>
      <c r="B40" s="992"/>
      <c r="C40" s="994"/>
      <c r="D40" s="1825"/>
      <c r="E40" s="1829">
        <f>-'Contracts Paid in CY 29'!G141</f>
        <v>-1860773</v>
      </c>
      <c r="F40" s="1825"/>
      <c r="G40" s="1829">
        <f>-'Contracts Paid in CY 29'!G141</f>
        <v>-1860773</v>
      </c>
    </row>
    <row r="41" spans="1:7" ht="12" customHeight="1" x14ac:dyDescent="0.2">
      <c r="A41" s="999" t="s">
        <v>158</v>
      </c>
      <c r="B41" s="1000"/>
      <c r="C41" s="1001"/>
      <c r="D41" s="1829">
        <f>SUM(D19:D39)</f>
        <v>1246085</v>
      </c>
      <c r="E41" s="1829">
        <f>SUM(E19:E40)</f>
        <v>20369769</v>
      </c>
      <c r="F41" s="1829">
        <f>SUM(F19:F39)</f>
        <v>2965254</v>
      </c>
      <c r="G41" s="1829">
        <f>SUM(G19:G40)</f>
        <v>18650600</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1246085</v>
      </c>
      <c r="F43" s="1830" t="s">
        <v>494</v>
      </c>
      <c r="G43" s="1831">
        <f>F41</f>
        <v>2965254</v>
      </c>
    </row>
    <row r="44" spans="1:7" ht="12" customHeight="1" x14ac:dyDescent="0.2">
      <c r="A44" s="988"/>
      <c r="B44" s="162"/>
      <c r="C44" s="1002"/>
      <c r="D44" s="1830" t="s">
        <v>493</v>
      </c>
      <c r="E44" s="1831">
        <f>E41</f>
        <v>20369769</v>
      </c>
      <c r="F44" s="1830" t="s">
        <v>493</v>
      </c>
      <c r="G44" s="1831">
        <f>G41</f>
        <v>18650600</v>
      </c>
    </row>
    <row r="45" spans="1:7" ht="12" customHeight="1" x14ac:dyDescent="0.2">
      <c r="A45" s="988"/>
      <c r="B45" s="162"/>
      <c r="C45" s="162"/>
      <c r="D45" s="1832" t="s">
        <v>1062</v>
      </c>
      <c r="E45" s="1833">
        <f>(E43/E44)</f>
        <v>6.1173251400150883E-2</v>
      </c>
      <c r="F45" s="1832" t="s">
        <v>1062</v>
      </c>
      <c r="G45" s="1833">
        <f>(G43/G44)</f>
        <v>0.15898973759557333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0" t="s">
        <v>1445</v>
      </c>
      <c r="B1" s="2310"/>
      <c r="C1" s="2310"/>
      <c r="D1" s="2310"/>
      <c r="E1" s="2310"/>
      <c r="F1" s="2310"/>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1" t="s">
        <v>1626</v>
      </c>
      <c r="B5" s="2312"/>
      <c r="C5" s="2313"/>
      <c r="D5" s="2313"/>
      <c r="E5" s="2313"/>
      <c r="F5" s="2313"/>
    </row>
    <row r="6" spans="1:10" ht="12" customHeight="1" x14ac:dyDescent="0.25">
      <c r="A6" s="1875"/>
      <c r="B6" s="1876"/>
      <c r="C6" s="2314" t="str">
        <f>COVER!A17</f>
        <v>Cary CCSD 26</v>
      </c>
      <c r="D6" s="2314"/>
      <c r="E6" s="2314"/>
      <c r="F6" s="1877"/>
    </row>
    <row r="7" spans="1:10" ht="11.25" customHeight="1" thickBot="1" x14ac:dyDescent="0.3">
      <c r="A7" s="1875"/>
      <c r="B7" s="1876"/>
      <c r="C7" s="2315">
        <f>COVER!A13</f>
        <v>44063026004</v>
      </c>
      <c r="D7" s="2315"/>
      <c r="E7" s="2315"/>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t="s">
        <v>2076</v>
      </c>
      <c r="D12" s="1890" t="s">
        <v>2076</v>
      </c>
      <c r="E12" s="1893" t="s">
        <v>2155</v>
      </c>
      <c r="F12" s="1892" t="s">
        <v>2143</v>
      </c>
      <c r="H12" s="1903">
        <f t="shared" ref="H12:H33" si="0">IF(C12="X",5,0)</f>
        <v>5</v>
      </c>
      <c r="I12" s="1903">
        <f t="shared" ref="I12:I33" si="1">IF(D12="X",5,0)</f>
        <v>5</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t="s">
        <v>2076</v>
      </c>
      <c r="D14" s="1890" t="s">
        <v>2076</v>
      </c>
      <c r="E14" s="1893" t="s">
        <v>2155</v>
      </c>
      <c r="F14" s="1892" t="s">
        <v>2144</v>
      </c>
      <c r="H14" s="1903">
        <f t="shared" si="0"/>
        <v>5</v>
      </c>
      <c r="I14" s="1903">
        <f t="shared" si="1"/>
        <v>5</v>
      </c>
      <c r="J14" s="1903">
        <f t="shared" si="2"/>
        <v>0</v>
      </c>
    </row>
    <row r="15" spans="1:10" ht="12" customHeight="1" x14ac:dyDescent="0.2">
      <c r="A15" s="1888" t="s">
        <v>1453</v>
      </c>
      <c r="B15" s="1889"/>
      <c r="C15" s="1890" t="s">
        <v>2076</v>
      </c>
      <c r="D15" s="1890" t="s">
        <v>2076</v>
      </c>
      <c r="E15" s="1893" t="s">
        <v>2155</v>
      </c>
      <c r="F15" s="1892" t="s">
        <v>2148</v>
      </c>
      <c r="H15" s="1903">
        <f t="shared" si="0"/>
        <v>5</v>
      </c>
      <c r="I15" s="1903">
        <f t="shared" si="1"/>
        <v>5</v>
      </c>
      <c r="J15" s="1903">
        <f t="shared" si="2"/>
        <v>0</v>
      </c>
    </row>
    <row r="16" spans="1:10" ht="12" customHeight="1" x14ac:dyDescent="0.2">
      <c r="A16" s="1888" t="s">
        <v>1454</v>
      </c>
      <c r="B16" s="1889"/>
      <c r="C16" s="1890" t="s">
        <v>2076</v>
      </c>
      <c r="D16" s="1890" t="s">
        <v>2076</v>
      </c>
      <c r="E16" s="1893" t="s">
        <v>2155</v>
      </c>
      <c r="F16" s="1892" t="s">
        <v>2149</v>
      </c>
      <c r="H16" s="1903">
        <f t="shared" si="0"/>
        <v>5</v>
      </c>
      <c r="I16" s="1903">
        <f t="shared" si="1"/>
        <v>5</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2076</v>
      </c>
      <c r="D19" s="1890" t="s">
        <v>2076</v>
      </c>
      <c r="E19" s="1893" t="s">
        <v>2155</v>
      </c>
      <c r="F19" s="1892" t="s">
        <v>2150</v>
      </c>
      <c r="H19" s="1903">
        <f t="shared" si="0"/>
        <v>5</v>
      </c>
      <c r="I19" s="1903">
        <f t="shared" si="1"/>
        <v>5</v>
      </c>
      <c r="J19" s="1903">
        <f t="shared" si="2"/>
        <v>0</v>
      </c>
    </row>
    <row r="20" spans="1:12" ht="12" customHeight="1" x14ac:dyDescent="0.2">
      <c r="A20" s="1888" t="s">
        <v>1608</v>
      </c>
      <c r="B20" s="1889"/>
      <c r="C20" s="1890" t="s">
        <v>2076</v>
      </c>
      <c r="D20" s="1890" t="s">
        <v>2076</v>
      </c>
      <c r="E20" s="1893" t="s">
        <v>2155</v>
      </c>
      <c r="F20" s="1892" t="s">
        <v>2145</v>
      </c>
      <c r="H20" s="1903">
        <f t="shared" si="0"/>
        <v>5</v>
      </c>
      <c r="I20" s="1903">
        <f t="shared" si="1"/>
        <v>5</v>
      </c>
      <c r="J20" s="1903">
        <f t="shared" si="2"/>
        <v>0</v>
      </c>
    </row>
    <row r="21" spans="1:12" ht="12" customHeight="1" x14ac:dyDescent="0.2">
      <c r="A21" s="1888" t="s">
        <v>1609</v>
      </c>
      <c r="B21" s="1889"/>
      <c r="C21" s="1890" t="s">
        <v>2076</v>
      </c>
      <c r="D21" s="1890" t="s">
        <v>2076</v>
      </c>
      <c r="E21" s="1893" t="s">
        <v>2155</v>
      </c>
      <c r="F21" s="1892" t="s">
        <v>2146</v>
      </c>
      <c r="H21" s="1903">
        <f t="shared" si="0"/>
        <v>5</v>
      </c>
      <c r="I21" s="1903">
        <f t="shared" si="1"/>
        <v>5</v>
      </c>
      <c r="J21" s="1903">
        <f t="shared" si="2"/>
        <v>0</v>
      </c>
    </row>
    <row r="22" spans="1:12" ht="12" customHeight="1" x14ac:dyDescent="0.2">
      <c r="A22" s="1888" t="s">
        <v>1610</v>
      </c>
      <c r="B22" s="1889"/>
      <c r="C22" s="1890" t="s">
        <v>2076</v>
      </c>
      <c r="D22" s="1890" t="s">
        <v>2076</v>
      </c>
      <c r="E22" s="1893" t="s">
        <v>2155</v>
      </c>
      <c r="F22" s="1892" t="s">
        <v>2147</v>
      </c>
      <c r="H22" s="1903">
        <f t="shared" si="0"/>
        <v>5</v>
      </c>
      <c r="I22" s="1903">
        <f t="shared" si="1"/>
        <v>5</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2076</v>
      </c>
      <c r="D26" s="1890" t="s">
        <v>2076</v>
      </c>
      <c r="E26" s="1893" t="s">
        <v>2155</v>
      </c>
      <c r="F26" s="1892" t="s">
        <v>2151</v>
      </c>
      <c r="H26" s="1903">
        <f t="shared" si="0"/>
        <v>5</v>
      </c>
      <c r="I26" s="1903">
        <f t="shared" si="1"/>
        <v>5</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2076</v>
      </c>
      <c r="D28" s="1890" t="s">
        <v>2076</v>
      </c>
      <c r="E28" s="1893" t="s">
        <v>2155</v>
      </c>
      <c r="F28" s="1892" t="s">
        <v>2152</v>
      </c>
      <c r="H28" s="1903">
        <f t="shared" si="0"/>
        <v>5</v>
      </c>
      <c r="I28" s="1903">
        <f t="shared" si="1"/>
        <v>5</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2076</v>
      </c>
      <c r="D30" s="1890" t="s">
        <v>2076</v>
      </c>
      <c r="E30" s="1893" t="s">
        <v>2155</v>
      </c>
      <c r="F30" s="1892" t="s">
        <v>2153</v>
      </c>
      <c r="H30" s="1903">
        <f t="shared" si="0"/>
        <v>5</v>
      </c>
      <c r="I30" s="1903">
        <f t="shared" si="1"/>
        <v>5</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t="s">
        <v>2076</v>
      </c>
      <c r="D32" s="1890" t="s">
        <v>2076</v>
      </c>
      <c r="E32" s="1893" t="s">
        <v>2155</v>
      </c>
      <c r="F32" s="1892" t="s">
        <v>2154</v>
      </c>
      <c r="H32" s="1903">
        <f t="shared" si="0"/>
        <v>5</v>
      </c>
      <c r="I32" s="1903">
        <f t="shared" si="1"/>
        <v>5</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60</v>
      </c>
      <c r="I34" s="1903">
        <f>SUM(I11:I32)</f>
        <v>60</v>
      </c>
      <c r="J34" s="1903">
        <f>SUM(J11:J32)</f>
        <v>0</v>
      </c>
      <c r="K34" s="1903">
        <f>SUM(H34:J34)</f>
        <v>120</v>
      </c>
    </row>
    <row r="35" spans="1:11" ht="12" customHeight="1" x14ac:dyDescent="0.2">
      <c r="A35" s="1896" t="s">
        <v>1458</v>
      </c>
      <c r="B35" s="189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1457</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4" t="str">
        <f>COVER!A17</f>
        <v>Cary CCSD 26</v>
      </c>
      <c r="J6" s="2335"/>
      <c r="Q6" s="1686"/>
    </row>
    <row r="7" spans="1:17" x14ac:dyDescent="0.2">
      <c r="A7" s="2336" t="s">
        <v>923</v>
      </c>
      <c r="B7" s="2337"/>
      <c r="C7" s="2337"/>
      <c r="D7" s="2337"/>
      <c r="E7" s="2338"/>
      <c r="F7" s="1018"/>
      <c r="G7" s="1010"/>
      <c r="H7" s="1017" t="s">
        <v>389</v>
      </c>
      <c r="I7" s="2339">
        <f>COVER!A13</f>
        <v>44063026004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292369</v>
      </c>
      <c r="F12" s="1040"/>
      <c r="G12" s="1834">
        <f t="shared" ref="G12:G18" si="0">SUM(E12:F12)</f>
        <v>292369</v>
      </c>
      <c r="H12" s="1041">
        <v>307175</v>
      </c>
      <c r="I12" s="1040"/>
      <c r="J12" s="1834">
        <f t="shared" ref="J12:J18" si="1">SUM(H12:I12)</f>
        <v>307175</v>
      </c>
    </row>
    <row r="13" spans="1:17" ht="15" customHeight="1" x14ac:dyDescent="0.2">
      <c r="A13" s="1036">
        <v>2</v>
      </c>
      <c r="B13" s="1037" t="s">
        <v>44</v>
      </c>
      <c r="C13" s="1038"/>
      <c r="D13" s="1039">
        <v>2330</v>
      </c>
      <c r="E13" s="1834">
        <f>'Expenditures 15-22'!K51</f>
        <v>203739</v>
      </c>
      <c r="F13" s="1040"/>
      <c r="G13" s="1834">
        <f t="shared" si="0"/>
        <v>203739</v>
      </c>
      <c r="H13" s="1041">
        <v>207758</v>
      </c>
      <c r="I13" s="1040"/>
      <c r="J13" s="1834">
        <f t="shared" si="1"/>
        <v>207758</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1127</v>
      </c>
      <c r="C15" s="1038"/>
      <c r="D15" s="1039">
        <v>2510</v>
      </c>
      <c r="E15" s="1834">
        <f>'Expenditures 15-22'!K59</f>
        <v>145168</v>
      </c>
      <c r="F15" s="1834">
        <f>'Expenditures 15-22'!K122</f>
        <v>0</v>
      </c>
      <c r="G15" s="1834">
        <f t="shared" si="0"/>
        <v>145168</v>
      </c>
      <c r="H15" s="1041">
        <v>156007</v>
      </c>
      <c r="I15" s="1041"/>
      <c r="J15" s="1834">
        <f t="shared" si="1"/>
        <v>156007</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641276</v>
      </c>
      <c r="F19" s="1836">
        <f t="shared" si="2"/>
        <v>0</v>
      </c>
      <c r="G19" s="1836">
        <f t="shared" si="2"/>
        <v>641276</v>
      </c>
      <c r="H19" s="1836">
        <f t="shared" si="2"/>
        <v>670940</v>
      </c>
      <c r="I19" s="1836">
        <f t="shared" si="2"/>
        <v>0</v>
      </c>
      <c r="J19" s="1836">
        <f t="shared" si="2"/>
        <v>670940</v>
      </c>
    </row>
    <row r="20" spans="1:10" ht="13.5" thickTop="1" x14ac:dyDescent="0.2">
      <c r="A20" s="1036">
        <v>9</v>
      </c>
      <c r="B20" s="2346" t="s">
        <v>1702</v>
      </c>
      <c r="C20" s="2346"/>
      <c r="D20" s="2347"/>
      <c r="E20" s="1047"/>
      <c r="F20" s="1047"/>
      <c r="G20" s="1047"/>
      <c r="H20" s="1047"/>
      <c r="I20" s="1047"/>
      <c r="J20" s="1837">
        <f>IF(AND(G19&gt;0,J19&gt;0),(((J19-G19)/G19)),"Enter Budget Data")</f>
        <v>4.6257773563956862E-2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row>
    <row r="7" spans="1:2" x14ac:dyDescent="0.2">
      <c r="A7" s="1069">
        <v>3</v>
      </c>
    </row>
    <row r="8" spans="1:2" x14ac:dyDescent="0.2">
      <c r="A8" s="1069">
        <v>4</v>
      </c>
    </row>
    <row r="9" spans="1:2" x14ac:dyDescent="0.2">
      <c r="A9" s="1070">
        <v>5</v>
      </c>
    </row>
    <row r="10" spans="1:2" x14ac:dyDescent="0.2">
      <c r="A10" s="1070"/>
    </row>
    <row r="11" spans="1:2" x14ac:dyDescent="0.2">
      <c r="A11" s="1070"/>
      <c r="B11" s="1956"/>
    </row>
    <row r="12" spans="1:2" x14ac:dyDescent="0.2">
      <c r="A12" s="1070"/>
      <c r="B12" s="1956"/>
    </row>
    <row r="13" spans="1:2" x14ac:dyDescent="0.2">
      <c r="A13" s="1070"/>
      <c r="B13" s="1956"/>
    </row>
    <row r="14" spans="1:2" x14ac:dyDescent="0.2">
      <c r="A14" s="1070"/>
      <c r="B14" s="1956"/>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Cary CCSD 26</v>
      </c>
    </row>
    <row r="65" spans="2:2" x14ac:dyDescent="0.2">
      <c r="B65" s="1071">
        <f>COVER!A13</f>
        <v>44063026004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 spans="1:6" x14ac:dyDescent="0.2">
      <c r="A1" s="1957"/>
    </row>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523875</xdr:colOff>
                <xdr:row>0</xdr:row>
                <xdr:rowOff>152400</xdr:rowOff>
              </from>
              <to>
                <xdr:col>1</xdr:col>
                <xdr:colOff>1428750</xdr:colOff>
                <xdr:row>5</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1695450</xdr:colOff>
                <xdr:row>1</xdr:row>
                <xdr:rowOff>0</xdr:rowOff>
              </from>
              <to>
                <xdr:col>1</xdr:col>
                <xdr:colOff>2609850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2886075</xdr:colOff>
                <xdr:row>0</xdr:row>
                <xdr:rowOff>142875</xdr:rowOff>
              </from>
              <to>
                <xdr:col>1</xdr:col>
                <xdr:colOff>3790950</xdr:colOff>
                <xdr:row>5</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533400</xdr:colOff>
                <xdr:row>6</xdr:row>
                <xdr:rowOff>104775</xdr:rowOff>
              </from>
              <to>
                <xdr:col>1</xdr:col>
                <xdr:colOff>1447800</xdr:colOff>
                <xdr:row>11</xdr:row>
                <xdr:rowOff>66675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1685925</xdr:colOff>
                <xdr:row>6</xdr:row>
                <xdr:rowOff>104775</xdr:rowOff>
              </from>
              <to>
                <xdr:col>1</xdr:col>
                <xdr:colOff>2600325</xdr:colOff>
                <xdr:row>11</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2924175</xdr:colOff>
                <xdr:row>6</xdr:row>
                <xdr:rowOff>142875</xdr:rowOff>
              </from>
              <to>
                <xdr:col>1</xdr:col>
                <xdr:colOff>3838575</xdr:colOff>
                <xdr:row>11</xdr:row>
                <xdr:rowOff>95250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2055</v>
      </c>
      <c r="B4" s="2374"/>
      <c r="C4" s="2374"/>
      <c r="D4" s="2374"/>
      <c r="E4" s="2374"/>
      <c r="F4" s="2375"/>
      <c r="G4" s="1075"/>
      <c r="H4" s="1075"/>
    </row>
    <row r="5" spans="1:8" ht="14.25" customHeight="1" x14ac:dyDescent="0.2">
      <c r="A5" s="2376" t="s">
        <v>2056</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22211108</v>
      </c>
      <c r="C8" s="1838">
        <f>'Acct Summary 7-8'!D8</f>
        <v>2232592</v>
      </c>
      <c r="D8" s="1838">
        <f>'Acct Summary 7-8'!F8</f>
        <v>1700788</v>
      </c>
      <c r="E8" s="1838">
        <f>'Acct Summary 7-8'!I8</f>
        <v>0</v>
      </c>
      <c r="F8" s="1838">
        <f>SUM(B8:E8)</f>
        <v>26144488</v>
      </c>
    </row>
    <row r="9" spans="1:8" s="1080" customFormat="1" ht="14.25" customHeight="1" thickBot="1" x14ac:dyDescent="0.25">
      <c r="A9" s="1079" t="s">
        <v>1435</v>
      </c>
      <c r="B9" s="1839">
        <f>'Acct Summary 7-8'!C17</f>
        <v>20845433</v>
      </c>
      <c r="C9" s="1839">
        <f>'Acct Summary 7-8'!D17</f>
        <v>1698234</v>
      </c>
      <c r="D9" s="1839">
        <f>'Acct Summary 7-8'!F17</f>
        <v>1495759</v>
      </c>
      <c r="E9" s="1838"/>
      <c r="F9" s="1838">
        <f>SUM(B9:E9)</f>
        <v>24039426</v>
      </c>
    </row>
    <row r="10" spans="1:8" s="1080" customFormat="1" ht="14.25" thickTop="1" thickBot="1" x14ac:dyDescent="0.25">
      <c r="A10" s="1081" t="s">
        <v>1436</v>
      </c>
      <c r="B10" s="1840">
        <f>(B8-B9)</f>
        <v>1365675</v>
      </c>
      <c r="C10" s="1840">
        <f>(C8-C9)</f>
        <v>534358</v>
      </c>
      <c r="D10" s="1840">
        <f>(D8-D9)</f>
        <v>205029</v>
      </c>
      <c r="E10" s="1839">
        <f>(E8-E9)</f>
        <v>0</v>
      </c>
      <c r="F10" s="1841">
        <f>SUM(F8-F9)</f>
        <v>2105062</v>
      </c>
    </row>
    <row r="11" spans="1:8" s="1080" customFormat="1" ht="14.25" thickTop="1" thickBot="1" x14ac:dyDescent="0.25">
      <c r="A11" s="1082" t="s">
        <v>1784</v>
      </c>
      <c r="B11" s="1842">
        <f>'Acct Summary 7-8'!C81</f>
        <v>4250978</v>
      </c>
      <c r="C11" s="1842">
        <f>'Acct Summary 7-8'!D81</f>
        <v>2113862</v>
      </c>
      <c r="D11" s="1842">
        <f>'Acct Summary 7-8'!F81</f>
        <v>2173495</v>
      </c>
      <c r="E11" s="1842">
        <f>'Acct Summary 7-8'!I81</f>
        <v>403196</v>
      </c>
      <c r="F11" s="1843">
        <f>SUM(B11:E11)</f>
        <v>8941531</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44063026004</v>
      </c>
    </row>
    <row r="3" spans="1:2" x14ac:dyDescent="0.2">
      <c r="A3" t="s">
        <v>1012</v>
      </c>
      <c r="B3" s="138" t="str">
        <f>COVER!A15</f>
        <v>McHenry</v>
      </c>
    </row>
    <row r="4" spans="1:2" x14ac:dyDescent="0.2">
      <c r="A4" t="s">
        <v>1063</v>
      </c>
      <c r="B4" s="138" t="str">
        <f>COVER!A17</f>
        <v>Cary CCSD 26</v>
      </c>
    </row>
    <row r="5" spans="1:2" x14ac:dyDescent="0.2">
      <c r="A5" t="s">
        <v>727</v>
      </c>
      <c r="B5" s="138" t="str">
        <f>COVER!A38</f>
        <v>Brian Coleman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065-033233</v>
      </c>
    </row>
    <row r="16" spans="1:2" x14ac:dyDescent="0.2">
      <c r="A16" t="s">
        <v>441</v>
      </c>
      <c r="B16" s="138" t="str">
        <f>COVER!T13</f>
        <v>Lauterbach &amp; Amen, LLP</v>
      </c>
    </row>
    <row r="17" spans="1:2" x14ac:dyDescent="0.2">
      <c r="A17" t="s">
        <v>938</v>
      </c>
      <c r="B17" s="138" t="str">
        <f>COVER!T15</f>
        <v>Matt Beran</v>
      </c>
    </row>
    <row r="18" spans="1:2" x14ac:dyDescent="0.2">
      <c r="A18" t="s">
        <v>1211</v>
      </c>
      <c r="B18" s="138" t="str">
        <f>COVER!T17</f>
        <v>668 N. River Road</v>
      </c>
    </row>
    <row r="19" spans="1:2" x14ac:dyDescent="0.2">
      <c r="A19" t="s">
        <v>940</v>
      </c>
      <c r="B19" s="138" t="str">
        <f>COVER!T25</f>
        <v>mberan@lauterbachamen.com</v>
      </c>
    </row>
    <row r="20" spans="1:2" x14ac:dyDescent="0.2">
      <c r="A20" t="s">
        <v>941</v>
      </c>
      <c r="B20" s="138" t="str">
        <f>COVER!T19</f>
        <v>Naperville</v>
      </c>
    </row>
    <row r="21" spans="1:2" x14ac:dyDescent="0.2">
      <c r="A21" t="s">
        <v>499</v>
      </c>
      <c r="B21" s="138" t="str">
        <f>COVER!X19</f>
        <v>IL</v>
      </c>
    </row>
    <row r="22" spans="1:2" x14ac:dyDescent="0.2">
      <c r="A22" t="s">
        <v>942</v>
      </c>
      <c r="B22" s="138">
        <f>COVER!Z19</f>
        <v>60563</v>
      </c>
    </row>
    <row r="23" spans="1:2" x14ac:dyDescent="0.2">
      <c r="A23" t="s">
        <v>1213</v>
      </c>
      <c r="B23" s="138" t="str">
        <f>COVER!T21</f>
        <v>630-393-1483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8160422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22212083</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1106074</v>
      </c>
      <c r="D86" s="2" t="str">
        <f t="shared" si="0"/>
        <v>Error?</v>
      </c>
    </row>
    <row r="87" spans="1:4" x14ac:dyDescent="0.2">
      <c r="A87" s="10">
        <v>26</v>
      </c>
      <c r="D87" s="2" t="str">
        <f t="shared" si="0"/>
        <v>OK</v>
      </c>
    </row>
    <row r="88" spans="1:4" x14ac:dyDescent="0.2">
      <c r="A88" s="5">
        <v>27</v>
      </c>
      <c r="B88" s="138">
        <f>'Assets-Liab 5-6'!C32</f>
        <v>15627934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17961105</v>
      </c>
      <c r="C91" s="2" t="s">
        <v>593</v>
      </c>
      <c r="D91" s="2" t="str">
        <f t="shared" si="0"/>
        <v>Error?</v>
      </c>
    </row>
    <row r="92" spans="1:4" x14ac:dyDescent="0.2">
      <c r="A92" s="5">
        <v>31</v>
      </c>
      <c r="B92" s="138">
        <f>'Assets-Liab 5-6'!C39</f>
        <v>3892714</v>
      </c>
      <c r="D92" s="2" t="str">
        <f t="shared" si="0"/>
        <v>Error?</v>
      </c>
    </row>
    <row r="93" spans="1:4" x14ac:dyDescent="0.2">
      <c r="A93" s="5">
        <v>32</v>
      </c>
      <c r="B93" s="138">
        <f>'Assets-Liab 5-6'!C41</f>
        <v>22212083</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895992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3939628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1709600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1825766</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3939628</v>
      </c>
      <c r="C124" s="2" t="s">
        <v>593</v>
      </c>
      <c r="D124" s="2" t="str">
        <f t="shared" si="0"/>
        <v>Error?</v>
      </c>
    </row>
    <row r="125" spans="1:4" x14ac:dyDescent="0.2">
      <c r="A125" s="10">
        <v>64</v>
      </c>
      <c r="D125" s="2" t="str">
        <f t="shared" si="0"/>
        <v>OK</v>
      </c>
    </row>
    <row r="126" spans="1:4" x14ac:dyDescent="0.2">
      <c r="A126" s="5">
        <v>65</v>
      </c>
      <c r="B126" s="138">
        <f>'Assets-Liab 5-6'!E6</f>
        <v>1393161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3648608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2658224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2658224</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3648608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491647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3118250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938089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944755</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3118250</v>
      </c>
      <c r="C171" s="2" t="s">
        <v>593</v>
      </c>
      <c r="D171" s="2" t="str">
        <f t="shared" si="1"/>
        <v>Error?</v>
      </c>
    </row>
    <row r="172" spans="1:4" x14ac:dyDescent="0.2">
      <c r="A172" s="10">
        <v>111</v>
      </c>
      <c r="D172" s="2" t="str">
        <f t="shared" si="1"/>
        <v>OK</v>
      </c>
    </row>
    <row r="173" spans="1:4" x14ac:dyDescent="0.2">
      <c r="A173" s="5">
        <v>112</v>
      </c>
      <c r="B173" s="138">
        <f>'Assets-Liab 5-6'!G6</f>
        <v>431916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1647064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33156</v>
      </c>
      <c r="D184" s="2" t="str">
        <f t="shared" si="1"/>
        <v>Error?</v>
      </c>
    </row>
    <row r="185" spans="1:4" x14ac:dyDescent="0.2">
      <c r="A185" s="5">
        <v>124</v>
      </c>
      <c r="B185" s="138">
        <f>'Assets-Liab 5-6'!G32</f>
        <v>824119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904651</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1647064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3111337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1523545</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3111337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3546438</v>
      </c>
      <c r="D273" s="2" t="str">
        <f t="shared" si="3"/>
        <v>Error?</v>
      </c>
    </row>
    <row r="274" spans="1:4" x14ac:dyDescent="0.2">
      <c r="A274" s="5">
        <v>213</v>
      </c>
      <c r="B274" s="138">
        <f>'Assets-Liab 5-6'!M17</f>
        <v>51067956</v>
      </c>
      <c r="D274" s="2" t="str">
        <f t="shared" si="3"/>
        <v>Error?</v>
      </c>
    </row>
    <row r="275" spans="1:4" x14ac:dyDescent="0.2">
      <c r="A275" s="5">
        <v>214</v>
      </c>
      <c r="B275" s="138">
        <f>'Assets-Liab 5-6'!M18</f>
        <v>2258320</v>
      </c>
      <c r="D275" s="2" t="str">
        <f t="shared" si="3"/>
        <v>Error?</v>
      </c>
    </row>
    <row r="276" spans="1:4" x14ac:dyDescent="0.2">
      <c r="A276" s="5">
        <v>215</v>
      </c>
      <c r="B276" s="138">
        <f>'Assets-Liab 5-6'!M19</f>
        <v>1633441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61559040</v>
      </c>
      <c r="C279" s="2" t="s">
        <v>593</v>
      </c>
      <c r="D279" s="2" t="str">
        <f t="shared" si="3"/>
        <v>Error?</v>
      </c>
    </row>
    <row r="280" spans="1:4" x14ac:dyDescent="0.2">
      <c r="A280" s="5">
        <v>219</v>
      </c>
      <c r="B280" s="138">
        <f>'Assets-Liab 5-6'!M40</f>
        <v>61559040</v>
      </c>
      <c r="D280" s="2" t="str">
        <f t="shared" si="3"/>
        <v>Error?</v>
      </c>
    </row>
    <row r="281" spans="1:4" x14ac:dyDescent="0.2">
      <c r="A281" s="5">
        <v>220</v>
      </c>
      <c r="B281" s="138">
        <f>'Assets-Liab 5-6'!M41</f>
        <v>61559040</v>
      </c>
      <c r="C281" s="2" t="s">
        <v>593</v>
      </c>
      <c r="D281" s="2" t="str">
        <f t="shared" si="3"/>
        <v>Error?</v>
      </c>
    </row>
    <row r="282" spans="1:4" x14ac:dyDescent="0.2">
      <c r="A282" s="5">
        <v>221</v>
      </c>
      <c r="B282" s="138">
        <f>'Assets-Liab 5-6'!N21</f>
        <v>990384</v>
      </c>
      <c r="D282" s="2" t="str">
        <f t="shared" si="3"/>
        <v>Error?</v>
      </c>
    </row>
    <row r="283" spans="1:4" x14ac:dyDescent="0.2">
      <c r="A283" s="5">
        <v>222</v>
      </c>
      <c r="B283" s="138">
        <f>'Assets-Liab 5-6'!N22</f>
        <v>20969616</v>
      </c>
      <c r="D283" s="2" t="str">
        <f t="shared" si="3"/>
        <v>Error?</v>
      </c>
    </row>
    <row r="284" spans="1:4" x14ac:dyDescent="0.2">
      <c r="A284" s="5">
        <v>223</v>
      </c>
      <c r="B284" s="138">
        <f>'Assets-Liab 5-6'!N23</f>
        <v>21960000</v>
      </c>
      <c r="C284" s="2" t="s">
        <v>593</v>
      </c>
      <c r="D284" s="2" t="str">
        <f t="shared" si="3"/>
        <v>Error?</v>
      </c>
    </row>
    <row r="285" spans="1:4" x14ac:dyDescent="0.2">
      <c r="A285" s="5">
        <v>224</v>
      </c>
      <c r="B285" s="138">
        <f>'Assets-Liab 5-6'!N36</f>
        <v>21960000</v>
      </c>
      <c r="D285" s="2" t="str">
        <f t="shared" si="3"/>
        <v>Error?</v>
      </c>
    </row>
    <row r="286" spans="1:4" x14ac:dyDescent="0.2">
      <c r="A286" s="10">
        <v>225</v>
      </c>
      <c r="D286" s="2" t="str">
        <f t="shared" si="3"/>
        <v>OK</v>
      </c>
    </row>
    <row r="287" spans="1:4" x14ac:dyDescent="0.2">
      <c r="A287" s="5">
        <v>226</v>
      </c>
      <c r="B287" s="138">
        <f>'Assets-Liab 5-6'!N37</f>
        <v>21960000</v>
      </c>
      <c r="C287" s="2" t="s">
        <v>593</v>
      </c>
      <c r="D287" s="2" t="str">
        <f t="shared" si="3"/>
        <v>Error?</v>
      </c>
    </row>
    <row r="288" spans="1:4" x14ac:dyDescent="0.2">
      <c r="A288" s="5">
        <v>227</v>
      </c>
      <c r="B288" s="138">
        <f>'Assets-Liab 5-6'!N41</f>
        <v>21960000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3040000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6288153</v>
      </c>
      <c r="D705" s="2" t="str">
        <f t="shared" si="10"/>
        <v>Error?</v>
      </c>
    </row>
    <row r="706" spans="1:4" x14ac:dyDescent="0.2">
      <c r="A706" s="5">
        <v>645</v>
      </c>
      <c r="B706" s="138">
        <f>'Expenditures 15-22'!C16</f>
        <v>100581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895867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54011</v>
      </c>
      <c r="D718" s="2" t="str">
        <f t="shared" si="10"/>
        <v>Error?</v>
      </c>
    </row>
    <row r="719" spans="1:4" x14ac:dyDescent="0.2">
      <c r="A719" s="5">
        <v>658</v>
      </c>
      <c r="B719" s="138">
        <f>'Expenditures 15-22'!C15</f>
        <v>88734</v>
      </c>
      <c r="D719" s="2" t="str">
        <f t="shared" si="10"/>
        <v>Error?</v>
      </c>
    </row>
    <row r="720" spans="1:4" x14ac:dyDescent="0.2">
      <c r="A720" s="5">
        <v>659</v>
      </c>
      <c r="B720" s="138">
        <f>'Expenditures 15-22'!C33</f>
        <v>10421456</v>
      </c>
      <c r="C720" s="2" t="s">
        <v>593</v>
      </c>
      <c r="D720" s="2" t="str">
        <f t="shared" si="10"/>
        <v>Error?</v>
      </c>
    </row>
    <row r="721" spans="1:4" x14ac:dyDescent="0.2">
      <c r="A721" s="5">
        <v>660</v>
      </c>
      <c r="B721" s="138">
        <f>'Expenditures 15-22'!C36</f>
        <v>433652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528159</v>
      </c>
      <c r="D723" s="2" t="str">
        <f t="shared" si="10"/>
        <v>Error?</v>
      </c>
    </row>
    <row r="724" spans="1:4" x14ac:dyDescent="0.2">
      <c r="A724" s="5">
        <v>663</v>
      </c>
      <c r="B724" s="138">
        <f>'Expenditures 15-22'!C39</f>
        <v>341214</v>
      </c>
      <c r="D724" s="2" t="str">
        <f t="shared" si="10"/>
        <v>Error?</v>
      </c>
    </row>
    <row r="725" spans="1:4" x14ac:dyDescent="0.2">
      <c r="A725" s="5">
        <v>664</v>
      </c>
      <c r="B725" s="138">
        <f>'Expenditures 15-22'!C40</f>
        <v>367542</v>
      </c>
      <c r="D725" s="2" t="str">
        <f t="shared" si="10"/>
        <v>Error?</v>
      </c>
    </row>
    <row r="726" spans="1:4" x14ac:dyDescent="0.2">
      <c r="A726" s="5">
        <v>665</v>
      </c>
      <c r="B726" s="138">
        <f>'Expenditures 15-22'!C41</f>
        <v>75882</v>
      </c>
      <c r="D726" s="2" t="str">
        <f t="shared" si="10"/>
        <v>Error?</v>
      </c>
    </row>
    <row r="727" spans="1:4" x14ac:dyDescent="0.2">
      <c r="A727" s="5">
        <v>666</v>
      </c>
      <c r="B727" s="138">
        <f>'Expenditures 15-22'!C42</f>
        <v>1746449</v>
      </c>
      <c r="C727" s="2" t="s">
        <v>593</v>
      </c>
      <c r="D727" s="2" t="str">
        <f t="shared" si="10"/>
        <v>Error?</v>
      </c>
    </row>
    <row r="728" spans="1:4" x14ac:dyDescent="0.2">
      <c r="A728" s="5">
        <v>667</v>
      </c>
      <c r="B728" s="138">
        <f>'Expenditures 15-22'!C44</f>
        <v>269894</v>
      </c>
      <c r="D728" s="2" t="str">
        <f t="shared" si="10"/>
        <v>Error?</v>
      </c>
    </row>
    <row r="729" spans="1:4" x14ac:dyDescent="0.2">
      <c r="A729" s="5">
        <v>668</v>
      </c>
      <c r="B729" s="138">
        <f>'Expenditures 15-22'!C45</f>
        <v>454029</v>
      </c>
      <c r="D729" s="2" t="str">
        <f t="shared" si="10"/>
        <v>Error?</v>
      </c>
    </row>
    <row r="730" spans="1:4" x14ac:dyDescent="0.2">
      <c r="A730" s="5">
        <v>669</v>
      </c>
      <c r="B730" s="138">
        <f>'Expenditures 15-22'!C46</f>
        <v>569</v>
      </c>
      <c r="D730" s="2" t="str">
        <f t="shared" si="10"/>
        <v>Error?</v>
      </c>
    </row>
    <row r="731" spans="1:4" x14ac:dyDescent="0.2">
      <c r="A731" s="5">
        <v>670</v>
      </c>
      <c r="B731" s="138">
        <f>'Expenditures 15-22'!C47</f>
        <v>724492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220078</v>
      </c>
      <c r="D733" s="2" t="str">
        <f t="shared" si="10"/>
        <v>Error?</v>
      </c>
    </row>
    <row r="734" spans="1:4" x14ac:dyDescent="0.2">
      <c r="A734" s="5">
        <v>673</v>
      </c>
      <c r="B734" s="138">
        <f>'Expenditures 15-22'!C53</f>
        <v>377811</v>
      </c>
      <c r="C734" s="2" t="s">
        <v>593</v>
      </c>
      <c r="D734" s="2" t="str">
        <f t="shared" si="10"/>
        <v>Error?</v>
      </c>
    </row>
    <row r="735" spans="1:4" x14ac:dyDescent="0.2">
      <c r="A735" s="5">
        <v>674</v>
      </c>
      <c r="B735" s="138">
        <f>'Expenditures 15-22'!C55</f>
        <v>751770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751770</v>
      </c>
      <c r="C737" s="2" t="s">
        <v>593</v>
      </c>
      <c r="D737" s="2" t="str">
        <f t="shared" si="10"/>
        <v>Error?</v>
      </c>
    </row>
    <row r="738" spans="1:4" x14ac:dyDescent="0.2">
      <c r="A738" s="5">
        <v>677</v>
      </c>
      <c r="B738" s="138">
        <f>'Expenditures 15-22'!C59</f>
        <v>109814</v>
      </c>
      <c r="D738" s="2" t="str">
        <f t="shared" si="10"/>
        <v>Error?</v>
      </c>
    </row>
    <row r="739" spans="1:4" x14ac:dyDescent="0.2">
      <c r="A739" s="5">
        <v>678</v>
      </c>
      <c r="B739" s="138">
        <f>'Expenditures 15-22'!C60</f>
        <v>207173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316987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57500</v>
      </c>
      <c r="D749" s="2" t="str">
        <f t="shared" si="10"/>
        <v>Error?</v>
      </c>
    </row>
    <row r="750" spans="1:4" x14ac:dyDescent="0.2">
      <c r="A750" s="10">
        <v>689</v>
      </c>
      <c r="D750" s="2" t="str">
        <f t="shared" si="10"/>
        <v>OK</v>
      </c>
    </row>
    <row r="751" spans="1:4" x14ac:dyDescent="0.2">
      <c r="A751" s="5">
        <v>690</v>
      </c>
      <c r="B751" s="138">
        <f>'Expenditures 15-22'!C71</f>
        <v>246947</v>
      </c>
      <c r="D751" s="2" t="str">
        <f t="shared" si="10"/>
        <v>Error?</v>
      </c>
    </row>
    <row r="752" spans="1:4" x14ac:dyDescent="0.2">
      <c r="A752" s="10">
        <v>691</v>
      </c>
      <c r="D752" s="2" t="str">
        <f t="shared" si="10"/>
        <v>OK</v>
      </c>
    </row>
    <row r="753" spans="1:4" x14ac:dyDescent="0.2">
      <c r="A753" s="5">
        <v>692</v>
      </c>
      <c r="B753" s="138">
        <f>'Expenditures 15-22'!C72</f>
        <v>304447</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4221956</v>
      </c>
      <c r="C755" s="2" t="s">
        <v>593</v>
      </c>
      <c r="D755" s="2" t="str">
        <f t="shared" si="10"/>
        <v>Error?</v>
      </c>
    </row>
    <row r="756" spans="1:4" x14ac:dyDescent="0.2">
      <c r="A756" s="5">
        <v>695</v>
      </c>
      <c r="B756" s="138">
        <f>'Expenditures 15-22'!C75</f>
        <v>18409</v>
      </c>
      <c r="D756" s="2" t="str">
        <f t="shared" si="10"/>
        <v>Error?</v>
      </c>
    </row>
    <row r="757" spans="1:4" x14ac:dyDescent="0.2">
      <c r="A757" s="5">
        <v>696</v>
      </c>
      <c r="B757" s="138">
        <f>'Expenditures 15-22'!C114</f>
        <v>14661821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800534</v>
      </c>
      <c r="D763" s="2" t="str">
        <f t="shared" si="10"/>
        <v>Error?</v>
      </c>
    </row>
    <row r="764" spans="1:4" x14ac:dyDescent="0.2">
      <c r="A764" s="5">
        <v>703</v>
      </c>
      <c r="B764" s="138">
        <f>'Expenditures 15-22'!D16</f>
        <v>13340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134148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1047</v>
      </c>
      <c r="D776" s="2" t="str">
        <f t="shared" si="11"/>
        <v>Error?</v>
      </c>
    </row>
    <row r="777" spans="1:4" x14ac:dyDescent="0.2">
      <c r="A777" s="5">
        <v>716</v>
      </c>
      <c r="B777" s="138">
        <f>'Expenditures 15-22'!D15</f>
        <v>11766</v>
      </c>
      <c r="D777" s="2" t="str">
        <f t="shared" si="11"/>
        <v>Error?</v>
      </c>
    </row>
    <row r="778" spans="1:4" x14ac:dyDescent="0.2">
      <c r="A778" s="5">
        <v>717</v>
      </c>
      <c r="B778" s="138">
        <f>'Expenditures 15-22'!D33</f>
        <v>1571858</v>
      </c>
      <c r="C778" s="2" t="s">
        <v>593</v>
      </c>
      <c r="D778" s="2" t="str">
        <f t="shared" si="11"/>
        <v>Error?</v>
      </c>
    </row>
    <row r="779" spans="1:4" x14ac:dyDescent="0.2">
      <c r="A779" s="5">
        <v>718</v>
      </c>
      <c r="B779" s="138">
        <f>'Expenditures 15-22'!D36</f>
        <v>62470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99143</v>
      </c>
      <c r="D781" s="2" t="str">
        <f t="shared" si="11"/>
        <v>Error?</v>
      </c>
    </row>
    <row r="782" spans="1:4" x14ac:dyDescent="0.2">
      <c r="A782" s="5">
        <v>721</v>
      </c>
      <c r="B782" s="138">
        <f>'Expenditures 15-22'!D39</f>
        <v>48421</v>
      </c>
      <c r="D782" s="2" t="str">
        <f t="shared" si="11"/>
        <v>Error?</v>
      </c>
    </row>
    <row r="783" spans="1:4" x14ac:dyDescent="0.2">
      <c r="A783" s="5">
        <v>722</v>
      </c>
      <c r="B783" s="138">
        <f>'Expenditures 15-22'!D40</f>
        <v>40105</v>
      </c>
      <c r="D783" s="2" t="str">
        <f t="shared" si="11"/>
        <v>Error?</v>
      </c>
    </row>
    <row r="784" spans="1:4" x14ac:dyDescent="0.2">
      <c r="A784" s="5">
        <v>723</v>
      </c>
      <c r="B784" s="138">
        <f>'Expenditures 15-22'!D41</f>
        <v>440</v>
      </c>
      <c r="D784" s="2" t="str">
        <f t="shared" si="11"/>
        <v>Error?</v>
      </c>
    </row>
    <row r="785" spans="1:4" x14ac:dyDescent="0.2">
      <c r="A785" s="5">
        <v>724</v>
      </c>
      <c r="B785" s="138">
        <f>'Expenditures 15-22'!D42</f>
        <v>250579</v>
      </c>
      <c r="C785" s="2" t="s">
        <v>593</v>
      </c>
      <c r="D785" s="2" t="str">
        <f t="shared" si="11"/>
        <v>Error?</v>
      </c>
    </row>
    <row r="786" spans="1:4" x14ac:dyDescent="0.2">
      <c r="A786" s="5">
        <v>725</v>
      </c>
      <c r="B786" s="138">
        <f>'Expenditures 15-22'!D44</f>
        <v>90385</v>
      </c>
      <c r="D786" s="2" t="str">
        <f t="shared" si="11"/>
        <v>Error?</v>
      </c>
    </row>
    <row r="787" spans="1:4" x14ac:dyDescent="0.2">
      <c r="A787" s="5">
        <v>726</v>
      </c>
      <c r="B787" s="138">
        <f>'Expenditures 15-22'!D45</f>
        <v>70405</v>
      </c>
      <c r="D787" s="2" t="str">
        <f t="shared" si="11"/>
        <v>Error?</v>
      </c>
    </row>
    <row r="788" spans="1:4" x14ac:dyDescent="0.2">
      <c r="A788" s="5">
        <v>727</v>
      </c>
      <c r="B788" s="138">
        <f>'Expenditures 15-22'!D46</f>
        <v>8</v>
      </c>
      <c r="D788" s="2" t="str">
        <f t="shared" si="11"/>
        <v>Error?</v>
      </c>
    </row>
    <row r="789" spans="1:4" x14ac:dyDescent="0.2">
      <c r="A789" s="5">
        <v>728</v>
      </c>
      <c r="B789" s="138">
        <f>'Expenditures 15-22'!D47</f>
        <v>160798</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61499</v>
      </c>
      <c r="D791" s="2" t="str">
        <f t="shared" si="11"/>
        <v>Error?</v>
      </c>
    </row>
    <row r="792" spans="1:4" x14ac:dyDescent="0.2">
      <c r="A792" s="5">
        <v>731</v>
      </c>
      <c r="B792" s="138">
        <f>'Expenditures 15-22'!D53</f>
        <v>107042</v>
      </c>
      <c r="C792" s="2" t="s">
        <v>593</v>
      </c>
      <c r="D792" s="2" t="str">
        <f t="shared" si="11"/>
        <v>Error?</v>
      </c>
    </row>
    <row r="793" spans="1:4" x14ac:dyDescent="0.2">
      <c r="A793" s="5">
        <v>732</v>
      </c>
      <c r="B793" s="138">
        <f>'Expenditures 15-22'!D55</f>
        <v>216626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216626</v>
      </c>
      <c r="C795" s="2" t="s">
        <v>593</v>
      </c>
      <c r="D795" s="2" t="str">
        <f t="shared" si="11"/>
        <v>Error?</v>
      </c>
    </row>
    <row r="796" spans="1:4" x14ac:dyDescent="0.2">
      <c r="A796" s="5">
        <v>735</v>
      </c>
      <c r="B796" s="138">
        <f>'Expenditures 15-22'!D59</f>
        <v>35201</v>
      </c>
      <c r="D796" s="2" t="str">
        <f t="shared" si="11"/>
        <v>Error?</v>
      </c>
    </row>
    <row r="797" spans="1:4" x14ac:dyDescent="0.2">
      <c r="A797" s="5">
        <v>736</v>
      </c>
      <c r="B797" s="138">
        <f>'Expenditures 15-22'!D60</f>
        <v>43595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78796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11502</v>
      </c>
      <c r="D807" s="2" t="str">
        <f t="shared" si="11"/>
        <v>Error?</v>
      </c>
    </row>
    <row r="808" spans="1:4" x14ac:dyDescent="0.2">
      <c r="A808" s="10">
        <v>747</v>
      </c>
      <c r="D808" s="2" t="str">
        <f t="shared" si="11"/>
        <v>OK</v>
      </c>
    </row>
    <row r="809" spans="1:4" x14ac:dyDescent="0.2">
      <c r="A809" s="5">
        <v>748</v>
      </c>
      <c r="B809" s="138">
        <f>'Expenditures 15-22'!D71</f>
        <v>52865</v>
      </c>
      <c r="D809" s="2" t="str">
        <f t="shared" si="11"/>
        <v>Error?</v>
      </c>
    </row>
    <row r="810" spans="1:4" x14ac:dyDescent="0.2">
      <c r="A810" s="10">
        <v>749</v>
      </c>
      <c r="D810" s="2" t="str">
        <f t="shared" si="11"/>
        <v>OK</v>
      </c>
    </row>
    <row r="811" spans="1:4" x14ac:dyDescent="0.2">
      <c r="A811" s="5">
        <v>750</v>
      </c>
      <c r="B811" s="138">
        <f>'Expenditures 15-22'!D72</f>
        <v>64367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878208</v>
      </c>
      <c r="C813" s="2" t="s">
        <v>593</v>
      </c>
      <c r="D813" s="2" t="str">
        <f t="shared" si="11"/>
        <v>Error?</v>
      </c>
    </row>
    <row r="814" spans="1:4" x14ac:dyDescent="0.2">
      <c r="A814" s="5">
        <v>753</v>
      </c>
      <c r="B814" s="138">
        <f>'Expenditures 15-22'!D75</f>
        <v>4579</v>
      </c>
      <c r="D814" s="2" t="str">
        <f t="shared" si="11"/>
        <v>Error?</v>
      </c>
    </row>
    <row r="815" spans="1:4" x14ac:dyDescent="0.2">
      <c r="A815" s="5">
        <v>754</v>
      </c>
      <c r="B815" s="138">
        <f>'Expenditures 15-22'!D114</f>
        <v>2454645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27336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4523</v>
      </c>
      <c r="D834" s="2" t="str">
        <f t="shared" si="12"/>
        <v>Error?</v>
      </c>
    </row>
    <row r="835" spans="1:4" x14ac:dyDescent="0.2">
      <c r="A835" s="5">
        <v>774</v>
      </c>
      <c r="B835" s="138">
        <f>'Expenditures 15-22'!E15</f>
        <v>422</v>
      </c>
      <c r="D835" s="2" t="str">
        <f t="shared" si="12"/>
        <v>Error?</v>
      </c>
    </row>
    <row r="836" spans="1:4" x14ac:dyDescent="0.2">
      <c r="A836" s="5">
        <v>775</v>
      </c>
      <c r="B836" s="138">
        <f>'Expenditures 15-22'!E33</f>
        <v>32510</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2996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8140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11136</v>
      </c>
      <c r="C843" s="2" t="s">
        <v>593</v>
      </c>
      <c r="D843" s="2" t="str">
        <f t="shared" si="12"/>
        <v>Error?</v>
      </c>
    </row>
    <row r="844" spans="1:4" x14ac:dyDescent="0.2">
      <c r="A844" s="5">
        <v>783</v>
      </c>
      <c r="B844" s="138">
        <f>'Expenditures 15-22'!E44</f>
        <v>67380</v>
      </c>
      <c r="D844" s="2" t="str">
        <f t="shared" si="12"/>
        <v>Error?</v>
      </c>
    </row>
    <row r="845" spans="1:4" x14ac:dyDescent="0.2">
      <c r="A845" s="5">
        <v>784</v>
      </c>
      <c r="B845" s="138">
        <f>'Expenditures 15-22'!E45</f>
        <v>38721</v>
      </c>
      <c r="D845" s="2" t="str">
        <f t="shared" si="12"/>
        <v>Error?</v>
      </c>
    </row>
    <row r="846" spans="1:4" x14ac:dyDescent="0.2">
      <c r="A846" s="5">
        <v>785</v>
      </c>
      <c r="B846" s="138">
        <f>'Expenditures 15-22'!E46</f>
        <v>8855</v>
      </c>
      <c r="D846" s="2" t="str">
        <f t="shared" si="12"/>
        <v>Error?</v>
      </c>
    </row>
    <row r="847" spans="1:4" x14ac:dyDescent="0.2">
      <c r="A847" s="5">
        <v>786</v>
      </c>
      <c r="B847" s="138">
        <f>'Expenditures 15-22'!E47</f>
        <v>114956</v>
      </c>
      <c r="C847" s="2" t="s">
        <v>593</v>
      </c>
      <c r="D847" s="2" t="str">
        <f t="shared" si="12"/>
        <v>Error?</v>
      </c>
    </row>
    <row r="848" spans="1:4" x14ac:dyDescent="0.2">
      <c r="A848" s="5">
        <v>787</v>
      </c>
      <c r="B848" s="138">
        <f>'Expenditures 15-22'!E49</f>
        <v>4333</v>
      </c>
      <c r="D848" s="2" t="str">
        <f t="shared" si="12"/>
        <v>Error?</v>
      </c>
    </row>
    <row r="849" spans="1:4" x14ac:dyDescent="0.2">
      <c r="A849" s="5">
        <v>788</v>
      </c>
      <c r="B849" s="138">
        <f>'Expenditures 15-22'!E50</f>
        <v>5817</v>
      </c>
      <c r="D849" s="2" t="str">
        <f t="shared" si="12"/>
        <v>Error?</v>
      </c>
    </row>
    <row r="850" spans="1:4" x14ac:dyDescent="0.2">
      <c r="A850" s="5">
        <v>789</v>
      </c>
      <c r="B850" s="138">
        <f>'Expenditures 15-22'!E53</f>
        <v>330180</v>
      </c>
      <c r="C850" s="2" t="s">
        <v>593</v>
      </c>
      <c r="D850" s="2" t="str">
        <f t="shared" si="12"/>
        <v>Error?</v>
      </c>
    </row>
    <row r="851" spans="1:4" x14ac:dyDescent="0.2">
      <c r="A851" s="5">
        <v>790</v>
      </c>
      <c r="B851" s="138">
        <f>'Expenditures 15-22'!E55</f>
        <v>439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439</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86761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425109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511870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24538</v>
      </c>
      <c r="D865" s="2" t="str">
        <f t="shared" si="12"/>
        <v>Error?</v>
      </c>
    </row>
    <row r="866" spans="1:4" x14ac:dyDescent="0.2">
      <c r="A866" s="10">
        <v>805</v>
      </c>
      <c r="D866" s="2" t="str">
        <f t="shared" si="12"/>
        <v>OK</v>
      </c>
    </row>
    <row r="867" spans="1:4" x14ac:dyDescent="0.2">
      <c r="A867" s="5">
        <v>806</v>
      </c>
      <c r="B867" s="138">
        <f>'Expenditures 15-22'!E71</f>
        <v>125992</v>
      </c>
      <c r="D867" s="2" t="str">
        <f t="shared" si="12"/>
        <v>Error?</v>
      </c>
    </row>
    <row r="868" spans="1:4" x14ac:dyDescent="0.2">
      <c r="A868" s="10">
        <v>807</v>
      </c>
      <c r="D868" s="2" t="str">
        <f t="shared" si="12"/>
        <v>OK</v>
      </c>
    </row>
    <row r="869" spans="1:4" x14ac:dyDescent="0.2">
      <c r="A869" s="5">
        <v>808</v>
      </c>
      <c r="B869" s="138">
        <f>'Expenditures 15-22'!E72</f>
        <v>150530</v>
      </c>
      <c r="C869" s="2" t="s">
        <v>593</v>
      </c>
      <c r="D869" s="2" t="str">
        <f t="shared" si="12"/>
        <v>Error?</v>
      </c>
    </row>
    <row r="870" spans="1:4" x14ac:dyDescent="0.2">
      <c r="A870" s="5">
        <v>809</v>
      </c>
      <c r="B870" s="138">
        <f>'Expenditures 15-22'!E73</f>
        <v>-2320</v>
      </c>
      <c r="D870" s="2" t="str">
        <f t="shared" si="12"/>
        <v>Error?</v>
      </c>
    </row>
    <row r="871" spans="1:4" x14ac:dyDescent="0.2">
      <c r="A871" s="5">
        <v>810</v>
      </c>
      <c r="B871" s="138">
        <f>'Expenditures 15-22'!E74</f>
        <v>1116791</v>
      </c>
      <c r="C871" s="2" t="s">
        <v>593</v>
      </c>
      <c r="D871" s="2" t="str">
        <f t="shared" si="12"/>
        <v>Error?</v>
      </c>
    </row>
    <row r="872" spans="1:4" x14ac:dyDescent="0.2">
      <c r="A872" s="5">
        <v>811</v>
      </c>
      <c r="B872" s="138">
        <f>'Expenditures 15-22'!E75</f>
        <v>44070</v>
      </c>
      <c r="D872" s="2" t="str">
        <f t="shared" si="12"/>
        <v>Error?</v>
      </c>
    </row>
    <row r="873" spans="1:4" x14ac:dyDescent="0.2">
      <c r="A873" s="5">
        <v>812</v>
      </c>
      <c r="B873" s="138">
        <f>'Expenditures 15-22'!E114</f>
        <v>1691445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335949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1788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35146</v>
      </c>
      <c r="D892" s="2" t="str">
        <f t="shared" si="12"/>
        <v>Error?</v>
      </c>
    </row>
    <row r="893" spans="1:4" x14ac:dyDescent="0.2">
      <c r="A893" s="5">
        <v>832</v>
      </c>
      <c r="B893" s="138">
        <f>'Expenditures 15-22'!F15</f>
        <v>796</v>
      </c>
      <c r="D893" s="2" t="str">
        <f t="shared" si="12"/>
        <v>Error?</v>
      </c>
    </row>
    <row r="894" spans="1:4" x14ac:dyDescent="0.2">
      <c r="A894" s="5">
        <v>833</v>
      </c>
      <c r="B894" s="138">
        <f>'Expenditures 15-22'!F33</f>
        <v>394605</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7133</v>
      </c>
      <c r="D897" s="2" t="str">
        <f t="shared" si="13"/>
        <v>Error?</v>
      </c>
    </row>
    <row r="898" spans="1:4" x14ac:dyDescent="0.2">
      <c r="A898" s="5">
        <v>837</v>
      </c>
      <c r="B898" s="138">
        <f>'Expenditures 15-22'!F39</f>
        <v>3922</v>
      </c>
      <c r="D898" s="2" t="str">
        <f t="shared" si="13"/>
        <v>Error?</v>
      </c>
    </row>
    <row r="899" spans="1:4" x14ac:dyDescent="0.2">
      <c r="A899" s="5">
        <v>838</v>
      </c>
      <c r="B899" s="138">
        <f>'Expenditures 15-22'!F40</f>
        <v>3175</v>
      </c>
      <c r="D899" s="2" t="str">
        <f t="shared" si="13"/>
        <v>Error?</v>
      </c>
    </row>
    <row r="900" spans="1:4" x14ac:dyDescent="0.2">
      <c r="A900" s="5">
        <v>839</v>
      </c>
      <c r="B900" s="138">
        <f>'Expenditures 15-22'!F41</f>
        <v>1985</v>
      </c>
      <c r="D900" s="2" t="str">
        <f t="shared" si="13"/>
        <v>Error?</v>
      </c>
    </row>
    <row r="901" spans="1:4" x14ac:dyDescent="0.2">
      <c r="A901" s="5">
        <v>840</v>
      </c>
      <c r="B901" s="138">
        <f>'Expenditures 15-22'!F42</f>
        <v>16215</v>
      </c>
      <c r="C901" s="2" t="s">
        <v>593</v>
      </c>
      <c r="D901" s="2" t="str">
        <f t="shared" si="13"/>
        <v>Error?</v>
      </c>
    </row>
    <row r="902" spans="1:4" x14ac:dyDescent="0.2">
      <c r="A902" s="5">
        <v>841</v>
      </c>
      <c r="B902" s="138">
        <f>'Expenditures 15-22'!F44</f>
        <v>8165</v>
      </c>
      <c r="D902" s="2" t="str">
        <f t="shared" si="13"/>
        <v>Error?</v>
      </c>
    </row>
    <row r="903" spans="1:4" x14ac:dyDescent="0.2">
      <c r="A903" s="5">
        <v>842</v>
      </c>
      <c r="B903" s="138">
        <f>'Expenditures 15-22'!F45</f>
        <v>74971</v>
      </c>
      <c r="D903" s="2" t="str">
        <f t="shared" si="13"/>
        <v>Error?</v>
      </c>
    </row>
    <row r="904" spans="1:4" x14ac:dyDescent="0.2">
      <c r="A904" s="5">
        <v>843</v>
      </c>
      <c r="B904" s="138">
        <f>'Expenditures 15-22'!F46</f>
        <v>788</v>
      </c>
      <c r="D904" s="2" t="str">
        <f t="shared" si="13"/>
        <v>Error?</v>
      </c>
    </row>
    <row r="905" spans="1:4" x14ac:dyDescent="0.2">
      <c r="A905" s="5">
        <v>844</v>
      </c>
      <c r="B905" s="138">
        <f>'Expenditures 15-22'!F47</f>
        <v>83924</v>
      </c>
      <c r="C905" s="2" t="s">
        <v>593</v>
      </c>
      <c r="D905" s="2" t="str">
        <f t="shared" si="13"/>
        <v>Error?</v>
      </c>
    </row>
    <row r="906" spans="1:4" x14ac:dyDescent="0.2">
      <c r="A906" s="5">
        <v>845</v>
      </c>
      <c r="B906" s="138">
        <f>'Expenditures 15-22'!F49</f>
        <v>1032</v>
      </c>
      <c r="D906" s="2" t="str">
        <f t="shared" si="13"/>
        <v>Error?</v>
      </c>
    </row>
    <row r="907" spans="1:4" x14ac:dyDescent="0.2">
      <c r="A907" s="5">
        <v>846</v>
      </c>
      <c r="B907" s="138">
        <f>'Expenditures 15-22'!F50</f>
        <v>3357</v>
      </c>
      <c r="D907" s="2" t="str">
        <f t="shared" si="13"/>
        <v>Error?</v>
      </c>
    </row>
    <row r="908" spans="1:4" x14ac:dyDescent="0.2">
      <c r="A908" s="5">
        <v>847</v>
      </c>
      <c r="B908" s="138">
        <f>'Expenditures 15-22'!F53</f>
        <v>4852</v>
      </c>
      <c r="C908" s="2" t="s">
        <v>593</v>
      </c>
      <c r="D908" s="2" t="str">
        <f t="shared" si="13"/>
        <v>Error?</v>
      </c>
    </row>
    <row r="909" spans="1:4" x14ac:dyDescent="0.2">
      <c r="A909" s="5">
        <v>848</v>
      </c>
      <c r="B909" s="138">
        <f>'Expenditures 15-22'!F55</f>
        <v>32559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32559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6300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15755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133752</v>
      </c>
      <c r="D925" s="2" t="str">
        <f t="shared" si="13"/>
        <v>Error?</v>
      </c>
    </row>
    <row r="926" spans="1:4" x14ac:dyDescent="0.2">
      <c r="A926" s="10">
        <v>865</v>
      </c>
      <c r="D926" s="2" t="str">
        <f t="shared" si="13"/>
        <v>OK</v>
      </c>
    </row>
    <row r="927" spans="1:4" x14ac:dyDescent="0.2">
      <c r="A927" s="5">
        <v>866</v>
      </c>
      <c r="B927" s="138">
        <f>'Expenditures 15-22'!F72</f>
        <v>149507</v>
      </c>
      <c r="C927" s="2" t="s">
        <v>593</v>
      </c>
      <c r="D927" s="2" t="str">
        <f t="shared" si="13"/>
        <v>Error?</v>
      </c>
    </row>
    <row r="928" spans="1:4" x14ac:dyDescent="0.2">
      <c r="A928" s="5">
        <v>867</v>
      </c>
      <c r="B928" s="138">
        <f>'Expenditures 15-22'!F73</f>
        <v>57532</v>
      </c>
      <c r="D928" s="2" t="str">
        <f t="shared" si="13"/>
        <v>Error?</v>
      </c>
    </row>
    <row r="929" spans="1:4" x14ac:dyDescent="0.2">
      <c r="A929" s="5">
        <v>868</v>
      </c>
      <c r="B929" s="138">
        <f>'Expenditures 15-22'!F74</f>
        <v>350889</v>
      </c>
      <c r="C929" s="2" t="s">
        <v>593</v>
      </c>
      <c r="D929" s="2" t="str">
        <f t="shared" si="13"/>
        <v>Error?</v>
      </c>
    </row>
    <row r="930" spans="1:4" x14ac:dyDescent="0.2">
      <c r="A930" s="5">
        <v>869</v>
      </c>
      <c r="B930" s="138">
        <f>'Expenditures 15-22'!F75</f>
        <v>1074</v>
      </c>
      <c r="D930" s="2" t="str">
        <f t="shared" si="13"/>
        <v>Error?</v>
      </c>
    </row>
    <row r="931" spans="1:4" x14ac:dyDescent="0.2">
      <c r="A931" s="5">
        <v>870</v>
      </c>
      <c r="B931" s="138">
        <f>'Expenditures 15-22'!F114</f>
        <v>746568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29808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29808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408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408</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529993</v>
      </c>
      <c r="D983" s="2" t="str">
        <f t="shared" si="14"/>
        <v>Error?</v>
      </c>
    </row>
    <row r="984" spans="1:4" x14ac:dyDescent="0.2">
      <c r="A984" s="10">
        <v>923</v>
      </c>
      <c r="D984" s="2" t="str">
        <f t="shared" si="14"/>
        <v>OK</v>
      </c>
    </row>
    <row r="985" spans="1:4" x14ac:dyDescent="0.2">
      <c r="A985" s="5">
        <v>924</v>
      </c>
      <c r="B985" s="138">
        <f>'Expenditures 15-22'!G72</f>
        <v>529993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530401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560209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422923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230</v>
      </c>
      <c r="D1022" s="2" t="str">
        <f t="shared" si="14"/>
        <v>Error?</v>
      </c>
    </row>
    <row r="1023" spans="1:4" x14ac:dyDescent="0.2">
      <c r="A1023" s="5">
        <v>962</v>
      </c>
      <c r="B1023" s="138">
        <f>'Expenditures 15-22'!H50</f>
        <v>1618</v>
      </c>
      <c r="D1023" s="2" t="str">
        <f t="shared" ref="D1023:D1086" si="15">IF(ISBLANK(B1023),"OK",IF(A1023-B1023=0,"OK","Error?"))</f>
        <v>Error?</v>
      </c>
    </row>
    <row r="1024" spans="1:4" x14ac:dyDescent="0.2">
      <c r="A1024" s="5">
        <v>963</v>
      </c>
      <c r="B1024" s="138">
        <f>'Expenditures 15-22'!H53</f>
        <v>1848</v>
      </c>
      <c r="C1024" s="2" t="s">
        <v>593</v>
      </c>
      <c r="D1024" s="2" t="str">
        <f t="shared" si="15"/>
        <v>Error?</v>
      </c>
    </row>
    <row r="1025" spans="1:4" x14ac:dyDescent="0.2">
      <c r="A1025" s="5">
        <v>964</v>
      </c>
      <c r="B1025" s="138">
        <f>'Expenditures 15-22'!H55</f>
        <v>1200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1200</v>
      </c>
      <c r="C1027" s="2" t="s">
        <v>593</v>
      </c>
      <c r="D1027" s="2" t="str">
        <f t="shared" si="15"/>
        <v>Error?</v>
      </c>
    </row>
    <row r="1028" spans="1:4" x14ac:dyDescent="0.2">
      <c r="A1028" s="5">
        <v>967</v>
      </c>
      <c r="B1028" s="138">
        <f>'Expenditures 15-22'!H59</f>
        <v>153</v>
      </c>
      <c r="D1028" s="2" t="str">
        <f t="shared" si="15"/>
        <v>Error?</v>
      </c>
    </row>
    <row r="1029" spans="1:4" x14ac:dyDescent="0.2">
      <c r="A1029" s="5">
        <v>968</v>
      </c>
      <c r="B1029" s="138">
        <f>'Expenditures 15-22'!H60</f>
        <v>2955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3108</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6156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301666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730745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7481780</v>
      </c>
      <c r="C1093" s="2" t="s">
        <v>593</v>
      </c>
      <c r="D1093" s="2" t="str">
        <f t="shared" si="16"/>
        <v>Error?</v>
      </c>
    </row>
    <row r="1094" spans="1:4" x14ac:dyDescent="0.2">
      <c r="A1094" s="5">
        <v>1033</v>
      </c>
      <c r="B1094" s="138">
        <f>'Expenditures 15-22'!K16</f>
        <v>113921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1031803</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97785</v>
      </c>
      <c r="C1106" s="2" t="s">
        <v>593</v>
      </c>
      <c r="D1106" s="2" t="str">
        <f t="shared" si="16"/>
        <v>Error?</v>
      </c>
    </row>
    <row r="1107" spans="1:4" x14ac:dyDescent="0.2">
      <c r="A1107" s="5">
        <v>1046</v>
      </c>
      <c r="B1107" s="138">
        <f>'Expenditures 15-22'!K15</f>
        <v>101718</v>
      </c>
      <c r="C1107" s="2" t="s">
        <v>593</v>
      </c>
      <c r="D1107" s="2" t="str">
        <f t="shared" si="16"/>
        <v>Error?</v>
      </c>
    </row>
    <row r="1108" spans="1:4" x14ac:dyDescent="0.2">
      <c r="A1108" s="5">
        <v>1047</v>
      </c>
      <c r="B1108" s="138">
        <f>'Expenditures 15-22'!K33</f>
        <v>12873160</v>
      </c>
      <c r="C1108" s="2" t="s">
        <v>593</v>
      </c>
      <c r="D1108" s="2" t="str">
        <f t="shared" si="16"/>
        <v>Error?</v>
      </c>
    </row>
    <row r="1109" spans="1:4" x14ac:dyDescent="0.2">
      <c r="A1109" s="5">
        <v>1048</v>
      </c>
      <c r="B1109" s="138">
        <f>'Expenditures 15-22'!K36</f>
        <v>496122</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637839</v>
      </c>
      <c r="C1111" s="2" t="s">
        <v>593</v>
      </c>
      <c r="D1111" s="2" t="str">
        <f t="shared" si="16"/>
        <v>Error?</v>
      </c>
    </row>
    <row r="1112" spans="1:4" x14ac:dyDescent="0.2">
      <c r="A1112" s="5">
        <v>1051</v>
      </c>
      <c r="B1112" s="138">
        <f>'Expenditures 15-22'!K39</f>
        <v>393557</v>
      </c>
      <c r="C1112" s="2" t="s">
        <v>593</v>
      </c>
      <c r="D1112" s="2" t="str">
        <f t="shared" si="16"/>
        <v>Error?</v>
      </c>
    </row>
    <row r="1113" spans="1:4" x14ac:dyDescent="0.2">
      <c r="A1113" s="5">
        <v>1052</v>
      </c>
      <c r="B1113" s="138">
        <f>'Expenditures 15-22'!K40</f>
        <v>418962</v>
      </c>
      <c r="C1113" s="2" t="s">
        <v>593</v>
      </c>
      <c r="D1113" s="2" t="str">
        <f t="shared" si="16"/>
        <v>Error?</v>
      </c>
    </row>
    <row r="1114" spans="1:4" x14ac:dyDescent="0.2">
      <c r="A1114" s="5">
        <v>1053</v>
      </c>
      <c r="B1114" s="138">
        <f>'Expenditures 15-22'!K41</f>
        <v>78307</v>
      </c>
      <c r="C1114" s="2" t="s">
        <v>593</v>
      </c>
      <c r="D1114" s="2" t="str">
        <f t="shared" si="16"/>
        <v>Error?</v>
      </c>
    </row>
    <row r="1115" spans="1:4" x14ac:dyDescent="0.2">
      <c r="A1115" s="5">
        <v>1054</v>
      </c>
      <c r="B1115" s="138">
        <f>'Expenditures 15-22'!K42</f>
        <v>2024787</v>
      </c>
      <c r="C1115" s="2" t="s">
        <v>593</v>
      </c>
      <c r="D1115" s="2" t="str">
        <f t="shared" si="16"/>
        <v>Error?</v>
      </c>
    </row>
    <row r="1116" spans="1:4" x14ac:dyDescent="0.2">
      <c r="A1116" s="5">
        <v>1055</v>
      </c>
      <c r="B1116" s="138">
        <f>'Expenditures 15-22'!K44</f>
        <v>435824</v>
      </c>
      <c r="C1116" s="2" t="s">
        <v>593</v>
      </c>
      <c r="D1116" s="2" t="str">
        <f t="shared" si="16"/>
        <v>Error?</v>
      </c>
    </row>
    <row r="1117" spans="1:4" x14ac:dyDescent="0.2">
      <c r="A1117" s="5">
        <v>1056</v>
      </c>
      <c r="B1117" s="138">
        <f>'Expenditures 15-22'!K45</f>
        <v>638126</v>
      </c>
      <c r="C1117" s="2" t="s">
        <v>593</v>
      </c>
      <c r="D1117" s="2" t="str">
        <f t="shared" si="16"/>
        <v>Error?</v>
      </c>
    </row>
    <row r="1118" spans="1:4" x14ac:dyDescent="0.2">
      <c r="A1118" s="5">
        <v>1057</v>
      </c>
      <c r="B1118" s="138">
        <f>'Expenditures 15-22'!K46</f>
        <v>10220</v>
      </c>
      <c r="C1118" s="2" t="s">
        <v>593</v>
      </c>
      <c r="D1118" s="2" t="str">
        <f t="shared" si="16"/>
        <v>Error?</v>
      </c>
    </row>
    <row r="1119" spans="1:4" x14ac:dyDescent="0.2">
      <c r="A1119" s="5">
        <v>1058</v>
      </c>
      <c r="B1119" s="138">
        <f>'Expenditures 15-22'!K47</f>
        <v>1084170</v>
      </c>
      <c r="C1119" s="2" t="s">
        <v>593</v>
      </c>
      <c r="D1119" s="2" t="str">
        <f t="shared" si="16"/>
        <v>Error?</v>
      </c>
    </row>
    <row r="1120" spans="1:4" x14ac:dyDescent="0.2">
      <c r="A1120" s="5">
        <v>1059</v>
      </c>
      <c r="B1120" s="138">
        <f>'Expenditures 15-22'!K49</f>
        <v>5595</v>
      </c>
      <c r="C1120" s="2" t="s">
        <v>593</v>
      </c>
      <c r="D1120" s="2" t="str">
        <f t="shared" si="16"/>
        <v>Error?</v>
      </c>
    </row>
    <row r="1121" spans="1:4" x14ac:dyDescent="0.2">
      <c r="A1121" s="5">
        <v>1060</v>
      </c>
      <c r="B1121" s="138">
        <f>'Expenditures 15-22'!K50</f>
        <v>292369</v>
      </c>
      <c r="C1121" s="2" t="s">
        <v>593</v>
      </c>
      <c r="D1121" s="2" t="str">
        <f t="shared" si="16"/>
        <v>Error?</v>
      </c>
    </row>
    <row r="1122" spans="1:4" x14ac:dyDescent="0.2">
      <c r="A1122" s="5">
        <v>1061</v>
      </c>
      <c r="B1122" s="138">
        <f>'Expenditures 15-22'!K53</f>
        <v>821733</v>
      </c>
      <c r="C1122" s="2" t="s">
        <v>593</v>
      </c>
      <c r="D1122" s="2" t="str">
        <f t="shared" si="16"/>
        <v>Error?</v>
      </c>
    </row>
    <row r="1123" spans="1:4" x14ac:dyDescent="0.2">
      <c r="A1123" s="5">
        <v>1062</v>
      </c>
      <c r="B1123" s="138">
        <f>'Expenditures 15-22'!K55</f>
        <v>1002594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1002594</v>
      </c>
      <c r="C1125" s="2" t="s">
        <v>593</v>
      </c>
      <c r="D1125" s="2" t="str">
        <f t="shared" si="16"/>
        <v>Error?</v>
      </c>
    </row>
    <row r="1126" spans="1:4" x14ac:dyDescent="0.2">
      <c r="A1126" s="5">
        <v>1065</v>
      </c>
      <c r="B1126" s="138">
        <f>'Expenditures 15-22'!K59</f>
        <v>145168</v>
      </c>
      <c r="C1126" s="2" t="s">
        <v>593</v>
      </c>
      <c r="D1126" s="2" t="str">
        <f t="shared" si="16"/>
        <v>Error?</v>
      </c>
    </row>
    <row r="1127" spans="1:4" x14ac:dyDescent="0.2">
      <c r="A1127" s="5">
        <v>1066</v>
      </c>
      <c r="B1127" s="138">
        <f>'Expenditures 15-22'!K60</f>
        <v>346419</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425474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917061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15755</v>
      </c>
      <c r="C1136" s="2" t="s">
        <v>593</v>
      </c>
      <c r="D1136" s="2" t="str">
        <f t="shared" si="16"/>
        <v>Error?</v>
      </c>
    </row>
    <row r="1137" spans="1:4" x14ac:dyDescent="0.2">
      <c r="A1137" s="5">
        <v>1076</v>
      </c>
      <c r="B1137" s="138">
        <f>'Expenditures 15-22'!K70</f>
        <v>93540</v>
      </c>
      <c r="C1137" s="2" t="s">
        <v>593</v>
      </c>
      <c r="D1137" s="2" t="str">
        <f t="shared" si="16"/>
        <v>Error?</v>
      </c>
    </row>
    <row r="1138" spans="1:4" x14ac:dyDescent="0.2">
      <c r="A1138" s="10">
        <v>1077</v>
      </c>
      <c r="D1138" s="2" t="str">
        <f t="shared" si="16"/>
        <v>OK</v>
      </c>
    </row>
    <row r="1139" spans="1:4" x14ac:dyDescent="0.2">
      <c r="A1139" s="5">
        <v>1078</v>
      </c>
      <c r="B1139" s="138">
        <f>'Expenditures 15-22'!K71</f>
        <v>1089549</v>
      </c>
      <c r="C1139" s="2" t="s">
        <v>593</v>
      </c>
      <c r="D1139" s="2" t="str">
        <f t="shared" si="16"/>
        <v>Error?</v>
      </c>
    </row>
    <row r="1140" spans="1:4" x14ac:dyDescent="0.2">
      <c r="A1140" s="10">
        <v>1079</v>
      </c>
      <c r="D1140" s="2" t="str">
        <f t="shared" si="16"/>
        <v>OK</v>
      </c>
    </row>
    <row r="1141" spans="1:4" x14ac:dyDescent="0.2">
      <c r="A1141" s="5">
        <v>1080</v>
      </c>
      <c r="B1141" s="138">
        <f>'Expenditures 15-22'!K72</f>
        <v>1198844</v>
      </c>
      <c r="C1141" s="2" t="s">
        <v>593</v>
      </c>
      <c r="D1141" s="2" t="str">
        <f t="shared" si="16"/>
        <v>Error?</v>
      </c>
    </row>
    <row r="1142" spans="1:4" x14ac:dyDescent="0.2">
      <c r="A1142" s="5">
        <v>1081</v>
      </c>
      <c r="B1142" s="138">
        <f>'Expenditures 15-22'!K73</f>
        <v>55212</v>
      </c>
      <c r="C1142" s="2" t="s">
        <v>593</v>
      </c>
      <c r="D1142" s="2" t="str">
        <f t="shared" si="16"/>
        <v>Error?</v>
      </c>
    </row>
    <row r="1143" spans="1:4" x14ac:dyDescent="0.2">
      <c r="A1143" s="5">
        <v>1082</v>
      </c>
      <c r="B1143" s="138">
        <f>'Expenditures 15-22'!K74</f>
        <v>7104401</v>
      </c>
      <c r="C1143" s="2" t="s">
        <v>593</v>
      </c>
      <c r="D1143" s="2" t="str">
        <f t="shared" si="16"/>
        <v>Error?</v>
      </c>
    </row>
    <row r="1144" spans="1:4" x14ac:dyDescent="0.2">
      <c r="A1144" s="5">
        <v>1083</v>
      </c>
      <c r="B1144" s="138">
        <f>'Expenditures 15-22'!K75</f>
        <v>68132</v>
      </c>
      <c r="C1144" s="2" t="s">
        <v>593</v>
      </c>
      <c r="D1144" s="2" t="str">
        <f t="shared" si="16"/>
        <v>Error?</v>
      </c>
    </row>
    <row r="1145" spans="1:4" x14ac:dyDescent="0.2">
      <c r="A1145" s="5">
        <v>1084</v>
      </c>
      <c r="B1145" s="138">
        <f>'Expenditures 15-22'!K102</f>
        <v>799740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20845433</v>
      </c>
      <c r="C1152" s="2" t="s">
        <v>593</v>
      </c>
      <c r="D1152" s="2" t="str">
        <f t="shared" si="17"/>
        <v>Error?</v>
      </c>
    </row>
    <row r="1153" spans="1:4" x14ac:dyDescent="0.2">
      <c r="A1153" s="5">
        <v>1092</v>
      </c>
      <c r="B1153" s="138">
        <f>'Expenditures 15-22'!K115</f>
        <v>1365675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105758</v>
      </c>
      <c r="D1221" s="2" t="str">
        <f t="shared" si="18"/>
        <v>Error?</v>
      </c>
    </row>
    <row r="1222" spans="1:4" x14ac:dyDescent="0.2">
      <c r="A1222" s="10">
        <v>1161</v>
      </c>
      <c r="D1222" s="2" t="str">
        <f t="shared" si="18"/>
        <v>OK</v>
      </c>
    </row>
    <row r="1223" spans="1:4" x14ac:dyDescent="0.2">
      <c r="A1223" s="5">
        <v>1162</v>
      </c>
      <c r="B1223" s="138">
        <f>'Expenditures 15-22'!C127</f>
        <v>105758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105758</v>
      </c>
      <c r="C1225" s="2" t="s">
        <v>593</v>
      </c>
      <c r="D1225" s="2" t="str">
        <f t="shared" si="18"/>
        <v>Error?</v>
      </c>
    </row>
    <row r="1226" spans="1:4" x14ac:dyDescent="0.2">
      <c r="A1226" s="5">
        <v>1165</v>
      </c>
      <c r="B1226" s="138">
        <f>'Expenditures 15-22'!C151</f>
        <v>105758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12954</v>
      </c>
      <c r="D1229" s="2" t="str">
        <f t="shared" si="18"/>
        <v>Error?</v>
      </c>
    </row>
    <row r="1230" spans="1:4" x14ac:dyDescent="0.2">
      <c r="A1230" s="10">
        <v>1169</v>
      </c>
      <c r="D1230" s="2" t="str">
        <f t="shared" si="18"/>
        <v>OK</v>
      </c>
    </row>
    <row r="1231" spans="1:4" x14ac:dyDescent="0.2">
      <c r="A1231" s="5">
        <v>1170</v>
      </c>
      <c r="B1231" s="138">
        <f>'Expenditures 15-22'!D127</f>
        <v>12954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12954</v>
      </c>
      <c r="C1233" s="2" t="s">
        <v>593</v>
      </c>
      <c r="D1233" s="2" t="str">
        <f t="shared" si="18"/>
        <v>Error?</v>
      </c>
    </row>
    <row r="1234" spans="1:4" x14ac:dyDescent="0.2">
      <c r="A1234" s="5">
        <v>1173</v>
      </c>
      <c r="B1234" s="138">
        <f>'Expenditures 15-22'!D151</f>
        <v>12954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260</v>
      </c>
      <c r="D1236" s="2" t="str">
        <f t="shared" si="18"/>
        <v>Error?</v>
      </c>
    </row>
    <row r="1237" spans="1:4" x14ac:dyDescent="0.2">
      <c r="A1237" s="5">
        <v>1176</v>
      </c>
      <c r="B1237" s="138">
        <f>'Expenditures 15-22'!E124</f>
        <v>1134208</v>
      </c>
      <c r="D1237" s="2" t="str">
        <f t="shared" si="18"/>
        <v>Error?</v>
      </c>
    </row>
    <row r="1238" spans="1:4" x14ac:dyDescent="0.2">
      <c r="A1238" s="10">
        <v>1177</v>
      </c>
      <c r="D1238" s="2" t="str">
        <f t="shared" si="18"/>
        <v>OK</v>
      </c>
    </row>
    <row r="1239" spans="1:4" x14ac:dyDescent="0.2">
      <c r="A1239" s="5">
        <v>1178</v>
      </c>
      <c r="B1239" s="138">
        <f>'Expenditures 15-22'!E127</f>
        <v>1134468</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1134468</v>
      </c>
      <c r="C1241" s="2" t="s">
        <v>593</v>
      </c>
      <c r="D1241" s="2" t="str">
        <f t="shared" si="18"/>
        <v>Error?</v>
      </c>
    </row>
    <row r="1242" spans="1:4" x14ac:dyDescent="0.2">
      <c r="A1242" s="5">
        <v>1181</v>
      </c>
      <c r="B1242" s="138">
        <f>'Expenditures 15-22'!E151</f>
        <v>1134468</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445054</v>
      </c>
      <c r="D1245" s="2" t="str">
        <f t="shared" si="18"/>
        <v>Error?</v>
      </c>
    </row>
    <row r="1246" spans="1:4" x14ac:dyDescent="0.2">
      <c r="A1246" s="10">
        <v>1185</v>
      </c>
      <c r="D1246" s="2" t="str">
        <f t="shared" si="18"/>
        <v>OK</v>
      </c>
    </row>
    <row r="1247" spans="1:4" x14ac:dyDescent="0.2">
      <c r="A1247" s="5">
        <v>1186</v>
      </c>
      <c r="B1247" s="138">
        <f>'Expenditures 15-22'!F127</f>
        <v>445054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445054</v>
      </c>
      <c r="C1249" s="2" t="s">
        <v>593</v>
      </c>
      <c r="D1249" s="2" t="str">
        <f t="shared" si="18"/>
        <v>Error?</v>
      </c>
    </row>
    <row r="1250" spans="1:4" x14ac:dyDescent="0.2">
      <c r="A1250" s="5">
        <v>1189</v>
      </c>
      <c r="B1250" s="138">
        <f>'Expenditures 15-22'!F151</f>
        <v>445054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593</v>
      </c>
      <c r="D1258" s="2" t="str">
        <f t="shared" si="18"/>
        <v>Error?</v>
      </c>
    </row>
    <row r="1259" spans="1:4" x14ac:dyDescent="0.2">
      <c r="A1259" s="5">
        <v>1198</v>
      </c>
      <c r="B1259" s="138">
        <f>'Expenditures 15-22'!G151</f>
        <v>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260</v>
      </c>
      <c r="C1275" s="2" t="s">
        <v>593</v>
      </c>
      <c r="D1275" s="2" t="str">
        <f t="shared" si="18"/>
        <v>Error?</v>
      </c>
    </row>
    <row r="1276" spans="1:4" x14ac:dyDescent="0.2">
      <c r="A1276" s="5">
        <v>1215</v>
      </c>
      <c r="B1276" s="138">
        <f>'Expenditures 15-22'!K124</f>
        <v>1697974</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1698234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1698234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1698234</v>
      </c>
      <c r="C1288" s="2" t="s">
        <v>593</v>
      </c>
      <c r="D1288" s="2" t="str">
        <f t="shared" si="19"/>
        <v>Error?</v>
      </c>
    </row>
    <row r="1289" spans="1:4" x14ac:dyDescent="0.2">
      <c r="A1289" s="5">
        <v>1228</v>
      </c>
      <c r="B1289" s="138">
        <f>'Expenditures 15-22'!K152</f>
        <v>534358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736128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3005000</v>
      </c>
      <c r="D1315" s="2" t="str">
        <f t="shared" si="19"/>
        <v>Error?</v>
      </c>
    </row>
    <row r="1316" spans="1:4" x14ac:dyDescent="0.2">
      <c r="A1316" s="5">
        <v>1255</v>
      </c>
      <c r="B1316" s="138">
        <f>'Expenditures 15-22'!H171</f>
        <v>10291</v>
      </c>
      <c r="D1316" s="2" t="str">
        <f t="shared" si="19"/>
        <v>Error?</v>
      </c>
    </row>
    <row r="1317" spans="1:4" x14ac:dyDescent="0.2">
      <c r="A1317" s="5">
        <v>1256</v>
      </c>
      <c r="B1317" s="138">
        <f>'Expenditures 15-22'!H172</f>
        <v>3751419</v>
      </c>
      <c r="C1317" s="2" t="s">
        <v>593</v>
      </c>
      <c r="D1317" s="2" t="str">
        <f t="shared" si="19"/>
        <v>Error?</v>
      </c>
    </row>
    <row r="1318" spans="1:4" x14ac:dyDescent="0.2">
      <c r="A1318" s="5">
        <v>1257</v>
      </c>
      <c r="B1318" s="138">
        <f>'Expenditures 15-22'!H174</f>
        <v>3751419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736128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3005000</v>
      </c>
      <c r="C1329" s="2" t="s">
        <v>593</v>
      </c>
      <c r="D1329" s="2" t="str">
        <f t="shared" si="19"/>
        <v>Error?</v>
      </c>
    </row>
    <row r="1330" spans="1:4" x14ac:dyDescent="0.2">
      <c r="A1330" s="5">
        <v>1269</v>
      </c>
      <c r="B1330" s="138">
        <f>'Expenditures 15-22'!K171</f>
        <v>10291</v>
      </c>
      <c r="C1330" s="2" t="s">
        <v>593</v>
      </c>
      <c r="D1330" s="2" t="str">
        <f t="shared" si="19"/>
        <v>Error?</v>
      </c>
    </row>
    <row r="1331" spans="1:4" x14ac:dyDescent="0.2">
      <c r="A1331" s="5">
        <v>1270</v>
      </c>
      <c r="B1331" s="138">
        <f>'Expenditures 15-22'!K172</f>
        <v>3751419</v>
      </c>
      <c r="C1331" s="2" t="s">
        <v>593</v>
      </c>
      <c r="D1331" s="2" t="str">
        <f t="shared" si="19"/>
        <v>Error?</v>
      </c>
    </row>
    <row r="1332" spans="1:4" x14ac:dyDescent="0.2">
      <c r="A1332" s="5">
        <v>1271</v>
      </c>
      <c r="B1332" s="138">
        <f>'Expenditures 15-22'!K174</f>
        <v>3751419</v>
      </c>
      <c r="C1332" s="2" t="s">
        <v>593</v>
      </c>
      <c r="D1332" s="2" t="str">
        <f t="shared" si="19"/>
        <v>Error?</v>
      </c>
    </row>
    <row r="1333" spans="1:4" x14ac:dyDescent="0.2">
      <c r="A1333" s="5">
        <v>1272</v>
      </c>
      <c r="B1333" s="138">
        <f>'Expenditures 15-22'!K175</f>
        <v>-324708</v>
      </c>
      <c r="C1333" s="2" t="s">
        <v>593</v>
      </c>
      <c r="D1333" s="2" t="str">
        <f t="shared" si="19"/>
        <v>Error?</v>
      </c>
    </row>
    <row r="1334" spans="1:4" x14ac:dyDescent="0.2">
      <c r="A1334" s="10">
        <v>1273</v>
      </c>
      <c r="D1334" s="2" t="str">
        <f t="shared" si="19"/>
        <v>OK</v>
      </c>
    </row>
    <row r="1335" spans="1:4" x14ac:dyDescent="0.2">
      <c r="A1335" s="5">
        <v>1274</v>
      </c>
      <c r="B1335" s="138">
        <f>'Expenditures 15-22'!C182</f>
        <v>724660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731613</v>
      </c>
      <c r="C1339" s="2" t="s">
        <v>593</v>
      </c>
      <c r="D1339" s="2" t="str">
        <f t="shared" si="19"/>
        <v>Error?</v>
      </c>
    </row>
    <row r="1340" spans="1:4" x14ac:dyDescent="0.2">
      <c r="A1340" s="5">
        <v>1279</v>
      </c>
      <c r="B1340" s="138">
        <f>'Expenditures 15-22'!C210</f>
        <v>731613</v>
      </c>
      <c r="C1340" s="2" t="s">
        <v>593</v>
      </c>
      <c r="D1340" s="2" t="str">
        <f t="shared" si="19"/>
        <v>Error?</v>
      </c>
    </row>
    <row r="1341" spans="1:4" x14ac:dyDescent="0.2">
      <c r="A1341" s="5">
        <v>1280</v>
      </c>
      <c r="B1341" s="138">
        <f>'Expenditures 15-22'!D182</f>
        <v>126730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128120</v>
      </c>
      <c r="C1345" s="2" t="s">
        <v>593</v>
      </c>
      <c r="D1345" s="2" t="str">
        <f t="shared" si="20"/>
        <v>Error?</v>
      </c>
    </row>
    <row r="1346" spans="1:4" x14ac:dyDescent="0.2">
      <c r="A1346" s="5">
        <v>1285</v>
      </c>
      <c r="B1346" s="138">
        <f>'Expenditures 15-22'!D210</f>
        <v>128120</v>
      </c>
      <c r="C1346" s="2" t="s">
        <v>593</v>
      </c>
      <c r="D1346" s="2" t="str">
        <f t="shared" si="20"/>
        <v>Error?</v>
      </c>
    </row>
    <row r="1347" spans="1:4" x14ac:dyDescent="0.2">
      <c r="A1347" s="5">
        <v>1286</v>
      </c>
      <c r="B1347" s="138">
        <f>'Expenditures 15-22'!E182</f>
        <v>513057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513057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513057</v>
      </c>
      <c r="C1353" s="2" t="s">
        <v>593</v>
      </c>
      <c r="D1353" s="2" t="str">
        <f t="shared" si="20"/>
        <v>Error?</v>
      </c>
    </row>
    <row r="1354" spans="1:4" x14ac:dyDescent="0.2">
      <c r="A1354" s="5">
        <v>1293</v>
      </c>
      <c r="B1354" s="138">
        <f>'Expenditures 15-22'!F182</f>
        <v>100828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100828</v>
      </c>
      <c r="C1358" s="2" t="s">
        <v>593</v>
      </c>
      <c r="D1358" s="2" t="str">
        <f t="shared" si="20"/>
        <v>Error?</v>
      </c>
    </row>
    <row r="1359" spans="1:4" x14ac:dyDescent="0.2">
      <c r="A1359" s="5">
        <v>1298</v>
      </c>
      <c r="B1359" s="138">
        <f>'Expenditures 15-22'!F210</f>
        <v>100828</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22141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22141</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22141</v>
      </c>
      <c r="C1376" s="2" t="s">
        <v>593</v>
      </c>
      <c r="D1376" s="2" t="str">
        <f t="shared" si="20"/>
        <v>Error?</v>
      </c>
    </row>
    <row r="1377" spans="1:4" x14ac:dyDescent="0.2">
      <c r="A1377" s="5">
        <v>1316</v>
      </c>
      <c r="B1377" s="138">
        <f>'Expenditures 15-22'!K182</f>
        <v>1487416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1495759</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1495759</v>
      </c>
      <c r="C1388" s="2" t="s">
        <v>593</v>
      </c>
      <c r="D1388" s="2" t="str">
        <f t="shared" si="20"/>
        <v>Error?</v>
      </c>
    </row>
    <row r="1389" spans="1:4" x14ac:dyDescent="0.2">
      <c r="A1389" s="5">
        <v>1328</v>
      </c>
      <c r="B1389" s="138">
        <f>'Expenditures 15-22'!K211</f>
        <v>205029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1324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13348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752</v>
      </c>
      <c r="D1408" s="2" t="str">
        <f t="shared" si="21"/>
        <v>Error?</v>
      </c>
    </row>
    <row r="1409" spans="1:4" x14ac:dyDescent="0.2">
      <c r="A1409" s="5">
        <v>1348</v>
      </c>
      <c r="B1409" s="138">
        <f>'Expenditures 15-22'!D224</f>
        <v>5463</v>
      </c>
      <c r="D1409" s="2" t="str">
        <f t="shared" si="21"/>
        <v>Error?</v>
      </c>
    </row>
    <row r="1410" spans="1:4" x14ac:dyDescent="0.2">
      <c r="A1410" s="5">
        <v>1349</v>
      </c>
      <c r="B1410" s="138">
        <f>'Expenditures 15-22'!D229</f>
        <v>318553</v>
      </c>
      <c r="C1410" s="2" t="s">
        <v>593</v>
      </c>
      <c r="D1410" s="2" t="str">
        <f t="shared" si="21"/>
        <v>Error?</v>
      </c>
    </row>
    <row r="1411" spans="1:4" x14ac:dyDescent="0.2">
      <c r="A1411" s="5">
        <v>1350</v>
      </c>
      <c r="B1411" s="138">
        <f>'Expenditures 15-22'!D232</f>
        <v>5690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94305</v>
      </c>
      <c r="D1413" s="2" t="str">
        <f t="shared" si="21"/>
        <v>Error?</v>
      </c>
    </row>
    <row r="1414" spans="1:4" x14ac:dyDescent="0.2">
      <c r="A1414" s="5">
        <v>1353</v>
      </c>
      <c r="B1414" s="138">
        <f>'Expenditures 15-22'!D235</f>
        <v>4512</v>
      </c>
      <c r="D1414" s="2" t="str">
        <f t="shared" si="21"/>
        <v>Error?</v>
      </c>
    </row>
    <row r="1415" spans="1:4" x14ac:dyDescent="0.2">
      <c r="A1415" s="5">
        <v>1354</v>
      </c>
      <c r="B1415" s="138">
        <f>'Expenditures 15-22'!D236</f>
        <v>5081</v>
      </c>
      <c r="D1415" s="2" t="str">
        <f t="shared" si="21"/>
        <v>Error?</v>
      </c>
    </row>
    <row r="1416" spans="1:4" x14ac:dyDescent="0.2">
      <c r="A1416" s="5">
        <v>1355</v>
      </c>
      <c r="B1416" s="138">
        <f>'Expenditures 15-22'!D237</f>
        <v>6929</v>
      </c>
      <c r="D1416" s="2" t="str">
        <f t="shared" si="21"/>
        <v>Error?</v>
      </c>
    </row>
    <row r="1417" spans="1:4" x14ac:dyDescent="0.2">
      <c r="A1417" s="5">
        <v>1356</v>
      </c>
      <c r="B1417" s="138">
        <f>'Expenditures 15-22'!D238</f>
        <v>116517</v>
      </c>
      <c r="C1417" s="2" t="s">
        <v>593</v>
      </c>
      <c r="D1417" s="2" t="str">
        <f t="shared" si="21"/>
        <v>Error?</v>
      </c>
    </row>
    <row r="1418" spans="1:4" x14ac:dyDescent="0.2">
      <c r="A1418" s="5">
        <v>1357</v>
      </c>
      <c r="B1418" s="138">
        <f>'Expenditures 15-22'!D240</f>
        <v>10792</v>
      </c>
      <c r="D1418" s="2" t="str">
        <f t="shared" si="21"/>
        <v>Error?</v>
      </c>
    </row>
    <row r="1419" spans="1:4" x14ac:dyDescent="0.2">
      <c r="A1419" s="5">
        <v>1358</v>
      </c>
      <c r="B1419" s="138">
        <f>'Expenditures 15-22'!D241</f>
        <v>21463</v>
      </c>
      <c r="D1419" s="2" t="str">
        <f t="shared" si="21"/>
        <v>Error?</v>
      </c>
    </row>
    <row r="1420" spans="1:4" x14ac:dyDescent="0.2">
      <c r="A1420" s="5">
        <v>1359</v>
      </c>
      <c r="B1420" s="138">
        <f>'Expenditures 15-22'!D242</f>
        <v>8</v>
      </c>
      <c r="D1420" s="2" t="str">
        <f t="shared" si="21"/>
        <v>Error?</v>
      </c>
    </row>
    <row r="1421" spans="1:4" x14ac:dyDescent="0.2">
      <c r="A1421" s="5">
        <v>1360</v>
      </c>
      <c r="B1421" s="138">
        <f>'Expenditures 15-22'!D243</f>
        <v>32263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11342</v>
      </c>
      <c r="D1423" s="2" t="str">
        <f t="shared" si="21"/>
        <v>Error?</v>
      </c>
    </row>
    <row r="1424" spans="1:4" x14ac:dyDescent="0.2">
      <c r="A1424" s="5">
        <v>1363</v>
      </c>
      <c r="B1424" s="138">
        <f>'Expenditures 15-22'!D257</f>
        <v>21213</v>
      </c>
      <c r="C1424" s="2" t="s">
        <v>593</v>
      </c>
      <c r="D1424" s="2" t="str">
        <f t="shared" si="21"/>
        <v>Error?</v>
      </c>
    </row>
    <row r="1425" spans="1:4" x14ac:dyDescent="0.2">
      <c r="A1425" s="5">
        <v>1364</v>
      </c>
      <c r="B1425" s="138">
        <f>'Expenditures 15-22'!D259</f>
        <v>45438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45438</v>
      </c>
      <c r="C1427" s="2" t="s">
        <v>593</v>
      </c>
      <c r="D1427" s="2" t="str">
        <f t="shared" si="21"/>
        <v>Error?</v>
      </c>
    </row>
    <row r="1428" spans="1:4" x14ac:dyDescent="0.2">
      <c r="A1428" s="5">
        <v>1367</v>
      </c>
      <c r="B1428" s="138">
        <f>'Expenditures 15-22'!D263</f>
        <v>1590</v>
      </c>
      <c r="D1428" s="2" t="str">
        <f t="shared" si="21"/>
        <v>Error?</v>
      </c>
    </row>
    <row r="1429" spans="1:4" x14ac:dyDescent="0.2">
      <c r="A1429" s="5">
        <v>1368</v>
      </c>
      <c r="B1429" s="138">
        <f>'Expenditures 15-22'!D264</f>
        <v>40661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21195</v>
      </c>
      <c r="D1431" s="2" t="str">
        <f t="shared" si="21"/>
        <v>Error?</v>
      </c>
    </row>
    <row r="1432" spans="1:4" x14ac:dyDescent="0.2">
      <c r="A1432" s="5">
        <v>1371</v>
      </c>
      <c r="B1432" s="138">
        <f>'Expenditures 15-22'!D267</f>
        <v>140815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204261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11001</v>
      </c>
      <c r="D1440" s="2" t="str">
        <f t="shared" si="21"/>
        <v>Error?</v>
      </c>
    </row>
    <row r="1441" spans="1:4" x14ac:dyDescent="0.2">
      <c r="A1441" s="10">
        <v>1380</v>
      </c>
      <c r="D1441" s="2" t="str">
        <f t="shared" si="21"/>
        <v>OK</v>
      </c>
    </row>
    <row r="1442" spans="1:4" x14ac:dyDescent="0.2">
      <c r="A1442" s="5">
        <v>1381</v>
      </c>
      <c r="B1442" s="138">
        <f>'Expenditures 15-22'!D276</f>
        <v>48150</v>
      </c>
      <c r="D1442" s="2" t="str">
        <f t="shared" si="21"/>
        <v>Error?</v>
      </c>
    </row>
    <row r="1443" spans="1:4" x14ac:dyDescent="0.2">
      <c r="A1443" s="10">
        <v>1382</v>
      </c>
      <c r="D1443" s="2" t="str">
        <f t="shared" si="21"/>
        <v>OK</v>
      </c>
    </row>
    <row r="1444" spans="1:4" x14ac:dyDescent="0.2">
      <c r="A1444" s="5">
        <v>1383</v>
      </c>
      <c r="B1444" s="138">
        <f>'Expenditures 15-22'!D277</f>
        <v>59151</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478843</v>
      </c>
      <c r="C1446" s="2" t="s">
        <v>593</v>
      </c>
      <c r="D1446" s="2" t="str">
        <f t="shared" si="21"/>
        <v>Error?</v>
      </c>
    </row>
    <row r="1447" spans="1:4" x14ac:dyDescent="0.2">
      <c r="A1447" s="5">
        <v>1386</v>
      </c>
      <c r="B1447" s="138">
        <f>'Expenditures 15-22'!D280</f>
        <v>14</v>
      </c>
      <c r="D1447" s="2" t="str">
        <f t="shared" si="21"/>
        <v>Error?</v>
      </c>
    </row>
    <row r="1448" spans="1:4" x14ac:dyDescent="0.2">
      <c r="A1448" s="5">
        <v>1387</v>
      </c>
      <c r="B1448" s="138">
        <f>'Expenditures 15-22'!D295</f>
        <v>797410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1324</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13348</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752</v>
      </c>
      <c r="C1472" s="2" t="s">
        <v>593</v>
      </c>
      <c r="D1472" s="2" t="str">
        <f t="shared" si="22"/>
        <v>Error?</v>
      </c>
    </row>
    <row r="1473" spans="1:4" x14ac:dyDescent="0.2">
      <c r="A1473" s="5">
        <v>1412</v>
      </c>
      <c r="B1473" s="138">
        <f>'Expenditures 15-22'!K224</f>
        <v>5463</v>
      </c>
      <c r="C1473" s="2" t="s">
        <v>593</v>
      </c>
      <c r="D1473" s="2" t="str">
        <f t="shared" si="22"/>
        <v>Error?</v>
      </c>
    </row>
    <row r="1474" spans="1:4" x14ac:dyDescent="0.2">
      <c r="A1474" s="5">
        <v>1413</v>
      </c>
      <c r="B1474" s="138">
        <f>'Expenditures 15-22'!K229</f>
        <v>318553</v>
      </c>
      <c r="C1474" s="2" t="s">
        <v>593</v>
      </c>
      <c r="D1474" s="2" t="str">
        <f t="shared" si="22"/>
        <v>Error?</v>
      </c>
    </row>
    <row r="1475" spans="1:4" x14ac:dyDescent="0.2">
      <c r="A1475" s="5">
        <v>1414</v>
      </c>
      <c r="B1475" s="138">
        <f>'Expenditures 15-22'!K232</f>
        <v>5690</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94305</v>
      </c>
      <c r="C1477" s="2" t="s">
        <v>593</v>
      </c>
      <c r="D1477" s="2" t="str">
        <f t="shared" si="22"/>
        <v>Error?</v>
      </c>
    </row>
    <row r="1478" spans="1:4" x14ac:dyDescent="0.2">
      <c r="A1478" s="5">
        <v>1417</v>
      </c>
      <c r="B1478" s="138">
        <f>'Expenditures 15-22'!K235</f>
        <v>4512</v>
      </c>
      <c r="C1478" s="2" t="s">
        <v>593</v>
      </c>
      <c r="D1478" s="2" t="str">
        <f t="shared" si="22"/>
        <v>Error?</v>
      </c>
    </row>
    <row r="1479" spans="1:4" x14ac:dyDescent="0.2">
      <c r="A1479" s="5">
        <v>1418</v>
      </c>
      <c r="B1479" s="138">
        <f>'Expenditures 15-22'!K236</f>
        <v>5081</v>
      </c>
      <c r="C1479" s="2" t="s">
        <v>593</v>
      </c>
      <c r="D1479" s="2" t="str">
        <f t="shared" si="22"/>
        <v>Error?</v>
      </c>
    </row>
    <row r="1480" spans="1:4" x14ac:dyDescent="0.2">
      <c r="A1480" s="5">
        <v>1419</v>
      </c>
      <c r="B1480" s="138">
        <f>'Expenditures 15-22'!K237</f>
        <v>6929</v>
      </c>
      <c r="C1480" s="2" t="s">
        <v>593</v>
      </c>
      <c r="D1480" s="2" t="str">
        <f t="shared" si="22"/>
        <v>Error?</v>
      </c>
    </row>
    <row r="1481" spans="1:4" x14ac:dyDescent="0.2">
      <c r="A1481" s="5">
        <v>1420</v>
      </c>
      <c r="B1481" s="138">
        <f>'Expenditures 15-22'!K238</f>
        <v>116517</v>
      </c>
      <c r="C1481" s="2" t="s">
        <v>593</v>
      </c>
      <c r="D1481" s="2" t="str">
        <f t="shared" si="22"/>
        <v>Error?</v>
      </c>
    </row>
    <row r="1482" spans="1:4" x14ac:dyDescent="0.2">
      <c r="A1482" s="5">
        <v>1421</v>
      </c>
      <c r="B1482" s="138">
        <f>'Expenditures 15-22'!K240</f>
        <v>10792</v>
      </c>
      <c r="C1482" s="2" t="s">
        <v>593</v>
      </c>
      <c r="D1482" s="2" t="str">
        <f t="shared" si="22"/>
        <v>Error?</v>
      </c>
    </row>
    <row r="1483" spans="1:4" x14ac:dyDescent="0.2">
      <c r="A1483" s="5">
        <v>1422</v>
      </c>
      <c r="B1483" s="138">
        <f>'Expenditures 15-22'!K241</f>
        <v>21463</v>
      </c>
      <c r="C1483" s="2" t="s">
        <v>593</v>
      </c>
      <c r="D1483" s="2" t="str">
        <f t="shared" si="22"/>
        <v>Error?</v>
      </c>
    </row>
    <row r="1484" spans="1:4" x14ac:dyDescent="0.2">
      <c r="A1484" s="5">
        <v>1423</v>
      </c>
      <c r="B1484" s="138">
        <f>'Expenditures 15-22'!K242</f>
        <v>8</v>
      </c>
      <c r="C1484" s="2" t="s">
        <v>593</v>
      </c>
      <c r="D1484" s="2" t="str">
        <f t="shared" si="22"/>
        <v>Error?</v>
      </c>
    </row>
    <row r="1485" spans="1:4" x14ac:dyDescent="0.2">
      <c r="A1485" s="5">
        <v>1424</v>
      </c>
      <c r="B1485" s="138">
        <f>'Expenditures 15-22'!K243</f>
        <v>32263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11342</v>
      </c>
      <c r="C1487" s="2" t="s">
        <v>593</v>
      </c>
      <c r="D1487" s="2" t="str">
        <f t="shared" si="22"/>
        <v>Error?</v>
      </c>
    </row>
    <row r="1488" spans="1:4" x14ac:dyDescent="0.2">
      <c r="A1488" s="5">
        <v>1427</v>
      </c>
      <c r="B1488" s="138">
        <f>'Expenditures 15-22'!K257</f>
        <v>21213</v>
      </c>
      <c r="C1488" s="2" t="s">
        <v>593</v>
      </c>
      <c r="D1488" s="2" t="str">
        <f t="shared" si="22"/>
        <v>Error?</v>
      </c>
    </row>
    <row r="1489" spans="1:4" x14ac:dyDescent="0.2">
      <c r="A1489" s="5">
        <v>1428</v>
      </c>
      <c r="B1489" s="138">
        <f>'Expenditures 15-22'!K259</f>
        <v>45438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45438</v>
      </c>
      <c r="C1491" s="2" t="s">
        <v>593</v>
      </c>
      <c r="D1491" s="2" t="str">
        <f t="shared" si="22"/>
        <v>Error?</v>
      </c>
    </row>
    <row r="1492" spans="1:4" x14ac:dyDescent="0.2">
      <c r="A1492" s="5">
        <v>1431</v>
      </c>
      <c r="B1492" s="138">
        <f>'Expenditures 15-22'!K263</f>
        <v>1590</v>
      </c>
      <c r="C1492" s="2" t="s">
        <v>593</v>
      </c>
      <c r="D1492" s="2" t="str">
        <f t="shared" si="22"/>
        <v>Error?</v>
      </c>
    </row>
    <row r="1493" spans="1:4" x14ac:dyDescent="0.2">
      <c r="A1493" s="5">
        <v>1432</v>
      </c>
      <c r="B1493" s="138">
        <f>'Expenditures 15-22'!K264</f>
        <v>40661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21195</v>
      </c>
      <c r="C1495" s="2" t="s">
        <v>593</v>
      </c>
      <c r="D1495" s="2" t="str">
        <f t="shared" si="22"/>
        <v>Error?</v>
      </c>
    </row>
    <row r="1496" spans="1:4" x14ac:dyDescent="0.2">
      <c r="A1496" s="5">
        <v>1435</v>
      </c>
      <c r="B1496" s="138">
        <f>'Expenditures 15-22'!K267</f>
        <v>140815</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204261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11001</v>
      </c>
      <c r="C1504" s="2" t="s">
        <v>593</v>
      </c>
      <c r="D1504" s="2" t="str">
        <f t="shared" si="22"/>
        <v>Error?</v>
      </c>
    </row>
    <row r="1505" spans="1:4" x14ac:dyDescent="0.2">
      <c r="A1505" s="10">
        <v>1444</v>
      </c>
      <c r="D1505" s="2" t="str">
        <f t="shared" si="22"/>
        <v>OK</v>
      </c>
    </row>
    <row r="1506" spans="1:4" x14ac:dyDescent="0.2">
      <c r="A1506" s="5">
        <v>1445</v>
      </c>
      <c r="B1506" s="138">
        <f>'Expenditures 15-22'!K276</f>
        <v>48150</v>
      </c>
      <c r="C1506" s="2" t="s">
        <v>593</v>
      </c>
      <c r="D1506" s="2" t="str">
        <f t="shared" si="22"/>
        <v>Error?</v>
      </c>
    </row>
    <row r="1507" spans="1:4" x14ac:dyDescent="0.2">
      <c r="A1507" s="10">
        <v>1446</v>
      </c>
      <c r="D1507" s="2" t="str">
        <f t="shared" si="22"/>
        <v>OK</v>
      </c>
    </row>
    <row r="1508" spans="1:4" x14ac:dyDescent="0.2">
      <c r="A1508" s="5">
        <v>1447</v>
      </c>
      <c r="B1508" s="138">
        <f>'Expenditures 15-22'!K277</f>
        <v>59151</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478843</v>
      </c>
      <c r="C1510" s="2" t="s">
        <v>593</v>
      </c>
      <c r="D1510" s="2" t="str">
        <f t="shared" si="22"/>
        <v>Error?</v>
      </c>
    </row>
    <row r="1511" spans="1:4" x14ac:dyDescent="0.2">
      <c r="A1511" s="5">
        <v>1450</v>
      </c>
      <c r="B1511" s="138">
        <f>'Expenditures 15-22'!K280</f>
        <v>14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797410</v>
      </c>
      <c r="C1517" s="2" t="s">
        <v>593</v>
      </c>
      <c r="D1517" s="2" t="str">
        <f t="shared" si="22"/>
        <v>Error?</v>
      </c>
    </row>
    <row r="1518" spans="1:4" x14ac:dyDescent="0.2">
      <c r="A1518" s="5">
        <v>1457</v>
      </c>
      <c r="B1518" s="138">
        <f>'Expenditures 15-22'!K296</f>
        <v>120212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525668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525668</v>
      </c>
      <c r="C1535" s="2" t="s">
        <v>593</v>
      </c>
      <c r="D1535" s="2" t="str">
        <f t="shared" ref="D1535:D1598" si="23">IF(ISBLANK(B1535),"OK",IF(A1535-B1535=0,"OK","Error?"))</f>
        <v>Error?</v>
      </c>
    </row>
    <row r="1536" spans="1:4" x14ac:dyDescent="0.2">
      <c r="A1536" s="5">
        <v>1475</v>
      </c>
      <c r="B1536" s="138">
        <f>'Expenditures 15-22'!E312</f>
        <v>525668</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3717298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3717298</v>
      </c>
      <c r="C1547" s="2" t="s">
        <v>593</v>
      </c>
      <c r="D1547" s="2" t="str">
        <f t="shared" si="23"/>
        <v>Error?</v>
      </c>
    </row>
    <row r="1548" spans="1:4" x14ac:dyDescent="0.2">
      <c r="A1548" s="5">
        <v>1487</v>
      </c>
      <c r="B1548" s="138">
        <f>'Expenditures 15-22'!G312</f>
        <v>3717298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4242966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4242966</v>
      </c>
      <c r="C1559" s="2" t="s">
        <v>593</v>
      </c>
      <c r="D1559" s="2" t="str">
        <f t="shared" si="23"/>
        <v>Error?</v>
      </c>
    </row>
    <row r="1560" spans="1:4" x14ac:dyDescent="0.2">
      <c r="A1560" s="5">
        <v>1499</v>
      </c>
      <c r="B1560" s="138">
        <f>'Expenditures 15-22'!K312</f>
        <v>4242966</v>
      </c>
      <c r="C1560" s="2" t="s">
        <v>593</v>
      </c>
      <c r="D1560" s="2" t="str">
        <f t="shared" si="23"/>
        <v>Error?</v>
      </c>
    </row>
    <row r="1561" spans="1:4" x14ac:dyDescent="0.2">
      <c r="A1561" s="5">
        <v>1500</v>
      </c>
      <c r="B1561" s="138">
        <f>'Expenditures 15-22'!K313</f>
        <v>-2771054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6881838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4250978</v>
      </c>
      <c r="C1630" s="2" t="s">
        <v>593</v>
      </c>
      <c r="D1630" s="2" t="str">
        <f t="shared" si="24"/>
        <v>Error?</v>
      </c>
    </row>
    <row r="1631" spans="1:4" x14ac:dyDescent="0.2">
      <c r="A1631" s="5">
        <v>1570</v>
      </c>
      <c r="B1631" s="138">
        <f>'Acct Summary 7-8'!D79</f>
        <v>1579504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2113862</v>
      </c>
      <c r="C1644" s="2" t="s">
        <v>593</v>
      </c>
      <c r="D1644" s="2" t="str">
        <f t="shared" si="24"/>
        <v>Error?</v>
      </c>
    </row>
    <row r="1645" spans="1:4" x14ac:dyDescent="0.2">
      <c r="A1645" s="5">
        <v>1584</v>
      </c>
      <c r="B1645" s="138">
        <f>'Acct Summary 7-8'!E79</f>
        <v>1315092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990384</v>
      </c>
      <c r="C1658" s="2" t="s">
        <v>593</v>
      </c>
      <c r="D1658" s="2" t="str">
        <f t="shared" si="24"/>
        <v>Error?</v>
      </c>
    </row>
    <row r="1659" spans="1:4" x14ac:dyDescent="0.2">
      <c r="A1659" s="5">
        <v>1598</v>
      </c>
      <c r="B1659" s="138">
        <f>'Acct Summary 7-8'!F79</f>
        <v>1968466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2173495</v>
      </c>
      <c r="C1672" s="2" t="s">
        <v>593</v>
      </c>
      <c r="D1672" s="2" t="str">
        <f t="shared" si="25"/>
        <v>Error?</v>
      </c>
    </row>
    <row r="1673" spans="1:4" x14ac:dyDescent="0.2">
      <c r="A1673" s="5">
        <v>1612</v>
      </c>
      <c r="B1673" s="138">
        <f>'Acct Summary 7-8'!G79</f>
        <v>622201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742413</v>
      </c>
      <c r="C1686" s="2" t="s">
        <v>593</v>
      </c>
      <c r="D1686" s="2" t="str">
        <f t="shared" si="25"/>
        <v>Error?</v>
      </c>
    </row>
    <row r="1687" spans="1:4" x14ac:dyDescent="0.2">
      <c r="A1687" s="5">
        <v>1626</v>
      </c>
      <c r="B1687" s="138">
        <f>'Acct Summary 7-8'!H79</f>
        <v>1318846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1587792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17052054</v>
      </c>
      <c r="C1744" s="2" t="s">
        <v>593</v>
      </c>
      <c r="D1744" s="2" t="str">
        <f t="shared" si="26"/>
        <v>Error?</v>
      </c>
    </row>
    <row r="1745" spans="1:5" x14ac:dyDescent="0.2">
      <c r="A1745" s="5">
        <v>1684</v>
      </c>
      <c r="B1745" s="138">
        <f>'Tax Sched 23'!B5</f>
        <v>1905366</v>
      </c>
      <c r="C1745" s="2" t="s">
        <v>593</v>
      </c>
      <c r="D1745" s="2" t="str">
        <f t="shared" si="26"/>
        <v>Error?</v>
      </c>
    </row>
    <row r="1746" spans="1:5" x14ac:dyDescent="0.2">
      <c r="A1746" s="5">
        <v>1685</v>
      </c>
      <c r="B1746" s="138">
        <f>'Tax Sched 23'!B6</f>
        <v>3406183</v>
      </c>
      <c r="C1746" s="2" t="s">
        <v>593</v>
      </c>
      <c r="D1746" s="2" t="str">
        <f t="shared" si="26"/>
        <v>Error?</v>
      </c>
    </row>
    <row r="1747" spans="1:5" x14ac:dyDescent="0.2">
      <c r="A1747" s="5">
        <v>1686</v>
      </c>
      <c r="B1747" s="138">
        <f>'Tax Sched 23'!B7</f>
        <v>1038459</v>
      </c>
      <c r="C1747" s="2" t="s">
        <v>593</v>
      </c>
      <c r="D1747" s="2" t="str">
        <f t="shared" si="26"/>
        <v>Error?</v>
      </c>
    </row>
    <row r="1748" spans="1:5" x14ac:dyDescent="0.2">
      <c r="A1748" s="5">
        <v>1687</v>
      </c>
      <c r="B1748" s="138">
        <f>'Tax Sched 23'!B8</f>
        <v>448695</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249962</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24569602</v>
      </c>
      <c r="C1759" s="2" t="s">
        <v>593</v>
      </c>
      <c r="D1759" s="2" t="str">
        <f t="shared" si="26"/>
        <v>Error?</v>
      </c>
    </row>
    <row r="1760" spans="1:5" x14ac:dyDescent="0.2">
      <c r="A1760" s="5">
        <v>1699</v>
      </c>
      <c r="B1760" s="138">
        <f>'Tax Sched 23'!D4</f>
        <v>7658270</v>
      </c>
      <c r="C1760" s="2" t="s">
        <v>593</v>
      </c>
      <c r="D1760" s="2" t="str">
        <f t="shared" si="26"/>
        <v>Error?</v>
      </c>
    </row>
    <row r="1761" spans="1:5" x14ac:dyDescent="0.2">
      <c r="A1761" s="5">
        <v>1700</v>
      </c>
      <c r="B1761" s="138">
        <f>'Tax Sched 23'!D5</f>
        <v>858630</v>
      </c>
      <c r="C1761" s="2" t="s">
        <v>593</v>
      </c>
      <c r="D1761" s="2" t="str">
        <f t="shared" si="26"/>
        <v>Error?</v>
      </c>
    </row>
    <row r="1762" spans="1:5" s="8" customFormat="1" x14ac:dyDescent="0.2">
      <c r="A1762" s="5">
        <v>1701</v>
      </c>
      <c r="B1762" s="138">
        <f>'Tax Sched 23'!D6</f>
        <v>1778634</v>
      </c>
      <c r="C1762" s="2" t="s">
        <v>593</v>
      </c>
      <c r="D1762" s="2" t="str">
        <f t="shared" si="26"/>
        <v>Error?</v>
      </c>
      <c r="E1762" s="9"/>
    </row>
    <row r="1763" spans="1:5" x14ac:dyDescent="0.2">
      <c r="A1763" s="5">
        <v>1702</v>
      </c>
      <c r="B1763" s="138">
        <f>'Tax Sched 23'!D7</f>
        <v>464096</v>
      </c>
      <c r="C1763" s="2" t="s">
        <v>593</v>
      </c>
      <c r="D1763" s="2" t="str">
        <f t="shared" si="26"/>
        <v>Error?</v>
      </c>
    </row>
    <row r="1764" spans="1:5" x14ac:dyDescent="0.2">
      <c r="A1764" s="5">
        <v>1703</v>
      </c>
      <c r="B1764" s="138">
        <f>'Tax Sched 23'!D8</f>
        <v>201772</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110395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11283020</v>
      </c>
      <c r="C1775" s="2" t="s">
        <v>593</v>
      </c>
      <c r="D1775" s="2" t="str">
        <f t="shared" si="26"/>
        <v>Error?</v>
      </c>
    </row>
    <row r="1776" spans="1:5" x14ac:dyDescent="0.2">
      <c r="A1776" s="5">
        <v>1715</v>
      </c>
      <c r="B1776" s="138">
        <f>'Tax Sched 23'!C4</f>
        <v>9393784</v>
      </c>
      <c r="D1776" s="2" t="str">
        <f t="shared" si="26"/>
        <v>Error?</v>
      </c>
    </row>
    <row r="1777" spans="1:4" x14ac:dyDescent="0.2">
      <c r="A1777" s="5">
        <v>1716</v>
      </c>
      <c r="B1777" s="138">
        <f>'Tax Sched 23'!C5</f>
        <v>1046736</v>
      </c>
      <c r="D1777" s="2" t="str">
        <f t="shared" si="26"/>
        <v>Error?</v>
      </c>
    </row>
    <row r="1778" spans="1:4" x14ac:dyDescent="0.2">
      <c r="A1778" s="5">
        <v>1717</v>
      </c>
      <c r="B1778" s="138">
        <f>'Tax Sched 23'!C6</f>
        <v>1627549</v>
      </c>
      <c r="D1778" s="2" t="str">
        <f t="shared" si="26"/>
        <v>Error?</v>
      </c>
    </row>
    <row r="1779" spans="1:4" x14ac:dyDescent="0.2">
      <c r="A1779" s="5">
        <v>1718</v>
      </c>
      <c r="B1779" s="138">
        <f>'Tax Sched 23'!C7</f>
        <v>574363</v>
      </c>
      <c r="D1779" s="2" t="str">
        <f t="shared" si="26"/>
        <v>Error?</v>
      </c>
    </row>
    <row r="1780" spans="1:4" x14ac:dyDescent="0.2">
      <c r="A1780" s="5">
        <v>1719</v>
      </c>
      <c r="B1780" s="138">
        <f>'Tax Sched 23'!C8</f>
        <v>246923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139567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13286582</v>
      </c>
      <c r="C1791" s="2" t="s">
        <v>593</v>
      </c>
      <c r="D1791" s="2" t="str">
        <f t="shared" ref="D1791:D1854" si="27">IF(ISBLANK(B1791),"OK",IF(A1791-B1791=0,"OK","Error?"))</f>
        <v>Error?</v>
      </c>
    </row>
    <row r="1792" spans="1:4" x14ac:dyDescent="0.2">
      <c r="A1792" s="5">
        <v>1731</v>
      </c>
      <c r="B1792" s="138">
        <f>'Tax Sched 23'!F4</f>
        <v>-1352830</v>
      </c>
      <c r="C1792" s="2" t="s">
        <v>593</v>
      </c>
      <c r="D1792" s="2" t="str">
        <f t="shared" si="27"/>
        <v>Error?</v>
      </c>
    </row>
    <row r="1793" spans="1:4" x14ac:dyDescent="0.2">
      <c r="A1793" s="5">
        <v>1732</v>
      </c>
      <c r="B1793" s="138">
        <f>'Tax Sched 23'!F5</f>
        <v>-150744</v>
      </c>
      <c r="C1793" s="2" t="s">
        <v>593</v>
      </c>
      <c r="D1793" s="2" t="str">
        <f t="shared" si="27"/>
        <v>Error?</v>
      </c>
    </row>
    <row r="1794" spans="1:4" x14ac:dyDescent="0.2">
      <c r="A1794" s="5">
        <v>1733</v>
      </c>
      <c r="B1794" s="138">
        <f>'Tax Sched 23'!F6</f>
        <v>-234389</v>
      </c>
      <c r="C1794" s="2" t="s">
        <v>593</v>
      </c>
      <c r="D1794" s="2" t="str">
        <f t="shared" si="27"/>
        <v>Error?</v>
      </c>
    </row>
    <row r="1795" spans="1:4" x14ac:dyDescent="0.2">
      <c r="A1795" s="5">
        <v>1734</v>
      </c>
      <c r="B1795" s="138">
        <f>'Tax Sched 23'!F7</f>
        <v>-82716</v>
      </c>
      <c r="C1795" s="2" t="s">
        <v>593</v>
      </c>
      <c r="D1795" s="2" t="str">
        <f t="shared" si="27"/>
        <v>Error?</v>
      </c>
    </row>
    <row r="1796" spans="1:4" x14ac:dyDescent="0.2">
      <c r="A1796" s="5">
        <v>1735</v>
      </c>
      <c r="B1796" s="138">
        <f>'Tax Sched 23'!F8</f>
        <v>-35560</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-20100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-1913446</v>
      </c>
      <c r="C1807" s="2" t="s">
        <v>593</v>
      </c>
      <c r="D1807" s="2" t="str">
        <f t="shared" si="27"/>
        <v>Error?</v>
      </c>
    </row>
    <row r="1808" spans="1:4" x14ac:dyDescent="0.2">
      <c r="A1808" s="5">
        <v>1747</v>
      </c>
      <c r="B1808" s="138">
        <f>'Tax Sched 23'!E4</f>
        <v>8040954</v>
      </c>
      <c r="D1808" s="2" t="str">
        <f t="shared" si="27"/>
        <v>Error?</v>
      </c>
    </row>
    <row r="1809" spans="1:4" x14ac:dyDescent="0.2">
      <c r="A1809" s="5">
        <v>1748</v>
      </c>
      <c r="B1809" s="138">
        <f>'Tax Sched 23'!E5</f>
        <v>895992</v>
      </c>
      <c r="D1809" s="2" t="str">
        <f t="shared" si="27"/>
        <v>Error?</v>
      </c>
    </row>
    <row r="1810" spans="1:4" x14ac:dyDescent="0.2">
      <c r="A1810" s="5">
        <v>1749</v>
      </c>
      <c r="B1810" s="138">
        <f>'Tax Sched 23'!E6</f>
        <v>1393160</v>
      </c>
      <c r="D1810" s="2" t="str">
        <f t="shared" si="27"/>
        <v>Error?</v>
      </c>
    </row>
    <row r="1811" spans="1:4" x14ac:dyDescent="0.2">
      <c r="A1811" s="5">
        <v>1750</v>
      </c>
      <c r="B1811" s="138">
        <f>'Tax Sched 23'!E7</f>
        <v>491647</v>
      </c>
      <c r="D1811" s="2" t="str">
        <f t="shared" si="27"/>
        <v>Error?</v>
      </c>
    </row>
    <row r="1812" spans="1:4" x14ac:dyDescent="0.2">
      <c r="A1812" s="5">
        <v>1751</v>
      </c>
      <c r="B1812" s="138">
        <f>'Tax Sched 23'!E8</f>
        <v>211363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119467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11373136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25820000</v>
      </c>
      <c r="C1939" s="2" t="s">
        <v>593</v>
      </c>
      <c r="D1939" s="2" t="str">
        <f t="shared" si="29"/>
        <v>Error?</v>
      </c>
    </row>
    <row r="1940" spans="1:5" x14ac:dyDescent="0.2">
      <c r="A1940" s="5">
        <v>1879</v>
      </c>
      <c r="B1940" s="138">
        <f>'Short-Term Long-Term Debt 24'!F49</f>
        <v>3040000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250261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250261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250261</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3546438</v>
      </c>
      <c r="D2008" s="2" t="str">
        <f t="shared" si="30"/>
        <v>Error?</v>
      </c>
    </row>
    <row r="2009" spans="1:4" x14ac:dyDescent="0.2">
      <c r="A2009" s="5">
        <v>1948</v>
      </c>
      <c r="B2009" s="138">
        <f>'Cap Outlay Deprec 26'!C8</f>
        <v>51067956</v>
      </c>
      <c r="D2009" s="2" t="str">
        <f t="shared" si="30"/>
        <v>Error?</v>
      </c>
    </row>
    <row r="2010" spans="1:4" x14ac:dyDescent="0.2">
      <c r="A2010" s="5">
        <v>1949</v>
      </c>
      <c r="B2010" s="138">
        <f>'Cap Outlay Deprec 26'!C10</f>
        <v>2258320</v>
      </c>
      <c r="D2010" s="2" t="str">
        <f t="shared" si="30"/>
        <v>Error?</v>
      </c>
    </row>
    <row r="2011" spans="1:4" x14ac:dyDescent="0.2">
      <c r="A2011" s="5">
        <v>1950</v>
      </c>
      <c r="B2011" s="138">
        <f>'Cap Outlay Deprec 26'!C12</f>
        <v>1265257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58724938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368184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3421069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586967</v>
      </c>
      <c r="C2025" s="2" t="s">
        <v>593</v>
      </c>
      <c r="D2025" s="2" t="str">
        <f t="shared" si="30"/>
        <v>Error?</v>
      </c>
    </row>
    <row r="2026" spans="1:4" x14ac:dyDescent="0.2">
      <c r="A2026" s="5">
        <v>1965</v>
      </c>
      <c r="B2026" s="138">
        <f>'Cap Outlay Deprec 26'!F5</f>
        <v>3546438</v>
      </c>
      <c r="C2026" s="2" t="s">
        <v>593</v>
      </c>
      <c r="D2026" s="2" t="str">
        <f t="shared" si="30"/>
        <v>Error?</v>
      </c>
    </row>
    <row r="2027" spans="1:4" x14ac:dyDescent="0.2">
      <c r="A2027" s="5">
        <v>1966</v>
      </c>
      <c r="B2027" s="138">
        <f>'Cap Outlay Deprec 26'!F8</f>
        <v>51067956</v>
      </c>
      <c r="C2027" s="2" t="s">
        <v>593</v>
      </c>
      <c r="D2027" s="2" t="str">
        <f t="shared" si="30"/>
        <v>Error?</v>
      </c>
    </row>
    <row r="2028" spans="1:4" x14ac:dyDescent="0.2">
      <c r="A2028" s="5">
        <v>1967</v>
      </c>
      <c r="B2028" s="138">
        <f>'Cap Outlay Deprec 26'!F10</f>
        <v>2258320</v>
      </c>
      <c r="C2028" s="2" t="s">
        <v>593</v>
      </c>
      <c r="D2028" s="2" t="str">
        <f t="shared" si="30"/>
        <v>Error?</v>
      </c>
    </row>
    <row r="2029" spans="1:4" x14ac:dyDescent="0.2">
      <c r="A2029" s="5">
        <v>1968</v>
      </c>
      <c r="B2029" s="138">
        <f>'Cap Outlay Deprec 26'!F12</f>
        <v>1633441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61559040</v>
      </c>
      <c r="C2031" s="2" t="s">
        <v>593</v>
      </c>
      <c r="D2031" s="2" t="str">
        <f t="shared" si="30"/>
        <v>Error?</v>
      </c>
    </row>
    <row r="2032" spans="1:4" x14ac:dyDescent="0.2">
      <c r="A2032" s="10">
        <v>1971</v>
      </c>
      <c r="D2032" s="2" t="str">
        <f t="shared" si="30"/>
        <v>OK</v>
      </c>
    </row>
    <row r="2033" spans="1:4" x14ac:dyDescent="0.2">
      <c r="A2033" s="5">
        <v>1972</v>
      </c>
      <c r="B2033" s="138">
        <f>'Cap Outlay Deprec 26'!H8</f>
        <v>22376025</v>
      </c>
      <c r="D2033" s="2" t="str">
        <f t="shared" si="30"/>
        <v>Error?</v>
      </c>
    </row>
    <row r="2034" spans="1:4" x14ac:dyDescent="0.2">
      <c r="A2034" s="5">
        <v>1973</v>
      </c>
      <c r="B2034" s="138">
        <f>'Cap Outlay Deprec 26'!H10</f>
        <v>1720991</v>
      </c>
      <c r="D2034" s="2" t="str">
        <f t="shared" si="30"/>
        <v>Error?</v>
      </c>
    </row>
    <row r="2035" spans="1:4" x14ac:dyDescent="0.2">
      <c r="A2035" s="5">
        <v>1974</v>
      </c>
      <c r="B2035" s="138">
        <f>'Cap Outlay Deprec 26'!H12</f>
        <v>1095757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25192773</v>
      </c>
      <c r="C2037" s="2" t="s">
        <v>593</v>
      </c>
      <c r="D2037" s="2" t="str">
        <f t="shared" si="30"/>
        <v>Error?</v>
      </c>
    </row>
    <row r="2038" spans="1:4" x14ac:dyDescent="0.2">
      <c r="A2038" s="10">
        <v>1977</v>
      </c>
      <c r="D2038" s="2" t="str">
        <f t="shared" si="30"/>
        <v>OK</v>
      </c>
    </row>
    <row r="2039" spans="1:4" x14ac:dyDescent="0.2">
      <c r="A2039" s="5">
        <v>1978</v>
      </c>
      <c r="B2039" s="138">
        <f>'Cap Outlay Deprec 26'!I8</f>
        <v>1168031</v>
      </c>
      <c r="D2039" s="2" t="str">
        <f t="shared" si="30"/>
        <v>Error?</v>
      </c>
    </row>
    <row r="2040" spans="1:4" x14ac:dyDescent="0.2">
      <c r="A2040" s="5">
        <v>1979</v>
      </c>
      <c r="B2040" s="138">
        <f>'Cap Outlay Deprec 26'!I10</f>
        <v>44701</v>
      </c>
      <c r="D2040" s="2" t="str">
        <f t="shared" si="30"/>
        <v>Error?</v>
      </c>
    </row>
    <row r="2041" spans="1:4" x14ac:dyDescent="0.2">
      <c r="A2041" s="5">
        <v>1980</v>
      </c>
      <c r="B2041" s="138">
        <f>'Cap Outlay Deprec 26'!I12</f>
        <v>115453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1328185</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23544056</v>
      </c>
      <c r="C2051" s="2" t="s">
        <v>593</v>
      </c>
      <c r="D2051" s="2" t="str">
        <f t="shared" si="31"/>
        <v>Error?</v>
      </c>
    </row>
    <row r="2052" spans="1:4" x14ac:dyDescent="0.2">
      <c r="A2052" s="5">
        <v>1991</v>
      </c>
      <c r="B2052" s="138">
        <f>'Cap Outlay Deprec 26'!K10</f>
        <v>1765692</v>
      </c>
      <c r="C2052" s="2" t="s">
        <v>593</v>
      </c>
      <c r="D2052" s="2" t="str">
        <f t="shared" si="31"/>
        <v>Error?</v>
      </c>
    </row>
    <row r="2053" spans="1:4" x14ac:dyDescent="0.2">
      <c r="A2053" s="5">
        <v>1992</v>
      </c>
      <c r="B2053" s="138">
        <f>'Cap Outlay Deprec 26'!K12</f>
        <v>1211210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26520958</v>
      </c>
      <c r="C2055" s="2" t="s">
        <v>593</v>
      </c>
      <c r="D2055" s="2" t="str">
        <f t="shared" si="31"/>
        <v>Error?</v>
      </c>
    </row>
    <row r="2056" spans="1:4" x14ac:dyDescent="0.2">
      <c r="A2056" s="5">
        <v>1995</v>
      </c>
      <c r="B2056" s="138">
        <f>'Cap Outlay Deprec 26'!L5</f>
        <v>3546438</v>
      </c>
      <c r="C2056" s="2" t="s">
        <v>593</v>
      </c>
      <c r="D2056" s="2" t="str">
        <f t="shared" si="31"/>
        <v>Error?</v>
      </c>
    </row>
    <row r="2057" spans="1:4" x14ac:dyDescent="0.2">
      <c r="A2057" s="5">
        <v>1996</v>
      </c>
      <c r="B2057" s="138">
        <f>'Cap Outlay Deprec 26'!L8</f>
        <v>27523900</v>
      </c>
      <c r="C2057" s="2" t="s">
        <v>593</v>
      </c>
      <c r="D2057" s="2" t="str">
        <f t="shared" si="31"/>
        <v>Error?</v>
      </c>
    </row>
    <row r="2058" spans="1:4" x14ac:dyDescent="0.2">
      <c r="A2058" s="5">
        <v>1997</v>
      </c>
      <c r="B2058" s="138">
        <f>'Cap Outlay Deprec 26'!L10</f>
        <v>492628</v>
      </c>
      <c r="C2058" s="2" t="s">
        <v>593</v>
      </c>
      <c r="D2058" s="2" t="str">
        <f t="shared" si="31"/>
        <v>Error?</v>
      </c>
    </row>
    <row r="2059" spans="1:4" x14ac:dyDescent="0.2">
      <c r="A2059" s="5">
        <v>1998</v>
      </c>
      <c r="B2059" s="138">
        <f>'Cap Outlay Deprec 26'!L12</f>
        <v>422231</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35038082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125655</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623729</v>
      </c>
      <c r="C2088" s="2" t="s">
        <v>593</v>
      </c>
      <c r="D2088" s="2" t="str">
        <f t="shared" si="31"/>
        <v>Error?</v>
      </c>
    </row>
    <row r="2089" spans="1:4" x14ac:dyDescent="0.2">
      <c r="A2089" s="5">
        <v>2028</v>
      </c>
      <c r="B2089" s="138">
        <f>'Expenditures 15-22'!K92</f>
        <v>176011</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358264</v>
      </c>
      <c r="D2435" s="2" t="str">
        <f t="shared" si="37"/>
        <v>Error?</v>
      </c>
    </row>
    <row r="2436" spans="1:4" x14ac:dyDescent="0.2">
      <c r="A2436" s="10">
        <v>2375</v>
      </c>
      <c r="D2436" s="2" t="str">
        <f t="shared" si="37"/>
        <v>OK</v>
      </c>
    </row>
    <row r="2437" spans="1:4" x14ac:dyDescent="0.2">
      <c r="A2437" s="5">
        <v>2376</v>
      </c>
      <c r="B2437" s="138">
        <f>'Assets-Liab 5-6'!D38</f>
        <v>2113862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2173495</v>
      </c>
      <c r="D2475" s="2" t="str">
        <f t="shared" si="37"/>
        <v>Error?</v>
      </c>
    </row>
    <row r="2476" spans="1:4" x14ac:dyDescent="0.2">
      <c r="A2476" s="10">
        <v>2415</v>
      </c>
      <c r="D2476" s="2" t="str">
        <f t="shared" si="37"/>
        <v>OK</v>
      </c>
    </row>
    <row r="2477" spans="1:4" x14ac:dyDescent="0.2">
      <c r="A2477" s="5">
        <v>2416</v>
      </c>
      <c r="B2477" s="138">
        <f>'Assets-Liab 5-6'!G38</f>
        <v>742413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990384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1587792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18793524</v>
      </c>
      <c r="C2551" s="2" t="s">
        <v>593</v>
      </c>
      <c r="D2551" s="2" t="str">
        <f t="shared" si="38"/>
        <v>Error?</v>
      </c>
    </row>
    <row r="2552" spans="1:4" x14ac:dyDescent="0.2">
      <c r="A2552" s="10">
        <v>2491</v>
      </c>
      <c r="D2552" s="2" t="str">
        <f t="shared" si="38"/>
        <v>OK</v>
      </c>
    </row>
    <row r="2553" spans="1:4" x14ac:dyDescent="0.2">
      <c r="A2553" s="5">
        <v>2492</v>
      </c>
      <c r="B2553" s="138">
        <f>'Acct Summary 7-8'!C6</f>
        <v>2080978</v>
      </c>
      <c r="C2553" s="2" t="s">
        <v>593</v>
      </c>
      <c r="D2553" s="2" t="str">
        <f t="shared" si="38"/>
        <v>Error?</v>
      </c>
    </row>
    <row r="2554" spans="1:4" x14ac:dyDescent="0.2">
      <c r="A2554" s="5">
        <v>2493</v>
      </c>
      <c r="B2554" s="138">
        <f>'Acct Summary 7-8'!C7</f>
        <v>1336606</v>
      </c>
      <c r="C2554" s="2" t="s">
        <v>593</v>
      </c>
      <c r="D2554" s="2" t="str">
        <f t="shared" si="38"/>
        <v>Error?</v>
      </c>
    </row>
    <row r="2555" spans="1:4" x14ac:dyDescent="0.2">
      <c r="A2555" s="5">
        <v>2494</v>
      </c>
      <c r="B2555" s="138">
        <f>'Acct Summary 7-8'!C8</f>
        <v>22211108</v>
      </c>
      <c r="C2555" s="2" t="s">
        <v>593</v>
      </c>
      <c r="D2555" s="2" t="str">
        <f t="shared" si="38"/>
        <v>Error?</v>
      </c>
    </row>
    <row r="2556" spans="1:4" x14ac:dyDescent="0.2">
      <c r="A2556" s="5">
        <v>2495</v>
      </c>
      <c r="B2556" s="138">
        <f>'Acct Summary 7-8'!C12</f>
        <v>12873160</v>
      </c>
      <c r="C2556" s="2" t="s">
        <v>593</v>
      </c>
      <c r="D2556" s="2" t="str">
        <f t="shared" si="38"/>
        <v>Error?</v>
      </c>
    </row>
    <row r="2557" spans="1:4" x14ac:dyDescent="0.2">
      <c r="A2557" s="5">
        <v>2496</v>
      </c>
      <c r="B2557" s="138">
        <f>'Acct Summary 7-8'!C13</f>
        <v>7104401</v>
      </c>
      <c r="C2557" s="2" t="s">
        <v>593</v>
      </c>
      <c r="D2557" s="2" t="str">
        <f t="shared" si="38"/>
        <v>Error?</v>
      </c>
    </row>
    <row r="2558" spans="1:4" x14ac:dyDescent="0.2">
      <c r="A2558" s="5">
        <v>2497</v>
      </c>
      <c r="B2558" s="138">
        <f>'Acct Summary 7-8'!C14</f>
        <v>68132</v>
      </c>
      <c r="C2558" s="2" t="s">
        <v>593</v>
      </c>
      <c r="D2558" s="2" t="str">
        <f t="shared" si="38"/>
        <v>Error?</v>
      </c>
    </row>
    <row r="2559" spans="1:4" x14ac:dyDescent="0.2">
      <c r="A2559" s="5">
        <v>2498</v>
      </c>
      <c r="B2559" s="138">
        <f>'Acct Summary 7-8'!C15</f>
        <v>799740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20845433</v>
      </c>
      <c r="C2561" s="2" t="s">
        <v>593</v>
      </c>
      <c r="D2561" s="2" t="str">
        <f t="shared" si="39"/>
        <v>Error?</v>
      </c>
    </row>
    <row r="2562" spans="1:4" x14ac:dyDescent="0.2">
      <c r="A2562" s="5">
        <v>2501</v>
      </c>
      <c r="B2562" s="138">
        <f>'Acct Summary 7-8'!C20</f>
        <v>1365675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2232592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2232592</v>
      </c>
      <c r="C2568" s="2" t="s">
        <v>593</v>
      </c>
      <c r="D2568" s="2" t="str">
        <f t="shared" si="39"/>
        <v>Error?</v>
      </c>
    </row>
    <row r="2569" spans="1:4" x14ac:dyDescent="0.2">
      <c r="A2569" s="5">
        <v>2508</v>
      </c>
      <c r="B2569" s="138">
        <f>'Acct Summary 7-8'!D13</f>
        <v>1698234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1698234</v>
      </c>
      <c r="C2573" s="2" t="s">
        <v>593</v>
      </c>
      <c r="D2573" s="2" t="str">
        <f t="shared" si="39"/>
        <v>Error?</v>
      </c>
    </row>
    <row r="2574" spans="1:4" x14ac:dyDescent="0.2">
      <c r="A2574" s="5">
        <v>2513</v>
      </c>
      <c r="B2574" s="138">
        <f>'Acct Summary 7-8'!D20</f>
        <v>534358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1041229</v>
      </c>
      <c r="C2591" s="2" t="s">
        <v>593</v>
      </c>
      <c r="D2591" s="2" t="str">
        <f t="shared" si="39"/>
        <v>Error?</v>
      </c>
    </row>
    <row r="2592" spans="1:4" x14ac:dyDescent="0.2">
      <c r="A2592" s="10">
        <v>2531</v>
      </c>
      <c r="D2592" s="2" t="str">
        <f t="shared" si="39"/>
        <v>OK</v>
      </c>
    </row>
    <row r="2593" spans="1:4" x14ac:dyDescent="0.2">
      <c r="A2593" s="5">
        <v>2532</v>
      </c>
      <c r="B2593" s="138">
        <f>'Acct Summary 7-8'!F6</f>
        <v>659559</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1700788</v>
      </c>
      <c r="C2595" s="2" t="s">
        <v>593</v>
      </c>
      <c r="D2595" s="2" t="str">
        <f t="shared" si="39"/>
        <v>Error?</v>
      </c>
    </row>
    <row r="2596" spans="1:4" x14ac:dyDescent="0.2">
      <c r="A2596" s="5">
        <v>2535</v>
      </c>
      <c r="B2596" s="138">
        <f>'Acct Summary 7-8'!F13</f>
        <v>1495759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1495759</v>
      </c>
      <c r="C2600" s="2" t="s">
        <v>593</v>
      </c>
      <c r="D2600" s="2" t="str">
        <f t="shared" si="39"/>
        <v>Error?</v>
      </c>
    </row>
    <row r="2601" spans="1:4" x14ac:dyDescent="0.2">
      <c r="A2601" s="5">
        <v>2540</v>
      </c>
      <c r="B2601" s="138">
        <f>'Acct Summary 7-8'!F20</f>
        <v>205029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917622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917622</v>
      </c>
      <c r="C2606" s="2" t="s">
        <v>593</v>
      </c>
      <c r="D2606" s="2" t="str">
        <f t="shared" si="39"/>
        <v>Error?</v>
      </c>
    </row>
    <row r="2607" spans="1:4" x14ac:dyDescent="0.2">
      <c r="A2607" s="5">
        <v>2546</v>
      </c>
      <c r="B2607" s="138">
        <f>'Acct Summary 7-8'!G12</f>
        <v>318553</v>
      </c>
      <c r="C2607" s="2" t="s">
        <v>593</v>
      </c>
      <c r="D2607" s="2" t="str">
        <f t="shared" si="39"/>
        <v>Error?</v>
      </c>
    </row>
    <row r="2608" spans="1:4" x14ac:dyDescent="0.2">
      <c r="A2608" s="5">
        <v>2547</v>
      </c>
      <c r="B2608" s="138">
        <f>'Acct Summary 7-8'!G13</f>
        <v>478843</v>
      </c>
      <c r="C2608" s="2" t="s">
        <v>593</v>
      </c>
      <c r="D2608" s="2" t="str">
        <f t="shared" si="39"/>
        <v>Error?</v>
      </c>
    </row>
    <row r="2609" spans="1:4" x14ac:dyDescent="0.2">
      <c r="A2609" s="5">
        <v>2548</v>
      </c>
      <c r="B2609" s="138">
        <f>'Acct Summary 7-8'!G14</f>
        <v>14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797410</v>
      </c>
      <c r="C2612" s="2" t="s">
        <v>593</v>
      </c>
      <c r="D2612" s="2" t="str">
        <f t="shared" si="39"/>
        <v>Error?</v>
      </c>
    </row>
    <row r="2613" spans="1:4" x14ac:dyDescent="0.2">
      <c r="A2613" s="5">
        <v>2552</v>
      </c>
      <c r="B2613" s="138">
        <f>'Acct Summary 7-8'!G20</f>
        <v>120212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3426711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3426711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3751419</v>
      </c>
      <c r="C2634" s="2" t="s">
        <v>593</v>
      </c>
      <c r="D2634" s="2" t="str">
        <f t="shared" si="40"/>
        <v>Error?</v>
      </c>
    </row>
    <row r="2635" spans="1:4" x14ac:dyDescent="0.2">
      <c r="A2635" s="5">
        <v>2574</v>
      </c>
      <c r="B2635" s="138">
        <f>'Acct Summary 7-8'!E17</f>
        <v>3751419</v>
      </c>
      <c r="C2635" s="2" t="s">
        <v>593</v>
      </c>
      <c r="D2635" s="2" t="str">
        <f t="shared" si="40"/>
        <v>Error?</v>
      </c>
    </row>
    <row r="2636" spans="1:4" x14ac:dyDescent="0.2">
      <c r="A2636" s="5">
        <v>2575</v>
      </c>
      <c r="B2636" s="138">
        <f>'Acct Summary 7-8'!E20</f>
        <v>-324708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11912</v>
      </c>
      <c r="C2655" s="2" t="s">
        <v>593</v>
      </c>
      <c r="D2655" s="2" t="str">
        <f t="shared" si="40"/>
        <v>Error?</v>
      </c>
    </row>
    <row r="2656" spans="1:4" x14ac:dyDescent="0.2">
      <c r="A2656" s="5">
        <v>2595</v>
      </c>
      <c r="B2656" s="138">
        <f>'Acct Summary 7-8'!H6</f>
        <v>1460000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1471912</v>
      </c>
      <c r="C2658" s="2" t="s">
        <v>593</v>
      </c>
      <c r="D2658" s="2" t="str">
        <f t="shared" si="40"/>
        <v>Error?</v>
      </c>
    </row>
    <row r="2659" spans="1:4" x14ac:dyDescent="0.2">
      <c r="A2659" s="5">
        <v>2598</v>
      </c>
      <c r="B2659" s="138">
        <f>'Acct Summary 7-8'!H13</f>
        <v>4242966</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4242966</v>
      </c>
      <c r="C2661" s="2" t="s">
        <v>593</v>
      </c>
      <c r="D2661" s="2" t="str">
        <f t="shared" si="40"/>
        <v>Error?</v>
      </c>
    </row>
    <row r="2662" spans="1:4" x14ac:dyDescent="0.2">
      <c r="A2662" s="5">
        <v>2601</v>
      </c>
      <c r="B2662" s="138">
        <f>'Acct Summary 7-8'!H20</f>
        <v>-2771054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157733</v>
      </c>
      <c r="D2718" s="2" t="str">
        <f t="shared" si="41"/>
        <v>Error?</v>
      </c>
    </row>
    <row r="2719" spans="1:4" x14ac:dyDescent="0.2">
      <c r="A2719" s="5">
        <v>2658</v>
      </c>
      <c r="B2719" s="138">
        <f>'Expenditures 15-22'!D51</f>
        <v>45543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463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203739</v>
      </c>
      <c r="C2724" s="2" t="s">
        <v>593</v>
      </c>
      <c r="D2724" s="2" t="str">
        <f t="shared" si="41"/>
        <v>Error?</v>
      </c>
    </row>
    <row r="2725" spans="1:4" x14ac:dyDescent="0.2">
      <c r="A2725" s="5">
        <v>2664</v>
      </c>
      <c r="B2725" s="138">
        <f>'Expenditures 15-22'!D247</f>
        <v>9871</v>
      </c>
      <c r="D2725" s="2" t="str">
        <f t="shared" si="41"/>
        <v>Error?</v>
      </c>
    </row>
    <row r="2726" spans="1:4" x14ac:dyDescent="0.2">
      <c r="A2726" s="5">
        <v>2665</v>
      </c>
      <c r="B2726" s="138">
        <f>'Expenditures 15-22'!K247</f>
        <v>9871</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498074</v>
      </c>
      <c r="C2789" s="2" t="s">
        <v>593</v>
      </c>
      <c r="D2789" s="2" t="str">
        <f t="shared" si="42"/>
        <v>Error?</v>
      </c>
    </row>
    <row r="2790" spans="1:4" x14ac:dyDescent="0.2">
      <c r="A2790" s="5">
        <v>2729</v>
      </c>
      <c r="B2790" s="138">
        <f>'Expenditures 15-22'!E102</f>
        <v>498074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3052885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403196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4520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403196</v>
      </c>
      <c r="D2912" s="2" t="str">
        <f t="shared" si="44"/>
        <v>Error?</v>
      </c>
    </row>
    <row r="2913" spans="1:4" x14ac:dyDescent="0.2">
      <c r="A2913" s="5">
        <v>2852</v>
      </c>
      <c r="B2913" s="138">
        <f>'Assets-Liab 5-6'!I41</f>
        <v>403196</v>
      </c>
      <c r="C2913" s="2" t="s">
        <v>593</v>
      </c>
      <c r="D2913" s="2" t="str">
        <f t="shared" si="44"/>
        <v>Error?</v>
      </c>
    </row>
    <row r="2914" spans="1:4" x14ac:dyDescent="0.2">
      <c r="A2914" s="5">
        <v>2853</v>
      </c>
      <c r="B2914" s="138">
        <f>'Assets-Liab 5-6'!L33</f>
        <v>4520</v>
      </c>
      <c r="D2914" s="2" t="str">
        <f t="shared" si="44"/>
        <v>Error?</v>
      </c>
    </row>
    <row r="2915" spans="1:4" x14ac:dyDescent="0.2">
      <c r="A2915" s="10">
        <v>2854</v>
      </c>
      <c r="D2915" s="2" t="str">
        <f t="shared" si="44"/>
        <v>OK</v>
      </c>
    </row>
    <row r="2916" spans="1:4" x14ac:dyDescent="0.2">
      <c r="A2916" s="5">
        <v>2855</v>
      </c>
      <c r="B2916" s="138">
        <f>'Assets-Liab 5-6'!L34</f>
        <v>4520</v>
      </c>
      <c r="C2916" s="2" t="s">
        <v>593</v>
      </c>
      <c r="D2916" s="2" t="str">
        <f t="shared" si="44"/>
        <v>Error?</v>
      </c>
    </row>
    <row r="2917" spans="1:4" x14ac:dyDescent="0.2">
      <c r="A2917" s="5">
        <v>2856</v>
      </c>
      <c r="B2917" s="138">
        <f>'Assets-Liab 5-6'!L41</f>
        <v>4520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498074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125655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623729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593</v>
      </c>
      <c r="D3225" s="2" t="str">
        <f t="shared" si="49"/>
        <v>Error?</v>
      </c>
    </row>
    <row r="3226" spans="1:4" x14ac:dyDescent="0.2">
      <c r="A3226" s="5">
        <v>3165</v>
      </c>
      <c r="B3226" s="138">
        <f>'Acct Summary 7-8'!I8</f>
        <v>0</v>
      </c>
      <c r="C3226" s="2" t="s">
        <v>593</v>
      </c>
      <c r="D3226" s="2" t="str">
        <f t="shared" si="49"/>
        <v>Error?</v>
      </c>
    </row>
    <row r="3227" spans="1:4" x14ac:dyDescent="0.2">
      <c r="A3227" s="5">
        <v>3166</v>
      </c>
      <c r="B3227" s="138">
        <f>'Acct Summary 7-8'!I20</f>
        <v>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3996535</v>
      </c>
      <c r="C3231" s="2" t="s">
        <v>593</v>
      </c>
      <c r="D3231" s="2" t="str">
        <f t="shared" si="49"/>
        <v>Error?</v>
      </c>
    </row>
    <row r="3232" spans="1:4" x14ac:dyDescent="0.2">
      <c r="A3232" s="5">
        <v>3171</v>
      </c>
      <c r="B3232" s="138">
        <f>'Acct Summary 7-8'!C77</f>
        <v>-3996535</v>
      </c>
      <c r="C3232" s="2" t="s">
        <v>593</v>
      </c>
      <c r="D3232" s="2" t="str">
        <f t="shared" si="49"/>
        <v>Error?</v>
      </c>
    </row>
    <row r="3233" spans="1:4" x14ac:dyDescent="0.2">
      <c r="A3233" s="5">
        <v>3172</v>
      </c>
      <c r="B3233" s="138">
        <f>'Acct Summary 7-8'!C78</f>
        <v>-2630860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534358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205029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120212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3996535</v>
      </c>
      <c r="C3274" s="2" t="s">
        <v>593</v>
      </c>
      <c r="D3274" s="2" t="str">
        <f t="shared" si="50"/>
        <v>Error?</v>
      </c>
    </row>
    <row r="3275" spans="1:4" x14ac:dyDescent="0.2">
      <c r="A3275" s="5">
        <v>3214</v>
      </c>
      <c r="B3275" s="138">
        <f>'Acct Summary 7-8'!E75</f>
        <v>3996535</v>
      </c>
      <c r="D3275" s="2" t="str">
        <f t="shared" si="50"/>
        <v>Error?</v>
      </c>
    </row>
    <row r="3276" spans="1:4" x14ac:dyDescent="0.2">
      <c r="A3276" s="5">
        <v>3215</v>
      </c>
      <c r="B3276" s="138">
        <f>'Acct Summary 7-8'!E76</f>
        <v>3996535</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-324708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3040000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3040000</v>
      </c>
      <c r="C3299" s="2" t="s">
        <v>593</v>
      </c>
      <c r="D3299" s="2" t="str">
        <f t="shared" si="50"/>
        <v>Error?</v>
      </c>
    </row>
    <row r="3300" spans="1:4" x14ac:dyDescent="0.2">
      <c r="A3300" s="5">
        <v>3239</v>
      </c>
      <c r="B3300" s="138">
        <f>'Acct Summary 7-8'!H78</f>
        <v>268946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0</v>
      </c>
      <c r="C3320" s="2" t="s">
        <v>593</v>
      </c>
      <c r="D3320" s="2" t="str">
        <f t="shared" si="50"/>
        <v>Error?</v>
      </c>
    </row>
    <row r="3321" spans="1:4" x14ac:dyDescent="0.2">
      <c r="A3321" s="5">
        <v>3260</v>
      </c>
      <c r="B3321" s="138">
        <f>'Acct Summary 7-8'!I79</f>
        <v>403196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403196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2549400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560299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20240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3130168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83080</v>
      </c>
      <c r="D3387" s="2" t="str">
        <f t="shared" si="51"/>
        <v>Error?</v>
      </c>
    </row>
    <row r="3388" spans="1:4" x14ac:dyDescent="0.2">
      <c r="A3388" s="5">
        <v>3327</v>
      </c>
      <c r="B3388" s="138">
        <f>'Expenditures 15-22'!D217</f>
        <v>193614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83080</v>
      </c>
      <c r="C3390" s="2" t="s">
        <v>593</v>
      </c>
      <c r="D3390" s="2" t="str">
        <f t="shared" si="51"/>
        <v>Error?</v>
      </c>
    </row>
    <row r="3391" spans="1:4" x14ac:dyDescent="0.2">
      <c r="A3391" s="5">
        <v>3330</v>
      </c>
      <c r="B3391" s="138">
        <f>'Expenditures 15-22'!K217</f>
        <v>193614</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13053517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3034544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2255447</v>
      </c>
      <c r="D3417" s="2" t="str">
        <f t="shared" si="52"/>
        <v>Error?</v>
      </c>
    </row>
    <row r="3418" spans="1:4" x14ac:dyDescent="0.2">
      <c r="A3418" s="10">
        <v>3357</v>
      </c>
      <c r="D3418" s="2" t="str">
        <f t="shared" si="52"/>
        <v>OK</v>
      </c>
    </row>
    <row r="3419" spans="1:4" x14ac:dyDescent="0.2">
      <c r="A3419" s="5">
        <v>3358</v>
      </c>
      <c r="B3419" s="138">
        <f>'Assets-Liab 5-6'!F4</f>
        <v>2274566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1215148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3111337</v>
      </c>
      <c r="D3425" s="2" t="str">
        <f t="shared" si="52"/>
        <v>Error?</v>
      </c>
    </row>
    <row r="3426" spans="1:4" x14ac:dyDescent="0.2">
      <c r="A3426" s="10">
        <v>3365</v>
      </c>
      <c r="D3426" s="2" t="str">
        <f t="shared" si="52"/>
        <v>OK</v>
      </c>
    </row>
    <row r="3427" spans="1:4" x14ac:dyDescent="0.2">
      <c r="A3427" s="5">
        <v>3366</v>
      </c>
      <c r="B3427" s="138">
        <f>'Assets-Liab 5-6'!I4</f>
        <v>403196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468883</v>
      </c>
      <c r="C3446" s="2" t="s">
        <v>593</v>
      </c>
      <c r="D3446" s="2" t="str">
        <f t="shared" si="52"/>
        <v>Error?</v>
      </c>
    </row>
    <row r="3447" spans="1:4" x14ac:dyDescent="0.2">
      <c r="A3447" s="5">
        <v>3386</v>
      </c>
      <c r="B3447" s="138">
        <f>'Tax Sched 23'!D16</f>
        <v>211223</v>
      </c>
      <c r="C3447" s="2" t="s">
        <v>593</v>
      </c>
      <c r="D3447" s="2" t="str">
        <f t="shared" si="52"/>
        <v>Error?</v>
      </c>
    </row>
    <row r="3448" spans="1:4" x14ac:dyDescent="0.2">
      <c r="A3448" s="5">
        <v>3387</v>
      </c>
      <c r="B3448" s="138">
        <f>'Tax Sched 23'!C16</f>
        <v>257660</v>
      </c>
      <c r="D3448" s="2" t="str">
        <f t="shared" si="52"/>
        <v>Error?</v>
      </c>
    </row>
    <row r="3449" spans="1:4" x14ac:dyDescent="0.2">
      <c r="A3449" s="5">
        <v>3388</v>
      </c>
      <c r="B3449" s="138">
        <f>'Tax Sched 23'!F16</f>
        <v>-37107</v>
      </c>
      <c r="C3449" s="2" t="s">
        <v>593</v>
      </c>
      <c r="D3449" s="2" t="str">
        <f t="shared" si="52"/>
        <v>Error?</v>
      </c>
    </row>
    <row r="3450" spans="1:4" x14ac:dyDescent="0.2">
      <c r="A3450" s="5">
        <v>3389</v>
      </c>
      <c r="B3450" s="138">
        <f>'Tax Sched 23'!E16</f>
        <v>220553</v>
      </c>
      <c r="D3450" s="2" t="str">
        <f t="shared" si="52"/>
        <v>Error?</v>
      </c>
    </row>
    <row r="3451" spans="1:4" x14ac:dyDescent="0.2">
      <c r="A3451" s="5">
        <v>3390</v>
      </c>
      <c r="B3451" s="138">
        <f>'Cap Outlay Deprec 26'!C15</f>
        <v>586967</v>
      </c>
      <c r="D3451" s="2" t="str">
        <f t="shared" si="52"/>
        <v>Error?</v>
      </c>
    </row>
    <row r="3452" spans="1:4" x14ac:dyDescent="0.2">
      <c r="A3452" s="5">
        <v>3391</v>
      </c>
      <c r="B3452" s="138">
        <f>'Cap Outlay Deprec 26'!D15</f>
        <v>3052885</v>
      </c>
      <c r="D3452" s="2" t="str">
        <f t="shared" si="52"/>
        <v>Error?</v>
      </c>
    </row>
    <row r="3453" spans="1:4" x14ac:dyDescent="0.2">
      <c r="A3453" s="5">
        <v>3392</v>
      </c>
      <c r="B3453" s="138">
        <f>'Cap Outlay Deprec 26'!E15</f>
        <v>586967</v>
      </c>
      <c r="D3453" s="2" t="str">
        <f t="shared" si="52"/>
        <v>Error?</v>
      </c>
    </row>
    <row r="3454" spans="1:4" x14ac:dyDescent="0.2">
      <c r="A3454" s="5">
        <v>3393</v>
      </c>
      <c r="B3454" s="138">
        <f>'Cap Outlay Deprec 26'!F15</f>
        <v>3052885</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3052885</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6953</v>
      </c>
      <c r="D4081" s="2" t="str">
        <f t="shared" si="62"/>
        <v>Error?</v>
      </c>
    </row>
    <row r="4082" spans="1:4" x14ac:dyDescent="0.2">
      <c r="A4082" s="5">
        <v>4021</v>
      </c>
      <c r="B4082" s="138">
        <f>'Expenditures 15-22'!D180</f>
        <v>1390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8343</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8865742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31076850</v>
      </c>
      <c r="C4122" s="2" t="s">
        <v>593</v>
      </c>
      <c r="D4122" s="2" t="str">
        <f t="shared" si="63"/>
        <v>Error?</v>
      </c>
    </row>
    <row r="4123" spans="1:4" x14ac:dyDescent="0.2">
      <c r="A4123" s="5">
        <v>4062</v>
      </c>
      <c r="B4123" s="138">
        <f>'Acct Summary 7-8'!D10</f>
        <v>2232592</v>
      </c>
      <c r="C4123" s="2" t="s">
        <v>593</v>
      </c>
      <c r="D4123" s="2" t="str">
        <f t="shared" si="63"/>
        <v>Error?</v>
      </c>
    </row>
    <row r="4124" spans="1:4" x14ac:dyDescent="0.2">
      <c r="A4124" s="5">
        <v>4063</v>
      </c>
      <c r="B4124" s="138">
        <f>'Acct Summary 7-8'!E10</f>
        <v>3426711</v>
      </c>
      <c r="C4124" s="2" t="s">
        <v>593</v>
      </c>
      <c r="D4124" s="2" t="str">
        <f t="shared" si="63"/>
        <v>Error?</v>
      </c>
    </row>
    <row r="4125" spans="1:4" x14ac:dyDescent="0.2">
      <c r="A4125" s="5">
        <v>4064</v>
      </c>
      <c r="B4125" s="138">
        <f>'Acct Summary 7-8'!F10</f>
        <v>1700788</v>
      </c>
      <c r="C4125" s="2" t="s">
        <v>593</v>
      </c>
      <c r="D4125" s="2" t="str">
        <f t="shared" si="63"/>
        <v>Error?</v>
      </c>
    </row>
    <row r="4126" spans="1:4" x14ac:dyDescent="0.2">
      <c r="A4126" s="5">
        <v>4065</v>
      </c>
      <c r="B4126" s="138">
        <f>'Acct Summary 7-8'!G10</f>
        <v>917622</v>
      </c>
      <c r="C4126" s="2" t="s">
        <v>593</v>
      </c>
      <c r="D4126" s="2" t="str">
        <f t="shared" si="63"/>
        <v>Error?</v>
      </c>
    </row>
    <row r="4127" spans="1:4" x14ac:dyDescent="0.2">
      <c r="A4127" s="5">
        <v>4066</v>
      </c>
      <c r="B4127" s="138">
        <f>'Acct Summary 7-8'!H10</f>
        <v>1471912</v>
      </c>
      <c r="C4127" s="2" t="s">
        <v>593</v>
      </c>
      <c r="D4127" s="2" t="str">
        <f t="shared" si="63"/>
        <v>Error?</v>
      </c>
    </row>
    <row r="4128" spans="1:4" x14ac:dyDescent="0.2">
      <c r="A4128" s="5">
        <v>4067</v>
      </c>
      <c r="B4128" s="138">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8865742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29711175</v>
      </c>
      <c r="C4136" s="2" t="s">
        <v>593</v>
      </c>
      <c r="D4136" s="2" t="str">
        <f t="shared" si="63"/>
        <v>Error?</v>
      </c>
    </row>
    <row r="4137" spans="1:4" x14ac:dyDescent="0.2">
      <c r="A4137" s="5">
        <v>4076</v>
      </c>
      <c r="B4137" s="138">
        <f>'Acct Summary 7-8'!D19</f>
        <v>1698234</v>
      </c>
      <c r="C4137" s="2" t="s">
        <v>593</v>
      </c>
      <c r="D4137" s="2" t="str">
        <f t="shared" si="63"/>
        <v>Error?</v>
      </c>
    </row>
    <row r="4138" spans="1:4" x14ac:dyDescent="0.2">
      <c r="A4138" s="5">
        <v>4077</v>
      </c>
      <c r="B4138" s="138">
        <f>'Acct Summary 7-8'!E19</f>
        <v>3751419</v>
      </c>
      <c r="C4138" s="2" t="s">
        <v>593</v>
      </c>
      <c r="D4138" s="2" t="str">
        <f t="shared" si="63"/>
        <v>Error?</v>
      </c>
    </row>
    <row r="4139" spans="1:4" x14ac:dyDescent="0.2">
      <c r="A4139" s="5">
        <v>4078</v>
      </c>
      <c r="B4139" s="138">
        <f>'Acct Summary 7-8'!F19</f>
        <v>1495759</v>
      </c>
      <c r="C4139" s="2" t="s">
        <v>593</v>
      </c>
      <c r="D4139" s="2" t="str">
        <f t="shared" si="63"/>
        <v>Error?</v>
      </c>
    </row>
    <row r="4140" spans="1:4" x14ac:dyDescent="0.2">
      <c r="A4140" s="5">
        <v>4079</v>
      </c>
      <c r="B4140" s="138">
        <f>'Acct Summary 7-8'!G19</f>
        <v>797410</v>
      </c>
      <c r="C4140" s="2" t="s">
        <v>593</v>
      </c>
      <c r="D4140" s="2" t="str">
        <f t="shared" si="63"/>
        <v>Error?</v>
      </c>
    </row>
    <row r="4141" spans="1:4" x14ac:dyDescent="0.2">
      <c r="A4141" s="5">
        <v>4080</v>
      </c>
      <c r="B4141" s="138">
        <f>'Acct Summary 7-8'!H19</f>
        <v>4242966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21960000</v>
      </c>
      <c r="C4171" s="2" t="s">
        <v>593</v>
      </c>
      <c r="D4171" s="2" t="str">
        <f t="shared" si="64"/>
        <v>Error?</v>
      </c>
    </row>
    <row r="4172" spans="1:4" x14ac:dyDescent="0.2">
      <c r="A4172" s="5">
        <v>4111</v>
      </c>
      <c r="B4172" s="138">
        <f>'Short-Term Long-Term Debt 24'!J49</f>
        <v>20969616</v>
      </c>
      <c r="C4172" s="2" t="s">
        <v>593</v>
      </c>
      <c r="D4172" s="2" t="str">
        <f t="shared" si="64"/>
        <v>Error?</v>
      </c>
    </row>
    <row r="4173" spans="1:4" x14ac:dyDescent="0.2">
      <c r="A4173" s="5">
        <v>4112</v>
      </c>
      <c r="B4173" s="138">
        <f>'Short-Term Long-Term Debt 24'!H49</f>
        <v>3005000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-3895000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2867</v>
      </c>
      <c r="C4265" s="2" t="s">
        <v>593</v>
      </c>
      <c r="D4265" s="2" t="str">
        <f t="shared" si="65"/>
        <v>Error?</v>
      </c>
      <c r="E4265" s="128"/>
    </row>
    <row r="4266" spans="1:5" x14ac:dyDescent="0.2">
      <c r="A4266" s="12">
        <v>4205</v>
      </c>
      <c r="B4266" s="138">
        <f>('FP Info 3'!F10)*100000</f>
        <v>31.9</v>
      </c>
      <c r="C4266" s="2" t="s">
        <v>593</v>
      </c>
      <c r="D4266" s="2" t="str">
        <f t="shared" si="65"/>
        <v>Error?</v>
      </c>
      <c r="E4266" s="128"/>
    </row>
    <row r="4267" spans="1:5" x14ac:dyDescent="0.2">
      <c r="A4267" s="12">
        <v>4206</v>
      </c>
      <c r="B4267" s="138">
        <f>('FP Info 3'!H10)*100000</f>
        <v>175.3</v>
      </c>
      <c r="C4267" s="2" t="s">
        <v>593</v>
      </c>
      <c r="D4267" s="2" t="str">
        <f t="shared" si="65"/>
        <v>Error?</v>
      </c>
      <c r="E4267" s="128"/>
    </row>
    <row r="4268" spans="1:5" x14ac:dyDescent="0.2">
      <c r="A4268" s="12">
        <v>4207</v>
      </c>
      <c r="B4268" s="138">
        <f>('FP Info 3'!J10)*100000</f>
        <v>3074</v>
      </c>
      <c r="C4268" s="2" t="s">
        <v>593</v>
      </c>
      <c r="D4268" s="2" t="str">
        <f t="shared" si="65"/>
        <v>Error?</v>
      </c>
    </row>
    <row r="4269" spans="1:5" x14ac:dyDescent="0.2">
      <c r="A4269" s="12">
        <v>4208</v>
      </c>
      <c r="B4269" s="138">
        <f>'FP Info 3'!J16</f>
        <v>8941531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80329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29964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26720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608994276</v>
      </c>
      <c r="D4995" s="2" t="str">
        <f t="shared" si="77"/>
        <v>Error?</v>
      </c>
    </row>
    <row r="4996" spans="1:4" x14ac:dyDescent="0.2">
      <c r="A4996" s="12">
        <v>4935</v>
      </c>
      <c r="B4996" s="138">
        <f>'FP Info 3'!H31</f>
        <v>42020605.044000007</v>
      </c>
      <c r="D4996" s="2" t="str">
        <f t="shared" si="77"/>
        <v>Error?</v>
      </c>
    </row>
    <row r="4997" spans="1:4" x14ac:dyDescent="0.2">
      <c r="A4997" s="12">
        <v>4936</v>
      </c>
      <c r="B4997" s="138">
        <f>'FP Info 3'!H37</f>
        <v>21960000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17052054</v>
      </c>
      <c r="D5061" s="2" t="str">
        <f t="shared" si="78"/>
        <v>Error?</v>
      </c>
    </row>
    <row r="5062" spans="1:4" x14ac:dyDescent="0.2">
      <c r="A5062" s="10">
        <v>5001</v>
      </c>
      <c r="D5062" s="2" t="str">
        <f t="shared" si="78"/>
        <v>OK</v>
      </c>
    </row>
    <row r="5063" spans="1:4" x14ac:dyDescent="0.2">
      <c r="A5063" s="5">
        <v>5002</v>
      </c>
      <c r="B5063" s="138">
        <f>'Revenues 9-14'!C7</f>
        <v>249962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17302016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272984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272984</v>
      </c>
      <c r="C5071" s="2" t="s">
        <v>593</v>
      </c>
      <c r="D5071" s="2" t="str">
        <f t="shared" si="78"/>
        <v>Error?</v>
      </c>
    </row>
    <row r="5072" spans="1:4" x14ac:dyDescent="0.2">
      <c r="A5072" s="5">
        <v>5011</v>
      </c>
      <c r="B5072" s="138">
        <f>'Revenues 9-14'!C20</f>
        <v>47281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68130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116236</v>
      </c>
      <c r="C5087" s="2" t="s">
        <v>593</v>
      </c>
      <c r="D5087" s="2" t="str">
        <f t="shared" si="78"/>
        <v>Error?</v>
      </c>
    </row>
    <row r="5088" spans="1:4" x14ac:dyDescent="0.2">
      <c r="A5088" s="5">
        <v>5027</v>
      </c>
      <c r="B5088" s="138">
        <f>'Revenues 9-14'!C65</f>
        <v>195199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195199</v>
      </c>
      <c r="C5090" s="2" t="s">
        <v>593</v>
      </c>
      <c r="D5090" s="2" t="str">
        <f t="shared" si="78"/>
        <v>Error?</v>
      </c>
    </row>
    <row r="5091" spans="1:4" x14ac:dyDescent="0.2">
      <c r="A5091" s="5">
        <v>5030</v>
      </c>
      <c r="B5091" s="138">
        <f>'Revenues 9-14'!C70</f>
        <v>1430</v>
      </c>
      <c r="D5091" s="2" t="str">
        <f t="shared" si="78"/>
        <v>Error?</v>
      </c>
    </row>
    <row r="5092" spans="1:4" x14ac:dyDescent="0.2">
      <c r="A5092" s="5">
        <v>5031</v>
      </c>
      <c r="B5092" s="138">
        <f>'Revenues 9-14'!C71</f>
        <v>64154</v>
      </c>
      <c r="D5092" s="2" t="str">
        <f t="shared" si="78"/>
        <v>Error?</v>
      </c>
    </row>
    <row r="5093" spans="1:4" x14ac:dyDescent="0.2">
      <c r="A5093" s="5">
        <v>5032</v>
      </c>
      <c r="B5093" s="138">
        <f>'Revenues 9-14'!C72</f>
        <v>11497</v>
      </c>
      <c r="D5093" s="2" t="str">
        <f t="shared" si="78"/>
        <v>Error?</v>
      </c>
    </row>
    <row r="5094" spans="1:4" x14ac:dyDescent="0.2">
      <c r="A5094" s="5">
        <v>5033</v>
      </c>
      <c r="B5094" s="138">
        <f>'Revenues 9-14'!C73</f>
        <v>6976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388216</v>
      </c>
      <c r="C5096" s="2" t="s">
        <v>593</v>
      </c>
      <c r="D5096" s="2" t="str">
        <f t="shared" si="78"/>
        <v>Error?</v>
      </c>
    </row>
    <row r="5097" spans="1:4" x14ac:dyDescent="0.2">
      <c r="A5097" s="5">
        <v>5036</v>
      </c>
      <c r="B5097" s="138">
        <f>'Revenues 9-14'!C77</f>
        <v>2461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54350</v>
      </c>
      <c r="D5099" s="2" t="str">
        <f t="shared" si="78"/>
        <v>Error?</v>
      </c>
    </row>
    <row r="5100" spans="1:4" x14ac:dyDescent="0.2">
      <c r="A5100" s="5">
        <v>5039</v>
      </c>
      <c r="B5100" s="138">
        <f>'Revenues 9-14'!C80</f>
        <v>8376</v>
      </c>
      <c r="D5100" s="2" t="str">
        <f t="shared" si="78"/>
        <v>Error?</v>
      </c>
    </row>
    <row r="5101" spans="1:4" x14ac:dyDescent="0.2">
      <c r="A5101" s="5">
        <v>5040</v>
      </c>
      <c r="B5101" s="138">
        <f>'Revenues 9-14'!C81</f>
        <v>3685</v>
      </c>
      <c r="D5101" s="2" t="str">
        <f t="shared" si="78"/>
        <v>Error?</v>
      </c>
    </row>
    <row r="5102" spans="1:4" x14ac:dyDescent="0.2">
      <c r="A5102" s="5">
        <v>5041</v>
      </c>
      <c r="B5102" s="138">
        <f>'Revenues 9-14'!C82</f>
        <v>68872</v>
      </c>
      <c r="C5102" s="2" t="s">
        <v>593</v>
      </c>
      <c r="D5102" s="2" t="str">
        <f t="shared" si="78"/>
        <v>Error?</v>
      </c>
    </row>
    <row r="5103" spans="1:4" x14ac:dyDescent="0.2">
      <c r="A5103" s="5">
        <v>5042</v>
      </c>
      <c r="B5103" s="138">
        <f>'Revenues 9-14'!C84</f>
        <v>337062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4490</v>
      </c>
      <c r="D5111" s="2" t="str">
        <f t="shared" si="78"/>
        <v>Error?</v>
      </c>
    </row>
    <row r="5112" spans="1:4" x14ac:dyDescent="0.2">
      <c r="A5112" s="5">
        <v>5051</v>
      </c>
      <c r="B5112" s="138">
        <f>'Revenues 9-14'!C93</f>
        <v>341552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108449</v>
      </c>
      <c r="D5119" s="2" t="str">
        <f t="shared" ref="D5119:D5182" si="79">IF(ISBLANK(B5119),"OK",IF(A5119-B5119=0,"OK","Error?"))</f>
        <v>Error?</v>
      </c>
    </row>
    <row r="5120" spans="1:4" x14ac:dyDescent="0.2">
      <c r="A5120" s="5">
        <v>5059</v>
      </c>
      <c r="B5120" s="138">
        <f>'Revenues 9-14'!C108</f>
        <v>108449</v>
      </c>
      <c r="C5120" s="2" t="s">
        <v>593</v>
      </c>
      <c r="D5120" s="2" t="str">
        <f t="shared" si="79"/>
        <v>Error?</v>
      </c>
    </row>
    <row r="5121" spans="1:4" x14ac:dyDescent="0.2">
      <c r="A5121" s="5">
        <v>5060</v>
      </c>
      <c r="B5121" s="138">
        <f>'Revenues 9-14'!C109</f>
        <v>18793524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1663221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1663221</v>
      </c>
      <c r="C5132" s="2" t="s">
        <v>593</v>
      </c>
      <c r="D5132" s="2" t="str">
        <f t="shared" si="79"/>
        <v>Error?</v>
      </c>
    </row>
    <row r="5133" spans="1:4" x14ac:dyDescent="0.2">
      <c r="A5133" s="5">
        <v>5072</v>
      </c>
      <c r="B5133" s="138">
        <f>'Revenues 9-14'!C124</f>
        <v>79517</v>
      </c>
      <c r="D5133" s="2" t="str">
        <f t="shared" si="79"/>
        <v>Error?</v>
      </c>
    </row>
    <row r="5134" spans="1:4" x14ac:dyDescent="0.2">
      <c r="A5134" s="5">
        <v>5073</v>
      </c>
      <c r="B5134" s="138">
        <f>'Revenues 9-14'!C125</f>
        <v>74935</v>
      </c>
      <c r="D5134" s="2" t="str">
        <f t="shared" si="79"/>
        <v>Error?</v>
      </c>
    </row>
    <row r="5135" spans="1:4" x14ac:dyDescent="0.2">
      <c r="A5135" s="5">
        <v>5074</v>
      </c>
      <c r="B5135" s="138">
        <f>'Revenues 9-14'!C126</f>
        <v>204624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359076</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48005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48005</v>
      </c>
      <c r="C5165" s="2" t="s">
        <v>593</v>
      </c>
      <c r="D5165" s="2" t="str">
        <f t="shared" si="79"/>
        <v>Error?</v>
      </c>
    </row>
    <row r="5166" spans="1:4" x14ac:dyDescent="0.2">
      <c r="A5166" s="10">
        <v>5105</v>
      </c>
      <c r="D5166" s="2" t="str">
        <f t="shared" si="79"/>
        <v>OK</v>
      </c>
    </row>
    <row r="5167" spans="1:4" x14ac:dyDescent="0.2">
      <c r="A5167" s="5">
        <v>5106</v>
      </c>
      <c r="B5167" s="138">
        <f>'Revenues 9-14'!C145</f>
        <v>2459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417757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2080978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259266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18349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277615</v>
      </c>
      <c r="C5246" s="2" t="s">
        <v>593</v>
      </c>
      <c r="D5246" s="2" t="str">
        <f t="shared" si="80"/>
        <v>Error?</v>
      </c>
    </row>
    <row r="5247" spans="1:4" x14ac:dyDescent="0.2">
      <c r="A5247" s="5">
        <v>5186</v>
      </c>
      <c r="B5247" s="138">
        <f>'Revenues 9-14'!C203</f>
        <v>123380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123380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89895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654101</v>
      </c>
      <c r="D5278" s="2" t="str">
        <f t="shared" si="81"/>
        <v>Error?</v>
      </c>
    </row>
    <row r="5279" spans="1:4" x14ac:dyDescent="0.2">
      <c r="A5279" s="5">
        <v>5218</v>
      </c>
      <c r="B5279" s="138">
        <f>'Revenues 9-14'!C221</f>
        <v>54602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798598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1336606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1336606</v>
      </c>
      <c r="C5326" s="2" t="s">
        <v>593</v>
      </c>
      <c r="D5326" s="2" t="str">
        <f t="shared" si="82"/>
        <v>Error?</v>
      </c>
    </row>
    <row r="5327" spans="1:4" x14ac:dyDescent="0.2">
      <c r="A5327" s="5">
        <v>5266</v>
      </c>
      <c r="B5327" s="138">
        <f>'Revenues 9-14'!C275</f>
        <v>22211108</v>
      </c>
      <c r="C5327" s="2" t="s">
        <v>593</v>
      </c>
      <c r="D5327" s="2" t="str">
        <f t="shared" si="82"/>
        <v>Error?</v>
      </c>
    </row>
    <row r="5328" spans="1:4" x14ac:dyDescent="0.2">
      <c r="A5328" s="5">
        <v>5267</v>
      </c>
      <c r="B5328" s="138">
        <f>'Revenues 9-14'!D5</f>
        <v>1905366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1905366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242272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84862</v>
      </c>
      <c r="D5354" s="2" t="str">
        <f t="shared" si="82"/>
        <v>Error?</v>
      </c>
    </row>
    <row r="5355" spans="1:4" x14ac:dyDescent="0.2">
      <c r="A5355" s="5">
        <v>5294</v>
      </c>
      <c r="B5355" s="138">
        <f>'Revenues 9-14'!D108</f>
        <v>327134</v>
      </c>
      <c r="C5355" s="2" t="s">
        <v>593</v>
      </c>
      <c r="D5355" s="2" t="str">
        <f t="shared" si="82"/>
        <v>Error?</v>
      </c>
    </row>
    <row r="5356" spans="1:4" x14ac:dyDescent="0.2">
      <c r="A5356" s="5">
        <v>5295</v>
      </c>
      <c r="B5356" s="138">
        <f>'Revenues 9-14'!D109</f>
        <v>2232592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2232592</v>
      </c>
      <c r="C5508" s="2" t="s">
        <v>593</v>
      </c>
      <c r="D5508" s="2" t="str">
        <f t="shared" si="85"/>
        <v>Error?</v>
      </c>
    </row>
    <row r="5509" spans="1:4" x14ac:dyDescent="0.2">
      <c r="A5509" s="5">
        <v>5448</v>
      </c>
      <c r="B5509" s="138">
        <f>'Revenues 9-14'!E5</f>
        <v>3406183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3406183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20528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20528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3426711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3426711</v>
      </c>
      <c r="C5552" s="2" t="s">
        <v>593</v>
      </c>
      <c r="D5552" s="2" t="str">
        <f t="shared" si="85"/>
        <v>Error?</v>
      </c>
    </row>
    <row r="5553" spans="1:4" x14ac:dyDescent="0.2">
      <c r="A5553" s="5">
        <v>5492</v>
      </c>
      <c r="B5553" s="138">
        <f>'Revenues 9-14'!F5</f>
        <v>1038459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1038459</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2717</v>
      </c>
      <c r="D5586" s="2" t="str">
        <f t="shared" si="86"/>
        <v>Error?</v>
      </c>
    </row>
    <row r="5587" spans="1:4" x14ac:dyDescent="0.2">
      <c r="A5587" s="5">
        <v>5526</v>
      </c>
      <c r="B5587" s="138">
        <f>'Revenues 9-14'!F108</f>
        <v>2717</v>
      </c>
      <c r="C5587" s="2" t="s">
        <v>593</v>
      </c>
      <c r="D5587" s="2" t="str">
        <f t="shared" si="86"/>
        <v>Error?</v>
      </c>
    </row>
    <row r="5588" spans="1:4" x14ac:dyDescent="0.2">
      <c r="A5588" s="5">
        <v>5527</v>
      </c>
      <c r="B5588" s="138">
        <f>'Revenues 9-14'!F109</f>
        <v>1041229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129331</v>
      </c>
      <c r="D5615" s="2" t="str">
        <f t="shared" si="86"/>
        <v>Error?</v>
      </c>
    </row>
    <row r="5616" spans="1:4" x14ac:dyDescent="0.2">
      <c r="A5616" s="10">
        <v>5555</v>
      </c>
      <c r="D5616" s="2" t="str">
        <f t="shared" si="86"/>
        <v>OK</v>
      </c>
    </row>
    <row r="5617" spans="1:4" x14ac:dyDescent="0.2">
      <c r="A5617" s="5">
        <v>5556</v>
      </c>
      <c r="B5617" s="138">
        <f>'Revenues 9-14'!F152</f>
        <v>530228</v>
      </c>
      <c r="D5617" s="2" t="str">
        <f t="shared" si="86"/>
        <v>Error?</v>
      </c>
    </row>
    <row r="5618" spans="1:4" x14ac:dyDescent="0.2">
      <c r="A5618" s="5">
        <v>5557</v>
      </c>
      <c r="B5618" s="138">
        <f>'Revenues 9-14'!F154</f>
        <v>659559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659559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659559</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1700788</v>
      </c>
      <c r="C5720" s="2" t="s">
        <v>593</v>
      </c>
      <c r="D5720" s="2" t="str">
        <f t="shared" si="88"/>
        <v>Error?</v>
      </c>
    </row>
    <row r="5721" spans="1:4" x14ac:dyDescent="0.2">
      <c r="A5721" s="5">
        <v>5660</v>
      </c>
      <c r="B5721" s="138">
        <f>'Revenues 9-14'!G5</f>
        <v>448695</v>
      </c>
      <c r="D5721" s="2" t="str">
        <f t="shared" si="88"/>
        <v>Error?</v>
      </c>
    </row>
    <row r="5722" spans="1:4" x14ac:dyDescent="0.2">
      <c r="A5722" s="5">
        <v>5661</v>
      </c>
      <c r="B5722" s="138">
        <f>'Revenues 9-14'!G7</f>
        <v>0</v>
      </c>
      <c r="D5722" s="2" t="str">
        <f t="shared" si="88"/>
        <v>Error?</v>
      </c>
    </row>
    <row r="5723" spans="1:4" x14ac:dyDescent="0.2">
      <c r="A5723" s="5">
        <v>5662</v>
      </c>
      <c r="B5723" s="138">
        <f>'Revenues 9-14'!G8</f>
        <v>468883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917578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917622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11912</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11912</v>
      </c>
      <c r="C5886" s="2" t="s">
        <v>593</v>
      </c>
      <c r="D5886" s="2" t="str">
        <f t="shared" si="90"/>
        <v>Error?</v>
      </c>
    </row>
    <row r="5887" spans="1:4" x14ac:dyDescent="0.2">
      <c r="A5887" s="5">
        <v>5826</v>
      </c>
      <c r="B5887" s="138">
        <f>'Revenues 9-14'!H117</f>
        <v>1460000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1460000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1460000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1471912</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917622</v>
      </c>
      <c r="C6024" s="2" t="s">
        <v>593</v>
      </c>
      <c r="D6024" s="2" t="str">
        <f t="shared" si="93"/>
        <v>Error?</v>
      </c>
    </row>
    <row r="6025" spans="1:5" x14ac:dyDescent="0.2">
      <c r="A6025" s="5">
        <v>5964</v>
      </c>
      <c r="B6025" s="138">
        <f>'Revenues 9-14'!H109</f>
        <v>11912</v>
      </c>
      <c r="C6025" s="2" t="s">
        <v>593</v>
      </c>
      <c r="D6025" s="2" t="str">
        <f t="shared" si="93"/>
        <v>Error?</v>
      </c>
    </row>
    <row r="6026" spans="1:5" x14ac:dyDescent="0.2">
      <c r="A6026" s="5">
        <v>5965</v>
      </c>
      <c r="B6026" s="138">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304159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42026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2262.7399999999998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636239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3641</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283</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358264</v>
      </c>
      <c r="D6113" s="2" t="str">
        <f t="shared" si="94"/>
        <v>Error?</v>
      </c>
      <c r="E6113" s="2" t="s">
        <v>199</v>
      </c>
    </row>
    <row r="6114" spans="1:5" x14ac:dyDescent="0.2">
      <c r="A6114">
        <v>6053</v>
      </c>
      <c r="B6114" s="138">
        <f>'Assets-Liab 5-6'!D11</f>
        <v>9092</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351754</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1227097</v>
      </c>
      <c r="D6142" s="2" t="str">
        <f t="shared" si="94"/>
        <v>Error?</v>
      </c>
      <c r="E6142" s="2" t="s">
        <v>199</v>
      </c>
    </row>
    <row r="6143" spans="1:5" x14ac:dyDescent="0.2">
      <c r="A6143">
        <v>6082</v>
      </c>
      <c r="B6143" s="138">
        <f>'Assets-Liab 5-6'!D27</f>
        <v>116166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6666</v>
      </c>
      <c r="D6145" s="2" t="str">
        <f t="shared" si="95"/>
        <v>Error?</v>
      </c>
      <c r="E6145" s="2" t="s">
        <v>199</v>
      </c>
    </row>
    <row r="6146" spans="1:5" x14ac:dyDescent="0.2">
      <c r="A6146">
        <v>6085</v>
      </c>
      <c r="B6146" s="138">
        <f>'Assets-Liab 5-6'!G27</f>
        <v>47376</v>
      </c>
      <c r="D6146" s="2" t="str">
        <f t="shared" si="95"/>
        <v>Error?</v>
      </c>
      <c r="E6146" s="2" t="s">
        <v>199</v>
      </c>
    </row>
    <row r="6147" spans="1:5" x14ac:dyDescent="0.2">
      <c r="A6147">
        <v>6086</v>
      </c>
      <c r="B6147" s="138">
        <f>'Assets-Liab 5-6'!H27</f>
        <v>1523545</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-2630860</v>
      </c>
      <c r="D6267" s="2" t="str">
        <f t="shared" si="96"/>
        <v>Error?</v>
      </c>
      <c r="E6267" s="2" t="s">
        <v>199</v>
      </c>
    </row>
    <row r="6268" spans="1:5" x14ac:dyDescent="0.2">
      <c r="A6268">
        <v>6207</v>
      </c>
      <c r="B6268" s="138">
        <f>'Acct Summary 7-8'!D82</f>
        <v>534358</v>
      </c>
      <c r="D6268" s="2" t="str">
        <f t="shared" si="96"/>
        <v>Error?</v>
      </c>
      <c r="E6268" s="2" t="s">
        <v>199</v>
      </c>
    </row>
    <row r="6269" spans="1:5" x14ac:dyDescent="0.2">
      <c r="A6269">
        <v>6208</v>
      </c>
      <c r="B6269" s="138">
        <f>'Acct Summary 7-8'!E82</f>
        <v>-324708</v>
      </c>
      <c r="D6269" s="2" t="str">
        <f t="shared" si="96"/>
        <v>Error?</v>
      </c>
      <c r="E6269" s="2" t="s">
        <v>199</v>
      </c>
    </row>
    <row r="6270" spans="1:5" x14ac:dyDescent="0.2">
      <c r="A6270">
        <v>6209</v>
      </c>
      <c r="B6270" s="138">
        <f>'Acct Summary 7-8'!F82</f>
        <v>205029</v>
      </c>
      <c r="D6270" s="2" t="str">
        <f t="shared" si="96"/>
        <v>Error?</v>
      </c>
      <c r="E6270" s="2" t="s">
        <v>199</v>
      </c>
    </row>
    <row r="6271" spans="1:5" x14ac:dyDescent="0.2">
      <c r="A6271">
        <v>6210</v>
      </c>
      <c r="B6271" s="138">
        <f>'Acct Summary 7-8'!G82</f>
        <v>120212</v>
      </c>
      <c r="D6271" s="2" t="str">
        <f t="shared" ref="D6271:D6334" si="97">IF(ISBLANK(B6271),"OK",IF(A6271-B6271=0,"OK","Error?"))</f>
        <v>Error?</v>
      </c>
      <c r="E6271" s="2" t="s">
        <v>199</v>
      </c>
    </row>
    <row r="6272" spans="1:5" x14ac:dyDescent="0.2">
      <c r="A6272">
        <v>6211</v>
      </c>
      <c r="B6272" s="138">
        <f>'Acct Summary 7-8'!H82</f>
        <v>268946</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-0.61888346634586211</v>
      </c>
      <c r="D6276" s="2" t="str">
        <f t="shared" si="97"/>
        <v>Error?</v>
      </c>
      <c r="E6276" s="2" t="s">
        <v>199</v>
      </c>
    </row>
    <row r="6277" spans="1:5" x14ac:dyDescent="0.2">
      <c r="A6277">
        <v>6216</v>
      </c>
      <c r="B6277" s="138">
        <f>'Acct Summary 7-8'!D83</f>
        <v>0.25278755188370861</v>
      </c>
      <c r="D6277" s="2" t="str">
        <f t="shared" si="97"/>
        <v>Error?</v>
      </c>
      <c r="E6277" s="2" t="s">
        <v>199</v>
      </c>
    </row>
    <row r="6278" spans="1:5" x14ac:dyDescent="0.2">
      <c r="A6278">
        <v>6217</v>
      </c>
      <c r="B6278" s="138">
        <f>'Acct Summary 7-8'!E83</f>
        <v>-0.32786070857364419</v>
      </c>
      <c r="D6278" s="2" t="str">
        <f t="shared" si="97"/>
        <v>Error?</v>
      </c>
      <c r="E6278" s="2" t="s">
        <v>199</v>
      </c>
    </row>
    <row r="6279" spans="1:5" x14ac:dyDescent="0.2">
      <c r="A6279">
        <v>6218</v>
      </c>
      <c r="B6279" s="138">
        <f>'Acct Summary 7-8'!F83</f>
        <v>9.4331479943593158E-2</v>
      </c>
      <c r="D6279" s="2" t="str">
        <f t="shared" si="97"/>
        <v>Error?</v>
      </c>
      <c r="E6279" s="2" t="s">
        <v>199</v>
      </c>
    </row>
    <row r="6280" spans="1:5" x14ac:dyDescent="0.2">
      <c r="A6280">
        <v>6219</v>
      </c>
      <c r="B6280" s="138">
        <f>'Acct Summary 7-8'!G83</f>
        <v>0.1619206560229953</v>
      </c>
      <c r="D6280" s="2" t="str">
        <f t="shared" si="97"/>
        <v>Error?</v>
      </c>
      <c r="E6280" s="2" t="s">
        <v>199</v>
      </c>
    </row>
    <row r="6281" spans="1:5" x14ac:dyDescent="0.2">
      <c r="A6281">
        <v>6220</v>
      </c>
      <c r="B6281" s="138">
        <f>'Acct Summary 7-8'!H83</f>
        <v>0.16938364722835234</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3996535</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8217</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54544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58523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437597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417982</v>
      </c>
      <c r="D6880" s="2" t="str">
        <f t="shared" si="106"/>
        <v>Error?</v>
      </c>
    </row>
    <row r="6881" spans="1:4" x14ac:dyDescent="0.2">
      <c r="A6881">
        <v>6820</v>
      </c>
      <c r="B6881" s="138">
        <f>'Expenditures 15-22'!K22</f>
        <v>417982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1883</v>
      </c>
      <c r="D6896" s="2" t="str">
        <f t="shared" si="106"/>
        <v>Error?</v>
      </c>
    </row>
    <row r="6897" spans="1:4" x14ac:dyDescent="0.2">
      <c r="A6897">
        <v>6836</v>
      </c>
      <c r="B6897" s="138">
        <f>'Expenditures 15-22'!K30</f>
        <v>1883</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320030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320030</v>
      </c>
      <c r="D6940" s="2" t="str">
        <f t="shared" si="107"/>
        <v>Error?</v>
      </c>
    </row>
    <row r="6941" spans="1:4" x14ac:dyDescent="0.2">
      <c r="A6941">
        <v>6880</v>
      </c>
      <c r="B6941" s="138">
        <f>'Expenditures 15-22'!L52</f>
        <v>318214</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176011</v>
      </c>
      <c r="D6983" s="2" t="str">
        <f t="shared" si="108"/>
        <v>Error?</v>
      </c>
    </row>
    <row r="6984" spans="1:4" x14ac:dyDescent="0.2">
      <c r="A6984">
        <v>6923</v>
      </c>
      <c r="B6984" s="138">
        <f>'Expenditures 15-22'!K86</f>
        <v>176011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176011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20972</v>
      </c>
      <c r="D7075" s="2" t="str">
        <f t="shared" si="109"/>
        <v>Error?</v>
      </c>
    </row>
    <row r="7076" spans="1:4" x14ac:dyDescent="0.2">
      <c r="A7076">
        <v>7015</v>
      </c>
      <c r="B7076" s="138">
        <f>'Expenditures 15-22'!K218</f>
        <v>20972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3979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390166</v>
      </c>
      <c r="D7251" s="2" t="str">
        <f t="shared" si="112"/>
        <v>Error?</v>
      </c>
    </row>
    <row r="7252" spans="1:4" x14ac:dyDescent="0.2">
      <c r="A7252">
        <f t="shared" si="113"/>
        <v>7191</v>
      </c>
      <c r="B7252" s="138">
        <f>'Expenditures 15-22'!D9</f>
        <v>46745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686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1328185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3996535</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250261</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1018636</v>
      </c>
      <c r="D7759" s="2" t="str">
        <f t="shared" si="127"/>
        <v>Error?</v>
      </c>
      <c r="E7759" s="4" t="s">
        <v>1399</v>
      </c>
    </row>
    <row r="7760" spans="1:6" x14ac:dyDescent="0.2">
      <c r="A7760">
        <v>7699</v>
      </c>
      <c r="B7760" s="138">
        <f>'Aud Quest 2'!J90</f>
        <v>1018637</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2435773</v>
      </c>
      <c r="D7797" s="2" t="str">
        <f t="shared" si="127"/>
        <v>Error?</v>
      </c>
      <c r="E7797" s="4" t="s">
        <v>2019</v>
      </c>
    </row>
    <row r="7798" spans="1:5" x14ac:dyDescent="0.2">
      <c r="A7798">
        <v>7737</v>
      </c>
      <c r="B7798" s="138">
        <f>'Contracts Paid in CY 29'!F141</f>
        <v>575000</v>
      </c>
      <c r="D7798" s="2" t="str">
        <f t="shared" si="127"/>
        <v>Error?</v>
      </c>
      <c r="E7798" s="4" t="s">
        <v>2019</v>
      </c>
    </row>
    <row r="7799" spans="1:5" x14ac:dyDescent="0.2">
      <c r="A7799">
        <v>7738</v>
      </c>
      <c r="B7799" s="138">
        <f>'Contracts Paid in CY 29'!G141</f>
        <v>1860773</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0" t="str">
        <f>COVER!A17</f>
        <v>Cary CCSD 26</v>
      </c>
      <c r="B7" s="2421"/>
      <c r="C7" s="2421"/>
      <c r="D7" s="2422"/>
      <c r="E7" s="2423">
        <f>COVER!A13</f>
        <v>44063026004</v>
      </c>
      <c r="F7" s="2424"/>
      <c r="G7" s="2430" t="str">
        <f>COVER!T23</f>
        <v>065-033233</v>
      </c>
      <c r="H7" s="2431"/>
      <c r="I7" s="2431"/>
      <c r="J7" s="2431"/>
      <c r="K7" s="2431"/>
      <c r="L7" s="2432"/>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3"/>
      <c r="B9" s="2434"/>
      <c r="C9" s="2434"/>
      <c r="D9" s="2434"/>
      <c r="E9" s="2434"/>
      <c r="F9" s="2435"/>
      <c r="G9" s="2404" t="str">
        <f>COVER!T13</f>
        <v>Lauterbach &amp; Amen, LLP</v>
      </c>
      <c r="H9" s="2436"/>
      <c r="I9" s="2436"/>
      <c r="J9" s="2436"/>
      <c r="K9" s="2436"/>
      <c r="L9" s="2437"/>
    </row>
    <row r="10" spans="1:29" ht="13.5" customHeight="1" x14ac:dyDescent="0.2">
      <c r="A10" s="2410" t="str">
        <f>COVER!A38</f>
        <v>Brian Coleman</v>
      </c>
      <c r="B10" s="2411"/>
      <c r="C10" s="2411"/>
      <c r="D10" s="2411"/>
      <c r="E10" s="2411"/>
      <c r="F10" s="2412"/>
      <c r="G10" s="2404" t="str">
        <f>COVER!T17</f>
        <v>668 N. River Road</v>
      </c>
      <c r="H10" s="2405"/>
      <c r="I10" s="2405"/>
      <c r="J10" s="2405"/>
      <c r="K10" s="2405"/>
      <c r="L10" s="2406"/>
    </row>
    <row r="11" spans="1:29" ht="13.5" customHeight="1" x14ac:dyDescent="0.2">
      <c r="A11" s="1185" t="s">
        <v>1598</v>
      </c>
      <c r="B11" s="1186"/>
      <c r="C11" s="1187"/>
      <c r="D11" s="1192"/>
      <c r="E11" s="1187"/>
      <c r="F11" s="1191"/>
      <c r="G11" s="2404" t="str">
        <f>COVER!T19</f>
        <v>Naperville</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mberan@lauterbachamen.com</v>
      </c>
      <c r="J13" s="2417"/>
      <c r="K13" s="2417"/>
      <c r="L13" s="2418"/>
    </row>
    <row r="14" spans="1:29" ht="13.5" customHeight="1" x14ac:dyDescent="0.2">
      <c r="A14" s="2404" t="str">
        <f>COVER!A19</f>
        <v>2155 Crystal Lake Road</v>
      </c>
      <c r="B14" s="2405"/>
      <c r="C14" s="2405"/>
      <c r="D14" s="2405"/>
      <c r="E14" s="2405"/>
      <c r="F14" s="2406"/>
      <c r="G14" s="1196" t="s">
        <v>1246</v>
      </c>
      <c r="H14" s="1194"/>
      <c r="I14" s="1194"/>
      <c r="J14" s="1194"/>
      <c r="K14" s="1194"/>
      <c r="L14" s="1195"/>
    </row>
    <row r="15" spans="1:29" ht="13.5" customHeight="1" x14ac:dyDescent="0.2">
      <c r="A15" s="2404" t="str">
        <f>COVER!A21</f>
        <v>Cary</v>
      </c>
      <c r="B15" s="2405"/>
      <c r="C15" s="2405"/>
      <c r="D15" s="2405"/>
      <c r="E15" s="2405"/>
      <c r="F15" s="2406"/>
      <c r="G15" s="2401" t="str">
        <f>COVER!T15</f>
        <v>Matt Beran</v>
      </c>
      <c r="H15" s="2402"/>
      <c r="I15" s="2402"/>
      <c r="J15" s="2402"/>
      <c r="K15" s="2402"/>
      <c r="L15" s="2403"/>
    </row>
    <row r="16" spans="1:29" ht="12.2" customHeight="1" x14ac:dyDescent="0.2">
      <c r="A16" s="2426">
        <f>COVER!A25</f>
        <v>60013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1245</v>
      </c>
      <c r="H17" s="1194"/>
      <c r="I17" s="1194"/>
      <c r="J17" s="1194"/>
      <c r="K17" s="1198" t="s">
        <v>1244</v>
      </c>
      <c r="L17" s="1191"/>
      <c r="M17" s="1184"/>
    </row>
    <row r="18" spans="1:13" ht="12.2" customHeight="1" x14ac:dyDescent="0.2">
      <c r="A18" s="2410"/>
      <c r="B18" s="2411"/>
      <c r="C18" s="2411"/>
      <c r="D18" s="2411"/>
      <c r="E18" s="2411"/>
      <c r="F18" s="2412"/>
      <c r="G18" s="2420" t="str">
        <f>COVER!T21</f>
        <v>630-393-1483</v>
      </c>
      <c r="H18" s="2421"/>
      <c r="I18" s="2421"/>
      <c r="J18" s="2421"/>
      <c r="K18" s="2420" t="str">
        <f>COVER!X21</f>
        <v>630-393-2516</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Cary CCSD 26</v>
      </c>
      <c r="B1" s="2419"/>
      <c r="C1" s="2419"/>
      <c r="D1" s="2419"/>
    </row>
    <row r="2" spans="1:11" s="1215" customFormat="1" ht="12.75" x14ac:dyDescent="0.2">
      <c r="A2" s="2443">
        <f>'Single Audit Cover'!E7</f>
        <v>44063026004</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Cary CCSD 26</v>
      </c>
      <c r="B1" s="2446"/>
      <c r="C1" s="2446"/>
      <c r="D1" s="2446"/>
      <c r="E1" s="2446"/>
    </row>
    <row r="2" spans="1:5" x14ac:dyDescent="0.2">
      <c r="A2" s="2447">
        <f>'Single Audit Cover'!E7</f>
        <v>44063026004</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1336606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42026</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-80329</v>
      </c>
    </row>
    <row r="19" spans="1:4" ht="13.5" thickBot="1" x14ac:dyDescent="0.25">
      <c r="A19" s="1265" t="s">
        <v>1296</v>
      </c>
      <c r="D19" s="1266">
        <f>SUM(D10:D17)</f>
        <v>1298303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1298303</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0</v>
      </c>
    </row>
    <row r="49" spans="2:4" x14ac:dyDescent="0.2">
      <c r="B49" s="1272" t="s">
        <v>1287</v>
      </c>
      <c r="C49" s="1272"/>
      <c r="D49" s="1273">
        <f>D32-D47</f>
        <v>1298303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Cary CCSD 26</v>
      </c>
      <c r="B1" s="2459"/>
      <c r="C1" s="2459"/>
      <c r="D1" s="2459"/>
      <c r="E1" s="2459"/>
      <c r="F1" s="2459"/>
    </row>
    <row r="2" spans="1:7" ht="13.5" customHeight="1" x14ac:dyDescent="0.2">
      <c r="A2" s="2460">
        <f>'Single Audit Cover'!E7</f>
        <v>44063026004</v>
      </c>
      <c r="B2" s="2460"/>
      <c r="C2" s="2460"/>
      <c r="D2" s="2460"/>
      <c r="E2" s="2460"/>
      <c r="F2" s="2460"/>
      <c r="G2" s="1275"/>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1831</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71" t="s">
        <v>1331</v>
      </c>
      <c r="D15" s="2456" t="s">
        <v>1330</v>
      </c>
      <c r="E15" s="2456"/>
      <c r="F15" s="2456"/>
    </row>
    <row r="16" spans="1:7" ht="13.5" customHeight="1" x14ac:dyDescent="0.2">
      <c r="A16" s="1282"/>
      <c r="B16" s="1276" t="s">
        <v>1329</v>
      </c>
      <c r="C16" s="1871" t="s">
        <v>1328</v>
      </c>
      <c r="D16" s="2457" t="s">
        <v>1669</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2" t="s">
        <v>1834</v>
      </c>
      <c r="B32" s="2452"/>
      <c r="C32" s="2452"/>
      <c r="D32" s="2452"/>
      <c r="E32" s="2452"/>
      <c r="F32" s="2452"/>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53">
        <f>+C33+C34</f>
        <v>0</v>
      </c>
      <c r="F34" s="2454"/>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Cary CCSD 26</v>
      </c>
      <c r="C1" s="2463"/>
      <c r="D1" s="2463"/>
      <c r="E1" s="2463"/>
      <c r="F1" s="2463"/>
      <c r="G1" s="2463"/>
      <c r="H1" s="2463"/>
      <c r="I1" s="2463"/>
      <c r="J1" s="2463"/>
      <c r="K1" s="2463"/>
      <c r="L1" s="2463"/>
      <c r="M1" s="2463"/>
    </row>
    <row r="2" spans="2:14" ht="15" x14ac:dyDescent="0.2">
      <c r="B2" s="2460">
        <f>'Single Audit Cover'!E7</f>
        <v>44063026004</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v>204624</v>
      </c>
      <c r="F88" s="276">
        <v>129331</v>
      </c>
      <c r="G88" s="276">
        <v>530228</v>
      </c>
      <c r="H88" s="276">
        <v>79517</v>
      </c>
      <c r="I88" s="276">
        <v>74936</v>
      </c>
      <c r="J88" s="277">
        <f>SUM(E88:I88)</f>
        <v>1018636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1018637</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Cary CCSD 26</v>
      </c>
      <c r="C1" s="2478"/>
      <c r="D1" s="2478"/>
      <c r="E1" s="2478"/>
      <c r="F1" s="2478"/>
      <c r="G1" s="2478"/>
      <c r="H1" s="2478"/>
      <c r="I1" s="2478"/>
      <c r="J1" s="1422"/>
    </row>
    <row r="2" spans="2:10" s="317" customFormat="1" ht="12.75" customHeight="1" x14ac:dyDescent="0.2">
      <c r="B2" s="2479">
        <f>'Single Audit Cover'!E7</f>
        <v>44063026004</v>
      </c>
      <c r="C2" s="2480"/>
      <c r="D2" s="2480"/>
      <c r="E2" s="2480"/>
      <c r="F2" s="2480"/>
      <c r="G2" s="2480"/>
      <c r="H2" s="2480"/>
      <c r="I2" s="2480"/>
      <c r="J2" s="1422"/>
    </row>
    <row r="3" spans="2:10" s="317" customFormat="1" ht="12.75" customHeight="1" x14ac:dyDescent="0.2">
      <c r="B3" s="2481" t="s">
        <v>1346</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1345</v>
      </c>
      <c r="C7" s="2482"/>
      <c r="D7" s="2482"/>
      <c r="E7" s="2482"/>
      <c r="F7" s="2482"/>
      <c r="G7" s="2482"/>
      <c r="H7" s="2482"/>
      <c r="I7" s="2482"/>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3"/>
      <c r="D11" s="2483"/>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4"/>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1673</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2"/>
      <c r="F49" s="2472"/>
      <c r="G49" s="2472"/>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Cary CCSD 26</v>
      </c>
      <c r="C1" s="2477"/>
      <c r="D1" s="2477"/>
      <c r="E1" s="2477"/>
      <c r="F1" s="2477"/>
      <c r="G1" s="2477"/>
      <c r="H1" s="2477"/>
      <c r="I1" s="2477"/>
      <c r="J1" s="2477"/>
      <c r="K1" s="2477"/>
      <c r="L1" s="1374"/>
      <c r="M1" s="1374"/>
    </row>
    <row r="2" spans="1:13" ht="12" customHeight="1" x14ac:dyDescent="0.2">
      <c r="B2" s="2479">
        <f>'Single Audit Cover'!E7</f>
        <v>44063026004</v>
      </c>
      <c r="C2" s="2479"/>
      <c r="D2" s="2479"/>
      <c r="E2" s="2479"/>
      <c r="F2" s="2479"/>
      <c r="G2" s="2479"/>
      <c r="H2" s="2479"/>
      <c r="I2" s="2479"/>
      <c r="J2" s="2479"/>
      <c r="K2" s="2479"/>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Cary CCSD 26</v>
      </c>
      <c r="C1" s="2500"/>
      <c r="D1" s="2500"/>
      <c r="E1" s="2500"/>
      <c r="F1" s="2500"/>
      <c r="G1" s="2500"/>
      <c r="H1" s="2500"/>
      <c r="I1" s="2500"/>
      <c r="J1" s="2500"/>
      <c r="K1" s="2500"/>
      <c r="L1" s="1465"/>
    </row>
    <row r="2" spans="1:12" ht="12.75" customHeight="1" x14ac:dyDescent="0.2">
      <c r="B2" s="2501">
        <f>'Single Audit Cover'!E7</f>
        <v>44063026004</v>
      </c>
      <c r="C2" s="2501"/>
      <c r="D2" s="2501"/>
      <c r="E2" s="2501"/>
      <c r="F2" s="2501"/>
      <c r="G2" s="2501"/>
      <c r="H2" s="2501"/>
      <c r="I2" s="2501"/>
      <c r="J2" s="2501"/>
      <c r="K2" s="2501"/>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7"/>
      <c r="E14" s="2497"/>
      <c r="F14" s="2497"/>
      <c r="H14" s="1475" t="s">
        <v>1369</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8"/>
      <c r="E16" s="2498"/>
      <c r="F16" s="2498"/>
      <c r="G16" s="2498"/>
      <c r="H16" s="2498"/>
      <c r="I16" s="2498"/>
      <c r="J16" s="2498"/>
      <c r="K16" s="2498"/>
      <c r="L16" s="322"/>
    </row>
    <row r="17" spans="2:12" ht="13.5" customHeight="1" x14ac:dyDescent="0.2">
      <c r="B17" s="1387" t="s">
        <v>1367</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Cary CCSD 26</v>
      </c>
      <c r="C1" s="2477"/>
      <c r="D1" s="2477"/>
      <c r="E1" s="1491"/>
    </row>
    <row r="2" spans="2:5" s="1282" customFormat="1" ht="12.75" customHeight="1" x14ac:dyDescent="0.2">
      <c r="B2" s="2479">
        <f>'Single Audit Cover'!E7</f>
        <v>44063026004</v>
      </c>
      <c r="C2" s="2479"/>
      <c r="D2" s="2479"/>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608994276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2.8670000000000001E-2</v>
      </c>
      <c r="E10" s="356" t="s">
        <v>1061</v>
      </c>
      <c r="F10" s="355">
        <v>3.19E-4</v>
      </c>
      <c r="G10" s="356" t="s">
        <v>1061</v>
      </c>
      <c r="H10" s="355">
        <v>1.753E-3</v>
      </c>
      <c r="I10" s="356" t="s">
        <v>1062</v>
      </c>
      <c r="J10" s="1754">
        <f>ROUND(D10+F10+H10,5)</f>
        <v>3.074E-2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26144488</v>
      </c>
      <c r="E16" s="356"/>
      <c r="F16" s="1755">
        <f>SUM('Acct Summary 7-8'!C17,'Acct Summary 7-8'!D17,'Acct Summary 7-8'!F17)</f>
        <v>24039426</v>
      </c>
      <c r="G16" s="356"/>
      <c r="H16" s="1755">
        <f>SUM(D16-F16)</f>
        <v>2105062</v>
      </c>
      <c r="I16" s="222"/>
      <c r="J16" s="1755">
        <f>SUM('Acct Summary 7-8'!C81,'Acct Summary 7-8'!D81,'Acct Summary 7-8'!F81,'Acct Summary 7-8'!I81)</f>
        <v>8941531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42020605.044000007</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21960000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Cary CCSD 26</v>
      </c>
      <c r="E7" s="391"/>
      <c r="G7" s="252"/>
      <c r="H7" s="387"/>
      <c r="I7" s="387"/>
      <c r="J7" s="387"/>
      <c r="K7" s="387"/>
      <c r="L7" s="329"/>
      <c r="M7" s="329"/>
      <c r="N7" s="329"/>
      <c r="O7" s="329"/>
      <c r="P7" s="329"/>
    </row>
    <row r="8" spans="1:18" ht="12.75" x14ac:dyDescent="0.2">
      <c r="A8" s="329"/>
      <c r="B8" s="329"/>
      <c r="C8" s="389" t="s">
        <v>1186</v>
      </c>
      <c r="D8" s="392">
        <f>COVER!A13</f>
        <v>44063026004</v>
      </c>
      <c r="E8" s="393"/>
      <c r="G8" s="329"/>
      <c r="H8" s="329"/>
      <c r="I8" s="329"/>
      <c r="J8" s="329"/>
      <c r="K8" s="329"/>
      <c r="L8" s="329"/>
      <c r="M8" s="329"/>
      <c r="N8" s="329"/>
      <c r="O8" s="329"/>
      <c r="P8" s="329"/>
    </row>
    <row r="9" spans="1:18" ht="12.75" x14ac:dyDescent="0.2">
      <c r="A9" s="329"/>
      <c r="B9" s="329"/>
      <c r="C9" s="389" t="s">
        <v>736</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8941531</v>
      </c>
      <c r="I12" s="404"/>
      <c r="J12" s="404"/>
      <c r="K12" s="405">
        <f>TRUNC((H12/H13*100000),5)/100000</f>
        <v>0.34200444080000003</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26144488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24039426</v>
      </c>
      <c r="I17" s="404"/>
      <c r="J17" s="416"/>
      <c r="K17" s="405">
        <f>TRUNC((H17/H18*100000),5)/100000</f>
        <v>0.91948352550000001</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26144488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18765823</v>
      </c>
      <c r="I24" s="422"/>
      <c r="J24" s="422"/>
      <c r="K24" s="423">
        <f>TRUNC(((H24/H25*100000)/100000),2)</f>
        <v>281.02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66776.18333</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15912411.4376</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21960000</v>
      </c>
      <c r="I32" s="420"/>
      <c r="J32" s="420"/>
      <c r="K32" s="423">
        <f>TRUNC(100-((((H32/H33*100))*100)/100),2)</f>
        <v>47.73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42020605.044000007</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1" activePane="bottomLeft" state="frozen"/>
      <selection activeCell="A47" sqref="A47"/>
      <selection pane="bottomLeft" activeCell="H41" sqref="H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13053517</v>
      </c>
      <c r="D4" s="466">
        <v>3034544</v>
      </c>
      <c r="E4" s="466">
        <v>2255447</v>
      </c>
      <c r="F4" s="466">
        <v>2274566</v>
      </c>
      <c r="G4" s="466">
        <v>1215148</v>
      </c>
      <c r="H4" s="466">
        <v>3111337</v>
      </c>
      <c r="I4" s="466">
        <v>403196</v>
      </c>
      <c r="J4" s="467"/>
      <c r="K4" s="466"/>
      <c r="L4" s="466">
        <v>4520</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8160422</v>
      </c>
      <c r="D6" s="466">
        <v>895992</v>
      </c>
      <c r="E6" s="466">
        <v>1393161</v>
      </c>
      <c r="F6" s="466">
        <v>491647</v>
      </c>
      <c r="G6" s="471">
        <v>431916</v>
      </c>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636239</v>
      </c>
      <c r="D8" s="467"/>
      <c r="E8" s="467"/>
      <c r="F8" s="467"/>
      <c r="G8" s="478"/>
      <c r="H8" s="467"/>
      <c r="I8" s="474"/>
      <c r="J8" s="474"/>
      <c r="K8" s="479"/>
      <c r="L8" s="480"/>
      <c r="M8" s="468"/>
      <c r="N8" s="469"/>
    </row>
    <row r="9" spans="1:14" ht="13.5" customHeight="1" x14ac:dyDescent="0.2">
      <c r="A9" s="473" t="s">
        <v>287</v>
      </c>
      <c r="B9" s="470">
        <v>160</v>
      </c>
      <c r="C9" s="476">
        <v>3641</v>
      </c>
      <c r="D9" s="467"/>
      <c r="E9" s="467"/>
      <c r="F9" s="467">
        <v>283</v>
      </c>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358264</v>
      </c>
      <c r="D11" s="467">
        <v>9092</v>
      </c>
      <c r="E11" s="467"/>
      <c r="F11" s="467">
        <v>351754</v>
      </c>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22212083</v>
      </c>
      <c r="D13" s="1759">
        <f t="shared" ref="D13:L13" si="0">SUM(D4:D12)</f>
        <v>3939628</v>
      </c>
      <c r="E13" s="1759">
        <f t="shared" si="0"/>
        <v>3648608</v>
      </c>
      <c r="F13" s="1759">
        <f t="shared" si="0"/>
        <v>3118250</v>
      </c>
      <c r="G13" s="1759">
        <f t="shared" si="0"/>
        <v>1647064</v>
      </c>
      <c r="H13" s="1759">
        <f t="shared" si="0"/>
        <v>3111337</v>
      </c>
      <c r="I13" s="1759">
        <f t="shared" si="0"/>
        <v>403196</v>
      </c>
      <c r="J13" s="1759">
        <f t="shared" si="0"/>
        <v>0</v>
      </c>
      <c r="K13" s="1759">
        <f t="shared" si="0"/>
        <v>0</v>
      </c>
      <c r="L13" s="1759">
        <f t="shared" si="0"/>
        <v>4520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3546438</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f>
        <v>51067956</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2258320</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f>
        <v>1633441</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3052885</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990384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20969616</v>
      </c>
    </row>
    <row r="23" spans="1:14" ht="13.5" customHeight="1" thickBot="1" x14ac:dyDescent="0.25">
      <c r="A23" s="1758" t="s">
        <v>663</v>
      </c>
      <c r="B23" s="1763"/>
      <c r="C23" s="468"/>
      <c r="D23" s="468"/>
      <c r="E23" s="468"/>
      <c r="F23" s="468"/>
      <c r="G23" s="468"/>
      <c r="H23" s="468"/>
      <c r="I23" s="468"/>
      <c r="J23" s="468"/>
      <c r="K23" s="468"/>
      <c r="L23" s="468"/>
      <c r="M23" s="1710">
        <f>SUM(M15:M22)</f>
        <v>61559040</v>
      </c>
      <c r="N23" s="1710">
        <f>SUM(N21:N22)</f>
        <v>21960000</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1227097</v>
      </c>
      <c r="D27" s="467">
        <v>116166</v>
      </c>
      <c r="E27" s="467"/>
      <c r="F27" s="467">
        <v>6666</v>
      </c>
      <c r="G27" s="467">
        <v>47376</v>
      </c>
      <c r="H27" s="467">
        <v>1523545</v>
      </c>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1106074</v>
      </c>
      <c r="D31" s="467"/>
      <c r="E31" s="467"/>
      <c r="F31" s="466"/>
      <c r="G31" s="467">
        <v>33156</v>
      </c>
      <c r="H31" s="467"/>
      <c r="I31" s="467"/>
      <c r="J31" s="467"/>
      <c r="K31" s="467"/>
      <c r="L31" s="468"/>
      <c r="M31" s="468"/>
      <c r="N31" s="468"/>
    </row>
    <row r="32" spans="1:14" ht="13.5" customHeight="1" x14ac:dyDescent="0.2">
      <c r="A32" s="490" t="s">
        <v>672</v>
      </c>
      <c r="B32" s="491">
        <v>490</v>
      </c>
      <c r="C32" s="492">
        <f>57415+15570519</f>
        <v>15627934</v>
      </c>
      <c r="D32" s="492">
        <v>1709600</v>
      </c>
      <c r="E32" s="474">
        <v>2658224</v>
      </c>
      <c r="F32" s="474">
        <v>938089</v>
      </c>
      <c r="G32" s="474">
        <v>824119</v>
      </c>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4520</v>
      </c>
      <c r="M33" s="468"/>
      <c r="N33" s="469"/>
    </row>
    <row r="34" spans="1:14" ht="13.5" customHeight="1" thickBot="1" x14ac:dyDescent="0.25">
      <c r="A34" s="1760" t="s">
        <v>674</v>
      </c>
      <c r="B34" s="1761"/>
      <c r="C34" s="1762">
        <f>SUM(C25:C33)</f>
        <v>17961105</v>
      </c>
      <c r="D34" s="1762">
        <f t="shared" ref="D34:K34" si="1">SUM(D25:D33)</f>
        <v>1825766</v>
      </c>
      <c r="E34" s="1762">
        <f t="shared" si="1"/>
        <v>2658224</v>
      </c>
      <c r="F34" s="1762">
        <f t="shared" si="1"/>
        <v>944755</v>
      </c>
      <c r="G34" s="1762">
        <f t="shared" si="1"/>
        <v>904651</v>
      </c>
      <c r="H34" s="1762">
        <f t="shared" si="1"/>
        <v>1523545</v>
      </c>
      <c r="I34" s="1762">
        <f t="shared" si="1"/>
        <v>0</v>
      </c>
      <c r="J34" s="1762">
        <f t="shared" si="1"/>
        <v>0</v>
      </c>
      <c r="K34" s="1762">
        <f t="shared" si="1"/>
        <v>0</v>
      </c>
      <c r="L34" s="1743">
        <f>SUM(L33)</f>
        <v>4520</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21960000</v>
      </c>
    </row>
    <row r="37" spans="1:14" ht="13.5" thickBot="1" x14ac:dyDescent="0.25">
      <c r="A37" s="1758" t="s">
        <v>673</v>
      </c>
      <c r="B37" s="1763"/>
      <c r="C37" s="477"/>
      <c r="D37" s="477"/>
      <c r="E37" s="477"/>
      <c r="F37" s="477"/>
      <c r="G37" s="477"/>
      <c r="H37" s="477"/>
      <c r="I37" s="477"/>
      <c r="J37" s="477"/>
      <c r="K37" s="477"/>
      <c r="L37" s="480"/>
      <c r="M37" s="468"/>
      <c r="N37" s="1710">
        <f>SUM(N36:N36)</f>
        <v>21960000</v>
      </c>
    </row>
    <row r="38" spans="1:14" s="329" customFormat="1" ht="13.5" customHeight="1" thickTop="1" x14ac:dyDescent="0.2">
      <c r="A38" s="496" t="s">
        <v>439</v>
      </c>
      <c r="B38" s="483">
        <v>714</v>
      </c>
      <c r="C38" s="466">
        <v>358264</v>
      </c>
      <c r="D38" s="466">
        <v>2113862</v>
      </c>
      <c r="E38" s="466">
        <v>990384</v>
      </c>
      <c r="F38" s="466">
        <v>2173495</v>
      </c>
      <c r="G38" s="466">
        <v>742413</v>
      </c>
      <c r="H38" s="466">
        <v>1587792</v>
      </c>
      <c r="I38" s="466"/>
      <c r="J38" s="467"/>
      <c r="K38" s="466"/>
      <c r="L38" s="481"/>
      <c r="M38" s="497"/>
      <c r="N38" s="497"/>
    </row>
    <row r="39" spans="1:14" s="329" customFormat="1" ht="13.5" customHeight="1" x14ac:dyDescent="0.2">
      <c r="A39" s="496" t="s">
        <v>359</v>
      </c>
      <c r="B39" s="483">
        <v>730</v>
      </c>
      <c r="C39" s="466">
        <v>3892714</v>
      </c>
      <c r="D39" s="466"/>
      <c r="E39" s="466"/>
      <c r="F39" s="466"/>
      <c r="G39" s="466"/>
      <c r="H39" s="466"/>
      <c r="I39" s="466">
        <v>403196</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61559040</v>
      </c>
      <c r="N40" s="497"/>
    </row>
    <row r="41" spans="1:14" ht="13.5" customHeight="1" thickBot="1" x14ac:dyDescent="0.25">
      <c r="A41" s="1758" t="s">
        <v>675</v>
      </c>
      <c r="B41" s="1728"/>
      <c r="C41" s="1710">
        <f>(SUM(C34,C37,C38,C39))</f>
        <v>22212083</v>
      </c>
      <c r="D41" s="1710">
        <f t="shared" ref="D41:L41" si="2">SUM(D34,D37,D38:D39)</f>
        <v>3939628</v>
      </c>
      <c r="E41" s="1710">
        <f t="shared" si="2"/>
        <v>3648608</v>
      </c>
      <c r="F41" s="1710">
        <f t="shared" si="2"/>
        <v>3118250</v>
      </c>
      <c r="G41" s="1710">
        <f t="shared" si="2"/>
        <v>1647064</v>
      </c>
      <c r="H41" s="1710">
        <f t="shared" si="2"/>
        <v>3111337</v>
      </c>
      <c r="I41" s="1710">
        <f t="shared" si="2"/>
        <v>403196</v>
      </c>
      <c r="J41" s="1710">
        <f t="shared" si="2"/>
        <v>0</v>
      </c>
      <c r="K41" s="1710">
        <f t="shared" si="2"/>
        <v>0</v>
      </c>
      <c r="L41" s="1710">
        <f t="shared" si="2"/>
        <v>4520</v>
      </c>
      <c r="M41" s="1710">
        <f>SUM(M40)</f>
        <v>61559040</v>
      </c>
      <c r="N41" s="1710">
        <f>SUM(N37)</f>
        <v>21960000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74" activePane="bottomLeft" state="frozenSplit"/>
      <selection activeCell="A47" sqref="A47"/>
      <selection pane="bottomLeft" activeCell="K80" sqref="K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4" t="s">
        <v>1578</v>
      </c>
      <c r="B4" s="1955">
        <v>1000</v>
      </c>
      <c r="C4" s="1764">
        <f>'Revenues 9-14'!C109</f>
        <v>18793524</v>
      </c>
      <c r="D4" s="1764">
        <f>'Revenues 9-14'!D109</f>
        <v>2232592</v>
      </c>
      <c r="E4" s="1764">
        <f>'Revenues 9-14'!E109</f>
        <v>3426711</v>
      </c>
      <c r="F4" s="1764">
        <f>'Revenues 9-14'!F109</f>
        <v>1041229</v>
      </c>
      <c r="G4" s="1764">
        <f>'Revenues 9-14'!G109</f>
        <v>917622</v>
      </c>
      <c r="H4" s="1764">
        <f>'Revenues 9-14'!H109</f>
        <v>11912</v>
      </c>
      <c r="I4" s="1764">
        <f>'Revenues 9-14'!I109</f>
        <v>0</v>
      </c>
      <c r="J4" s="1764">
        <f>'Revenues 9-14'!J109</f>
        <v>0</v>
      </c>
      <c r="K4" s="1764">
        <f>'Revenues 9-14'!K109</f>
        <v>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2080978</v>
      </c>
      <c r="D6" s="1765">
        <f>'Revenues 9-14'!D173</f>
        <v>0</v>
      </c>
      <c r="E6" s="1765">
        <f>'Revenues 9-14'!E173</f>
        <v>0</v>
      </c>
      <c r="F6" s="1765">
        <f>'Revenues 9-14'!F173</f>
        <v>659559</v>
      </c>
      <c r="G6" s="1765">
        <f>'Revenues 9-14'!G173</f>
        <v>0</v>
      </c>
      <c r="H6" s="1765">
        <f>'Revenues 9-14'!H173</f>
        <v>1460000</v>
      </c>
      <c r="I6" s="1765">
        <f>'Revenues 9-14'!I173</f>
        <v>0</v>
      </c>
      <c r="J6" s="1765">
        <f>'Revenues 9-14'!J173</f>
        <v>0</v>
      </c>
      <c r="K6" s="1765">
        <f>'Revenues 9-14'!K173</f>
        <v>0</v>
      </c>
      <c r="L6" s="347"/>
      <c r="M6" s="513"/>
    </row>
    <row r="7" spans="1:13" ht="15.75" customHeight="1" x14ac:dyDescent="0.2">
      <c r="A7" s="1598" t="s">
        <v>1581</v>
      </c>
      <c r="B7" s="1600">
        <v>4000</v>
      </c>
      <c r="C7" s="1765">
        <f>'Revenues 9-14'!C274</f>
        <v>1336606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22211108</v>
      </c>
      <c r="D8" s="1710">
        <f t="shared" ref="D8:K8" si="0">SUM(D4:D7)</f>
        <v>2232592</v>
      </c>
      <c r="E8" s="1710">
        <f t="shared" si="0"/>
        <v>3426711</v>
      </c>
      <c r="F8" s="1710">
        <f t="shared" si="0"/>
        <v>1700788</v>
      </c>
      <c r="G8" s="1710">
        <f t="shared" si="0"/>
        <v>917622</v>
      </c>
      <c r="H8" s="1710">
        <f t="shared" si="0"/>
        <v>1471912</v>
      </c>
      <c r="I8" s="1710">
        <f t="shared" si="0"/>
        <v>0</v>
      </c>
      <c r="J8" s="1710">
        <f t="shared" si="0"/>
        <v>0</v>
      </c>
      <c r="K8" s="1710">
        <f t="shared" si="0"/>
        <v>0</v>
      </c>
      <c r="L8" s="347"/>
    </row>
    <row r="9" spans="1:13" ht="15.75" thickTop="1" x14ac:dyDescent="0.2">
      <c r="A9" s="514" t="s">
        <v>1751</v>
      </c>
      <c r="B9" s="515">
        <v>3998</v>
      </c>
      <c r="C9" s="481">
        <v>8865742</v>
      </c>
      <c r="D9" s="516"/>
      <c r="E9" s="481"/>
      <c r="F9" s="481"/>
      <c r="G9" s="517"/>
      <c r="H9" s="481"/>
      <c r="I9" s="509" t="s">
        <v>1230</v>
      </c>
      <c r="J9" s="478"/>
      <c r="K9" s="481"/>
      <c r="L9" s="347"/>
    </row>
    <row r="10" spans="1:13" s="519" customFormat="1" ht="13.5" thickBot="1" x14ac:dyDescent="0.25">
      <c r="A10" s="1758" t="s">
        <v>1234</v>
      </c>
      <c r="B10" s="1731"/>
      <c r="C10" s="1710">
        <f>SUM(C8:C9)</f>
        <v>31076850</v>
      </c>
      <c r="D10" s="1710">
        <f t="shared" ref="D10:K10" si="1">SUM(D8:D9)</f>
        <v>2232592</v>
      </c>
      <c r="E10" s="1710">
        <f t="shared" si="1"/>
        <v>3426711</v>
      </c>
      <c r="F10" s="1710">
        <f t="shared" si="1"/>
        <v>1700788</v>
      </c>
      <c r="G10" s="1710">
        <f t="shared" si="1"/>
        <v>917622</v>
      </c>
      <c r="H10" s="1710">
        <f t="shared" si="1"/>
        <v>1471912</v>
      </c>
      <c r="I10" s="1710">
        <f t="shared" si="1"/>
        <v>0</v>
      </c>
      <c r="J10" s="1710">
        <f t="shared" si="1"/>
        <v>0</v>
      </c>
      <c r="K10" s="1710">
        <f t="shared" si="1"/>
        <v>0</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12873160</v>
      </c>
      <c r="D12" s="520" t="s">
        <v>1230</v>
      </c>
      <c r="E12" s="468" t="s">
        <v>1230</v>
      </c>
      <c r="F12" s="468" t="s">
        <v>1230</v>
      </c>
      <c r="G12" s="1764">
        <f>'Expenditures 15-22'!K229</f>
        <v>318553</v>
      </c>
      <c r="H12" s="521"/>
      <c r="I12" s="468" t="s">
        <v>1230</v>
      </c>
      <c r="J12" s="468" t="s">
        <v>1230</v>
      </c>
      <c r="K12" s="521" t="s">
        <v>1230</v>
      </c>
      <c r="L12" s="347"/>
    </row>
    <row r="13" spans="1:13" ht="15.75" customHeight="1" x14ac:dyDescent="0.2">
      <c r="A13" s="1598" t="s">
        <v>476</v>
      </c>
      <c r="B13" s="1600">
        <v>2000</v>
      </c>
      <c r="C13" s="1765">
        <f>'Expenditures 15-22'!K74</f>
        <v>7104401</v>
      </c>
      <c r="D13" s="1765">
        <f>'Expenditures 15-22'!K129</f>
        <v>1698234</v>
      </c>
      <c r="E13" s="469" t="s">
        <v>1230</v>
      </c>
      <c r="F13" s="1765">
        <f>'Expenditures 15-22'!K184</f>
        <v>1495759</v>
      </c>
      <c r="G13" s="1765">
        <f>'Expenditures 15-22'!K279</f>
        <v>478843</v>
      </c>
      <c r="H13" s="1765">
        <f>'Expenditures 15-22'!K303</f>
        <v>4242966</v>
      </c>
      <c r="I13" s="468" t="s">
        <v>1230</v>
      </c>
      <c r="J13" s="1765">
        <f>'Expenditures 15-22'!K330</f>
        <v>0</v>
      </c>
      <c r="K13" s="1769">
        <f>'Expenditures 15-22'!K352</f>
        <v>0</v>
      </c>
      <c r="L13" s="347"/>
    </row>
    <row r="14" spans="1:13" ht="15.75" customHeight="1" x14ac:dyDescent="0.2">
      <c r="A14" s="1598" t="s">
        <v>468</v>
      </c>
      <c r="B14" s="1600">
        <v>3000</v>
      </c>
      <c r="C14" s="1765">
        <f>'Expenditures 15-22'!K75</f>
        <v>68132</v>
      </c>
      <c r="D14" s="1765">
        <f>'Expenditures 15-22'!K130</f>
        <v>0</v>
      </c>
      <c r="E14" s="520" t="s">
        <v>1230</v>
      </c>
      <c r="F14" s="1765">
        <f>'Expenditures 15-22'!K185</f>
        <v>0</v>
      </c>
      <c r="G14" s="1765">
        <f>'Expenditures 15-22'!K280</f>
        <v>14</v>
      </c>
      <c r="H14" s="512"/>
      <c r="I14" s="468" t="s">
        <v>1230</v>
      </c>
      <c r="J14" s="468" t="s">
        <v>1230</v>
      </c>
      <c r="K14" s="512" t="s">
        <v>1230</v>
      </c>
      <c r="L14" s="347"/>
    </row>
    <row r="15" spans="1:13" ht="15.75" customHeight="1" x14ac:dyDescent="0.2">
      <c r="A15" s="1598" t="s">
        <v>109</v>
      </c>
      <c r="B15" s="1600">
        <v>4000</v>
      </c>
      <c r="C15" s="1765">
        <f>'Expenditures 15-22'!K102</f>
        <v>799740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3751419</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20845433</v>
      </c>
      <c r="D17" s="1710">
        <f t="shared" si="2"/>
        <v>1698234</v>
      </c>
      <c r="E17" s="1710">
        <f t="shared" si="2"/>
        <v>3751419</v>
      </c>
      <c r="F17" s="1710">
        <f t="shared" si="2"/>
        <v>1495759</v>
      </c>
      <c r="G17" s="1710">
        <f t="shared" si="2"/>
        <v>797410</v>
      </c>
      <c r="H17" s="1710">
        <f t="shared" si="2"/>
        <v>4242966</v>
      </c>
      <c r="I17" s="468"/>
      <c r="J17" s="1710">
        <f>SUM(J12:J16)</f>
        <v>0</v>
      </c>
      <c r="K17" s="1710">
        <f>SUM(K12:K16)</f>
        <v>0</v>
      </c>
      <c r="L17" s="347"/>
    </row>
    <row r="18" spans="1:12" ht="15" customHeight="1" thickTop="1" x14ac:dyDescent="0.2">
      <c r="A18" s="1766" t="s">
        <v>1752</v>
      </c>
      <c r="B18" s="1767">
        <v>4180</v>
      </c>
      <c r="C18" s="1764">
        <f t="shared" ref="C18:H18" si="3">C9</f>
        <v>8865742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29711175</v>
      </c>
      <c r="D19" s="1710">
        <f t="shared" si="4"/>
        <v>1698234</v>
      </c>
      <c r="E19" s="1710">
        <f t="shared" si="4"/>
        <v>3751419</v>
      </c>
      <c r="F19" s="1710">
        <f t="shared" si="4"/>
        <v>1495759</v>
      </c>
      <c r="G19" s="1710">
        <f t="shared" si="4"/>
        <v>797410</v>
      </c>
      <c r="H19" s="1710">
        <f t="shared" si="4"/>
        <v>4242966</v>
      </c>
      <c r="I19" s="468"/>
      <c r="J19" s="1710">
        <f>SUM(J17:J18)</f>
        <v>0</v>
      </c>
      <c r="K19" s="1710">
        <f>SUM(K17:K18)</f>
        <v>0</v>
      </c>
      <c r="L19" s="347"/>
    </row>
    <row r="20" spans="1:12" ht="16.5" thickTop="1" thickBot="1" x14ac:dyDescent="0.25">
      <c r="A20" s="2143" t="s">
        <v>1753</v>
      </c>
      <c r="B20" s="2144"/>
      <c r="C20" s="1768">
        <f>C8-C17</f>
        <v>1365675</v>
      </c>
      <c r="D20" s="1768">
        <f t="shared" ref="D20:K20" si="5">D8-D17</f>
        <v>534358</v>
      </c>
      <c r="E20" s="1768">
        <f t="shared" si="5"/>
        <v>-324708</v>
      </c>
      <c r="F20" s="1768">
        <f t="shared" si="5"/>
        <v>205029</v>
      </c>
      <c r="G20" s="1768">
        <f t="shared" si="5"/>
        <v>120212</v>
      </c>
      <c r="H20" s="1768">
        <f t="shared" si="5"/>
        <v>-2771054</v>
      </c>
      <c r="I20" s="1768">
        <f t="shared" si="5"/>
        <v>0</v>
      </c>
      <c r="J20" s="1768">
        <f t="shared" si="5"/>
        <v>0</v>
      </c>
      <c r="K20" s="1768">
        <f t="shared" si="5"/>
        <v>0</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v>3040000</v>
      </c>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3996535</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5">
        <f>SUM(C24:C43)</f>
        <v>0</v>
      </c>
      <c r="D44" s="1725">
        <f t="shared" ref="D44:K44" si="6">SUM(D24:D43)</f>
        <v>0</v>
      </c>
      <c r="E44" s="1725">
        <f t="shared" si="6"/>
        <v>3996535</v>
      </c>
      <c r="F44" s="1725">
        <f t="shared" si="6"/>
        <v>0</v>
      </c>
      <c r="G44" s="1725">
        <f t="shared" si="6"/>
        <v>0</v>
      </c>
      <c r="H44" s="1725">
        <f t="shared" si="6"/>
        <v>3040000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v>3996535</v>
      </c>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v>3996535</v>
      </c>
      <c r="F75" s="532"/>
      <c r="G75" s="532"/>
      <c r="H75" s="532"/>
      <c r="I75" s="530"/>
      <c r="J75" s="530"/>
      <c r="K75" s="532"/>
      <c r="L75" s="524"/>
    </row>
    <row r="76" spans="1:12" s="485" customFormat="1" ht="14.25" thickTop="1" thickBot="1" x14ac:dyDescent="0.25">
      <c r="A76" s="2133" t="s">
        <v>459</v>
      </c>
      <c r="B76" s="2134"/>
      <c r="C76" s="1725">
        <f t="shared" ref="C76:K76" si="7">SUM(C47:C75)</f>
        <v>3996535</v>
      </c>
      <c r="D76" s="1725">
        <f t="shared" si="7"/>
        <v>0</v>
      </c>
      <c r="E76" s="1725">
        <f t="shared" si="7"/>
        <v>3996535</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1238</v>
      </c>
      <c r="B77" s="2136"/>
      <c r="C77" s="1725">
        <f t="shared" ref="C77:K77" si="8">C44-C76</f>
        <v>-3996535</v>
      </c>
      <c r="D77" s="1725">
        <f t="shared" si="8"/>
        <v>0</v>
      </c>
      <c r="E77" s="1725">
        <f t="shared" si="8"/>
        <v>0</v>
      </c>
      <c r="F77" s="1725">
        <f t="shared" si="8"/>
        <v>0</v>
      </c>
      <c r="G77" s="1725">
        <f t="shared" si="8"/>
        <v>0</v>
      </c>
      <c r="H77" s="1725">
        <f t="shared" si="8"/>
        <v>3040000</v>
      </c>
      <c r="I77" s="1725">
        <f t="shared" si="8"/>
        <v>0</v>
      </c>
      <c r="J77" s="1725">
        <f t="shared" si="8"/>
        <v>0</v>
      </c>
      <c r="K77" s="1725">
        <f t="shared" si="8"/>
        <v>0</v>
      </c>
      <c r="L77" s="347"/>
    </row>
    <row r="78" spans="1:12" ht="21.75" customHeight="1" thickTop="1" thickBot="1" x14ac:dyDescent="0.25">
      <c r="A78" s="2139" t="s">
        <v>617</v>
      </c>
      <c r="B78" s="2140"/>
      <c r="C78" s="1724">
        <f t="shared" ref="C78:K78" si="9">C20+C77</f>
        <v>-2630860</v>
      </c>
      <c r="D78" s="1724">
        <f t="shared" si="9"/>
        <v>534358</v>
      </c>
      <c r="E78" s="1724">
        <f t="shared" si="9"/>
        <v>-324708</v>
      </c>
      <c r="F78" s="1724">
        <f t="shared" si="9"/>
        <v>205029</v>
      </c>
      <c r="G78" s="1724">
        <f t="shared" si="9"/>
        <v>120212</v>
      </c>
      <c r="H78" s="1724">
        <f t="shared" si="9"/>
        <v>268946</v>
      </c>
      <c r="I78" s="1724">
        <f t="shared" si="9"/>
        <v>0</v>
      </c>
      <c r="J78" s="1724">
        <f t="shared" si="9"/>
        <v>0</v>
      </c>
      <c r="K78" s="1724">
        <f t="shared" si="9"/>
        <v>0</v>
      </c>
      <c r="L78" s="533"/>
    </row>
    <row r="79" spans="1:12" ht="13.5" thickTop="1" x14ac:dyDescent="0.2">
      <c r="A79" s="1516" t="s">
        <v>2072</v>
      </c>
      <c r="B79" s="534"/>
      <c r="C79" s="478">
        <v>6881838</v>
      </c>
      <c r="D79" s="535">
        <v>1579504</v>
      </c>
      <c r="E79" s="535">
        <v>1315092</v>
      </c>
      <c r="F79" s="535">
        <v>1968466</v>
      </c>
      <c r="G79" s="535">
        <v>622201</v>
      </c>
      <c r="H79" s="535">
        <v>1318846</v>
      </c>
      <c r="I79" s="535">
        <v>403196</v>
      </c>
      <c r="J79" s="535"/>
      <c r="K79" s="535"/>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2073</v>
      </c>
      <c r="B81" s="2138"/>
      <c r="C81" s="1710">
        <f>(SUM(C78:C80))</f>
        <v>4250978</v>
      </c>
      <c r="D81" s="1710">
        <f>SUM(D78:D80)</f>
        <v>2113862</v>
      </c>
      <c r="E81" s="1710">
        <f t="shared" ref="E81:K81" si="10">SUM(E78:E80)</f>
        <v>990384</v>
      </c>
      <c r="F81" s="1710">
        <f t="shared" si="10"/>
        <v>2173495</v>
      </c>
      <c r="G81" s="1710">
        <f t="shared" si="10"/>
        <v>742413</v>
      </c>
      <c r="H81" s="1710">
        <f t="shared" si="10"/>
        <v>1587792</v>
      </c>
      <c r="I81" s="1710">
        <f t="shared" si="10"/>
        <v>403196</v>
      </c>
      <c r="J81" s="1710">
        <f t="shared" si="10"/>
        <v>0</v>
      </c>
      <c r="K81" s="1710">
        <f t="shared" si="10"/>
        <v>0</v>
      </c>
      <c r="L81" s="347"/>
    </row>
    <row r="82" spans="1:12" ht="0.75" customHeight="1" thickTop="1" thickBot="1" x14ac:dyDescent="0.25">
      <c r="A82" s="536" t="s">
        <v>360</v>
      </c>
      <c r="B82" s="537"/>
      <c r="C82" s="538">
        <f>(C81-C79)</f>
        <v>-2630860</v>
      </c>
      <c r="D82" s="538">
        <f t="shared" ref="D82:K82" si="11">(D81-D79)</f>
        <v>534358</v>
      </c>
      <c r="E82" s="538">
        <f t="shared" si="11"/>
        <v>-324708</v>
      </c>
      <c r="F82" s="538">
        <f t="shared" si="11"/>
        <v>205029</v>
      </c>
      <c r="G82" s="538">
        <f t="shared" si="11"/>
        <v>120212</v>
      </c>
      <c r="H82" s="538">
        <f t="shared" si="11"/>
        <v>268946</v>
      </c>
      <c r="I82" s="538">
        <f t="shared" si="11"/>
        <v>0</v>
      </c>
      <c r="J82" s="538">
        <f t="shared" si="11"/>
        <v>0</v>
      </c>
      <c r="K82" s="538">
        <f t="shared" si="11"/>
        <v>0</v>
      </c>
    </row>
    <row r="83" spans="1:12" ht="14.25" hidden="1" thickTop="1" thickBot="1" x14ac:dyDescent="0.25">
      <c r="A83" s="539" t="s">
        <v>361</v>
      </c>
      <c r="B83" s="464"/>
      <c r="C83" s="540">
        <f>C82/C81</f>
        <v>-0.61888346634586211</v>
      </c>
      <c r="D83" s="540">
        <f t="shared" ref="D83:K83" si="12">D82/D81</f>
        <v>0.25278755188370861</v>
      </c>
      <c r="E83" s="540">
        <f t="shared" si="12"/>
        <v>-0.32786070857364419</v>
      </c>
      <c r="F83" s="540">
        <f t="shared" si="12"/>
        <v>9.4331479943593158E-2</v>
      </c>
      <c r="G83" s="540">
        <f t="shared" si="12"/>
        <v>0.1619206560229953</v>
      </c>
      <c r="H83" s="540">
        <f t="shared" si="12"/>
        <v>0.16938364722835234</v>
      </c>
      <c r="I83" s="540">
        <f t="shared" si="12"/>
        <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17052054</v>
      </c>
      <c r="D5" s="481">
        <v>1905366</v>
      </c>
      <c r="E5" s="466">
        <v>3406183</v>
      </c>
      <c r="F5" s="548">
        <v>1038459</v>
      </c>
      <c r="G5" s="466">
        <v>448695</v>
      </c>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249962</v>
      </c>
      <c r="D7" s="466"/>
      <c r="E7" s="468"/>
      <c r="F7" s="467"/>
      <c r="G7" s="467"/>
      <c r="H7" s="467"/>
      <c r="I7" s="468"/>
      <c r="J7" s="468"/>
      <c r="K7" s="468"/>
    </row>
    <row r="8" spans="1:12" x14ac:dyDescent="0.2">
      <c r="A8" s="463" t="s">
        <v>432</v>
      </c>
      <c r="B8" s="470">
        <v>1150</v>
      </c>
      <c r="C8" s="475"/>
      <c r="D8" s="475"/>
      <c r="E8" s="477"/>
      <c r="F8" s="477"/>
      <c r="G8" s="481">
        <v>468883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17302016</v>
      </c>
      <c r="D12" s="1729">
        <f t="shared" si="0"/>
        <v>1905366</v>
      </c>
      <c r="E12" s="1729">
        <f t="shared" si="0"/>
        <v>3406183</v>
      </c>
      <c r="F12" s="1729">
        <f t="shared" si="0"/>
        <v>1038459</v>
      </c>
      <c r="G12" s="1729">
        <f t="shared" si="0"/>
        <v>917578</v>
      </c>
      <c r="H12" s="1729">
        <f t="shared" si="0"/>
        <v>0</v>
      </c>
      <c r="I12" s="1729">
        <f t="shared" si="0"/>
        <v>0</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272984</v>
      </c>
      <c r="D16" s="466"/>
      <c r="E16" s="466"/>
      <c r="F16" s="466"/>
      <c r="G16" s="466"/>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272984</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47281</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825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68130</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116236</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195199</v>
      </c>
      <c r="D65" s="466">
        <v>92</v>
      </c>
      <c r="E65" s="466">
        <v>20528</v>
      </c>
      <c r="F65" s="467">
        <v>53</v>
      </c>
      <c r="G65" s="466">
        <v>44</v>
      </c>
      <c r="H65" s="466"/>
      <c r="I65" s="466"/>
      <c r="J65" s="467"/>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195199</v>
      </c>
      <c r="D67" s="1710">
        <f t="shared" ref="D67:K67" si="2">SUM(D65:D66)</f>
        <v>92</v>
      </c>
      <c r="E67" s="1710">
        <f t="shared" si="2"/>
        <v>20528</v>
      </c>
      <c r="F67" s="1710">
        <f t="shared" si="2"/>
        <v>53</v>
      </c>
      <c r="G67" s="1710">
        <f t="shared" si="2"/>
        <v>44</v>
      </c>
      <c r="H67" s="1710">
        <f t="shared" si="2"/>
        <v>0</v>
      </c>
      <c r="I67" s="1710">
        <f t="shared" si="2"/>
        <v>0</v>
      </c>
      <c r="J67" s="1710">
        <f t="shared" si="2"/>
        <v>0</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304159</v>
      </c>
      <c r="D69" s="468"/>
      <c r="E69" s="468"/>
      <c r="F69" s="468"/>
      <c r="G69" s="468"/>
      <c r="H69" s="468"/>
      <c r="I69" s="468"/>
      <c r="J69" s="468"/>
      <c r="K69" s="468"/>
    </row>
    <row r="70" spans="1:11" ht="12.75" customHeight="1" x14ac:dyDescent="0.2">
      <c r="A70" s="463" t="s">
        <v>1053</v>
      </c>
      <c r="B70" s="470">
        <v>1612</v>
      </c>
      <c r="C70" s="551">
        <v>1430</v>
      </c>
      <c r="D70" s="468"/>
      <c r="E70" s="468"/>
      <c r="F70" s="468"/>
      <c r="G70" s="468"/>
      <c r="H70" s="468"/>
      <c r="I70" s="468"/>
      <c r="J70" s="468"/>
      <c r="K70" s="468"/>
    </row>
    <row r="71" spans="1:11" ht="12.75" customHeight="1" x14ac:dyDescent="0.2">
      <c r="A71" s="463" t="s">
        <v>290</v>
      </c>
      <c r="B71" s="470">
        <v>1613</v>
      </c>
      <c r="C71" s="551">
        <v>64154</v>
      </c>
      <c r="D71" s="468"/>
      <c r="E71" s="468"/>
      <c r="F71" s="468"/>
      <c r="G71" s="468"/>
      <c r="H71" s="468"/>
      <c r="I71" s="468"/>
      <c r="J71" s="468"/>
      <c r="K71" s="468"/>
    </row>
    <row r="72" spans="1:11" ht="12.75" customHeight="1" x14ac:dyDescent="0.2">
      <c r="A72" s="463" t="s">
        <v>24</v>
      </c>
      <c r="B72" s="470">
        <v>1614</v>
      </c>
      <c r="C72" s="551">
        <v>11497</v>
      </c>
      <c r="D72" s="468"/>
      <c r="E72" s="468"/>
      <c r="F72" s="468"/>
      <c r="G72" s="468"/>
      <c r="H72" s="468"/>
      <c r="I72" s="468"/>
      <c r="J72" s="468"/>
      <c r="K72" s="468"/>
    </row>
    <row r="73" spans="1:11" ht="12.75" customHeight="1" x14ac:dyDescent="0.2">
      <c r="A73" s="463" t="s">
        <v>1054</v>
      </c>
      <c r="B73" s="470">
        <v>1620</v>
      </c>
      <c r="C73" s="551">
        <v>6976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388216</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2461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54350</v>
      </c>
      <c r="D79" s="466"/>
      <c r="E79" s="468"/>
      <c r="F79" s="468"/>
      <c r="G79" s="468"/>
      <c r="H79" s="468"/>
      <c r="I79" s="468"/>
      <c r="J79" s="468"/>
      <c r="K79" s="468"/>
    </row>
    <row r="80" spans="1:11" ht="12.75" customHeight="1" x14ac:dyDescent="0.2">
      <c r="A80" s="463" t="s">
        <v>571</v>
      </c>
      <c r="B80" s="470">
        <v>1730</v>
      </c>
      <c r="C80" s="551">
        <v>8376</v>
      </c>
      <c r="D80" s="466"/>
      <c r="E80" s="468"/>
      <c r="F80" s="468"/>
      <c r="G80" s="468"/>
      <c r="H80" s="468"/>
      <c r="I80" s="468"/>
      <c r="J80" s="468"/>
      <c r="K80" s="468"/>
    </row>
    <row r="81" spans="1:11" ht="12.75" customHeight="1" x14ac:dyDescent="0.2">
      <c r="A81" s="463" t="s">
        <v>26</v>
      </c>
      <c r="B81" s="470">
        <v>1790</v>
      </c>
      <c r="C81" s="551">
        <v>3685</v>
      </c>
      <c r="D81" s="466"/>
      <c r="E81" s="468"/>
      <c r="F81" s="468"/>
      <c r="G81" s="468"/>
      <c r="H81" s="468"/>
      <c r="I81" s="468"/>
      <c r="J81" s="468"/>
      <c r="K81" s="468"/>
    </row>
    <row r="82" spans="1:11" ht="12.75" customHeight="1" thickBot="1" x14ac:dyDescent="0.25">
      <c r="A82" s="1730" t="s">
        <v>259</v>
      </c>
      <c r="B82" s="1731"/>
      <c r="C82" s="1729">
        <f>SUM(C77:C81)</f>
        <v>68872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337062</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4490</v>
      </c>
      <c r="D92" s="468"/>
      <c r="E92" s="468"/>
      <c r="F92" s="468"/>
      <c r="G92" s="468"/>
      <c r="H92" s="468"/>
      <c r="I92" s="468"/>
      <c r="J92" s="468"/>
      <c r="K92" s="468"/>
    </row>
    <row r="93" spans="1:11" ht="12.75" customHeight="1" thickBot="1" x14ac:dyDescent="0.25">
      <c r="A93" s="1730" t="s">
        <v>261</v>
      </c>
      <c r="B93" s="1731"/>
      <c r="C93" s="1710">
        <f>SUM(C84:C92)</f>
        <v>341552</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242272</v>
      </c>
      <c r="E95" s="521"/>
      <c r="F95" s="521"/>
      <c r="G95" s="521"/>
      <c r="H95" s="521"/>
      <c r="I95" s="521"/>
      <c r="J95" s="521"/>
      <c r="K95" s="521"/>
    </row>
    <row r="96" spans="1:11" ht="12.75" customHeight="1" x14ac:dyDescent="0.2">
      <c r="A96" s="463" t="s">
        <v>408</v>
      </c>
      <c r="B96" s="470">
        <v>1920</v>
      </c>
      <c r="C96" s="551"/>
      <c r="D96" s="551"/>
      <c r="E96" s="479"/>
      <c r="F96" s="478"/>
      <c r="G96" s="478"/>
      <c r="H96" s="478">
        <v>11912</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108449</v>
      </c>
      <c r="D107" s="466">
        <v>84862</v>
      </c>
      <c r="E107" s="466"/>
      <c r="F107" s="466">
        <v>2717</v>
      </c>
      <c r="G107" s="466"/>
      <c r="H107" s="466"/>
      <c r="I107" s="466"/>
      <c r="J107" s="467"/>
      <c r="K107" s="466"/>
    </row>
    <row r="108" spans="1:12" ht="12.75" customHeight="1" thickBot="1" x14ac:dyDescent="0.25">
      <c r="A108" s="1730" t="s">
        <v>507</v>
      </c>
      <c r="B108" s="1734"/>
      <c r="C108" s="1729">
        <f>SUM(C95:C107)</f>
        <v>108449</v>
      </c>
      <c r="D108" s="1729">
        <f t="shared" ref="D108:K108" si="3">SUM(D95:D107)</f>
        <v>327134</v>
      </c>
      <c r="E108" s="1729">
        <f t="shared" si="3"/>
        <v>0</v>
      </c>
      <c r="F108" s="1729">
        <f t="shared" si="3"/>
        <v>2717</v>
      </c>
      <c r="G108" s="1729">
        <f t="shared" si="3"/>
        <v>0</v>
      </c>
      <c r="H108" s="1729">
        <f t="shared" si="3"/>
        <v>11912</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18793524</v>
      </c>
      <c r="D109" s="1737">
        <f t="shared" si="4"/>
        <v>2232592</v>
      </c>
      <c r="E109" s="1737">
        <f t="shared" si="4"/>
        <v>3426711</v>
      </c>
      <c r="F109" s="1737">
        <f t="shared" si="4"/>
        <v>1041229</v>
      </c>
      <c r="G109" s="1737">
        <f t="shared" si="4"/>
        <v>917622</v>
      </c>
      <c r="H109" s="1737">
        <f t="shared" si="4"/>
        <v>11912</v>
      </c>
      <c r="I109" s="1737">
        <f t="shared" si="4"/>
        <v>0</v>
      </c>
      <c r="J109" s="1737">
        <f t="shared" si="4"/>
        <v>0</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1663221</v>
      </c>
      <c r="D117" s="481"/>
      <c r="E117" s="466"/>
      <c r="F117" s="481"/>
      <c r="G117" s="481"/>
      <c r="H117" s="466">
        <v>1460000</v>
      </c>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1663221</v>
      </c>
      <c r="D121" s="1729">
        <f t="shared" si="5"/>
        <v>0</v>
      </c>
      <c r="E121" s="1729">
        <f t="shared" si="5"/>
        <v>0</v>
      </c>
      <c r="F121" s="1729">
        <f t="shared" si="5"/>
        <v>0</v>
      </c>
      <c r="G121" s="1729">
        <f t="shared" si="5"/>
        <v>0</v>
      </c>
      <c r="H121" s="1729">
        <f t="shared" si="5"/>
        <v>1460000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79517</v>
      </c>
      <c r="D124" s="561"/>
      <c r="E124" s="468"/>
      <c r="F124" s="548"/>
      <c r="G124" s="468"/>
      <c r="H124" s="468"/>
      <c r="I124" s="468"/>
      <c r="J124" s="468"/>
      <c r="K124" s="468"/>
    </row>
    <row r="125" spans="1:11" ht="12.75" customHeight="1" x14ac:dyDescent="0.2">
      <c r="A125" s="463" t="s">
        <v>1520</v>
      </c>
      <c r="B125" s="562">
        <v>3105</v>
      </c>
      <c r="C125" s="466">
        <v>74935</v>
      </c>
      <c r="D125" s="561"/>
      <c r="E125" s="468"/>
      <c r="F125" s="466"/>
      <c r="G125" s="468"/>
      <c r="H125" s="468"/>
      <c r="I125" s="468"/>
      <c r="J125" s="468"/>
      <c r="K125" s="468"/>
    </row>
    <row r="126" spans="1:11" ht="12.75" customHeight="1" x14ac:dyDescent="0.2">
      <c r="A126" s="463" t="s">
        <v>921</v>
      </c>
      <c r="B126" s="562">
        <v>3110</v>
      </c>
      <c r="C126" s="551">
        <v>204624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359076</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48005</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48005</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2459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129331</v>
      </c>
      <c r="G151" s="467"/>
      <c r="H151" s="468"/>
      <c r="I151" s="468"/>
      <c r="J151" s="468"/>
      <c r="K151" s="468"/>
    </row>
    <row r="152" spans="1:11" ht="12.75" customHeight="1" x14ac:dyDescent="0.2">
      <c r="A152" s="463" t="s">
        <v>1116</v>
      </c>
      <c r="B152" s="562">
        <v>3510</v>
      </c>
      <c r="C152" s="551"/>
      <c r="D152" s="466"/>
      <c r="E152" s="561"/>
      <c r="F152" s="466">
        <v>530228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659559</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v>8217</v>
      </c>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417757</v>
      </c>
      <c r="D172" s="1744">
        <f t="shared" si="6"/>
        <v>0</v>
      </c>
      <c r="E172" s="1744">
        <f t="shared" si="6"/>
        <v>0</v>
      </c>
      <c r="F172" s="1744">
        <f t="shared" si="6"/>
        <v>659559</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2080978</v>
      </c>
      <c r="D173" s="1737">
        <f>SUM(D121,D172)</f>
        <v>0</v>
      </c>
      <c r="E173" s="1737">
        <f>SUM(E121,E172)</f>
        <v>0</v>
      </c>
      <c r="F173" s="1737">
        <f t="shared" ref="F173:K173" si="7">SUM(F121,F172)</f>
        <v>659559</v>
      </c>
      <c r="G173" s="1737">
        <f t="shared" si="7"/>
        <v>0</v>
      </c>
      <c r="H173" s="1737">
        <f t="shared" si="7"/>
        <v>1460000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259266</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18349</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277615</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123380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123380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89895</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654101</v>
      </c>
      <c r="D220" s="466"/>
      <c r="E220" s="468"/>
      <c r="F220" s="466"/>
      <c r="G220" s="466"/>
      <c r="H220" s="468"/>
      <c r="I220" s="468"/>
      <c r="J220" s="468"/>
      <c r="K220" s="468"/>
    </row>
    <row r="221" spans="1:11" ht="12.75" customHeight="1" x14ac:dyDescent="0.2">
      <c r="A221" s="463" t="s">
        <v>1113</v>
      </c>
      <c r="B221" s="470">
        <v>4625</v>
      </c>
      <c r="C221" s="551">
        <v>54602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798598</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29964</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26720</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c r="D270" s="576"/>
      <c r="E270" s="468"/>
      <c r="F270" s="576"/>
      <c r="G270" s="576"/>
      <c r="H270" s="468"/>
      <c r="I270" s="468"/>
      <c r="J270" s="468"/>
      <c r="K270" s="468"/>
    </row>
    <row r="271" spans="1:11" ht="12.75" customHeight="1" thickTop="1" thickBot="1" x14ac:dyDescent="0.25">
      <c r="A271" s="463" t="s">
        <v>394</v>
      </c>
      <c r="B271" s="470">
        <v>4992</v>
      </c>
      <c r="C271" s="575">
        <v>80329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1336606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1336606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22211108</v>
      </c>
      <c r="D275" s="1737">
        <f t="shared" si="12"/>
        <v>2232592</v>
      </c>
      <c r="E275" s="1737">
        <f t="shared" si="12"/>
        <v>3426711</v>
      </c>
      <c r="F275" s="1737">
        <f t="shared" si="12"/>
        <v>1700788</v>
      </c>
      <c r="G275" s="1737">
        <f t="shared" si="12"/>
        <v>917622</v>
      </c>
      <c r="H275" s="1737">
        <f t="shared" si="12"/>
        <v>1471912</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4"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9" t="s">
        <v>314</v>
      </c>
      <c r="B3" s="2180"/>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f>3823226+2464927</f>
        <v>6288153</v>
      </c>
      <c r="D5" s="466">
        <f>510214+290320</f>
        <v>800534</v>
      </c>
      <c r="E5" s="466">
        <f>23673+3663</f>
        <v>27336</v>
      </c>
      <c r="F5" s="466">
        <f>302113+33836</f>
        <v>335949</v>
      </c>
      <c r="G5" s="466">
        <f>21051+8757</f>
        <v>29808</v>
      </c>
      <c r="H5" s="466"/>
      <c r="I5" s="467"/>
      <c r="J5" s="467"/>
      <c r="K5" s="1693">
        <f>SUM(C5:J5)</f>
        <v>7481780</v>
      </c>
      <c r="L5" s="466">
        <v>7965480</v>
      </c>
    </row>
    <row r="6" spans="1:14" x14ac:dyDescent="0.2">
      <c r="A6" s="1526" t="s">
        <v>1507</v>
      </c>
      <c r="B6" s="615" t="s">
        <v>1505</v>
      </c>
      <c r="C6" s="477"/>
      <c r="D6" s="477"/>
      <c r="E6" s="466"/>
      <c r="F6" s="477"/>
      <c r="G6" s="477"/>
      <c r="H6" s="477"/>
      <c r="I6" s="477"/>
      <c r="J6" s="477"/>
      <c r="K6" s="1693">
        <f>SUM(C6,E6)</f>
        <v>0</v>
      </c>
      <c r="L6" s="466">
        <v>5987</v>
      </c>
    </row>
    <row r="7" spans="1:14" x14ac:dyDescent="0.2">
      <c r="A7" s="1526" t="s">
        <v>165</v>
      </c>
      <c r="B7" s="615" t="s">
        <v>1023</v>
      </c>
      <c r="C7" s="467">
        <v>54544</v>
      </c>
      <c r="D7" s="467">
        <v>3979</v>
      </c>
      <c r="E7" s="467"/>
      <c r="F7" s="467"/>
      <c r="G7" s="467"/>
      <c r="H7" s="467"/>
      <c r="I7" s="467"/>
      <c r="J7" s="467"/>
      <c r="K7" s="1693">
        <f t="shared" ref="K7:K32" si="0">SUM(C7:J7)</f>
        <v>58523</v>
      </c>
      <c r="L7" s="466"/>
    </row>
    <row r="8" spans="1:14" x14ac:dyDescent="0.2">
      <c r="A8" s="1526" t="s">
        <v>166</v>
      </c>
      <c r="B8" s="615">
        <v>1200</v>
      </c>
      <c r="C8" s="466">
        <v>2549400</v>
      </c>
      <c r="D8" s="466">
        <v>560299</v>
      </c>
      <c r="E8" s="466">
        <v>229</v>
      </c>
      <c r="F8" s="466">
        <v>20240</v>
      </c>
      <c r="G8" s="466"/>
      <c r="H8" s="466"/>
      <c r="I8" s="467"/>
      <c r="J8" s="467"/>
      <c r="K8" s="1693">
        <f t="shared" si="0"/>
        <v>3130168</v>
      </c>
      <c r="L8" s="466">
        <v>3090082</v>
      </c>
    </row>
    <row r="9" spans="1:14" x14ac:dyDescent="0.2">
      <c r="A9" s="1526" t="s">
        <v>744</v>
      </c>
      <c r="B9" s="615" t="s">
        <v>1024</v>
      </c>
      <c r="C9" s="467">
        <v>390166</v>
      </c>
      <c r="D9" s="467">
        <v>46745</v>
      </c>
      <c r="E9" s="467"/>
      <c r="F9" s="467">
        <v>686</v>
      </c>
      <c r="G9" s="467"/>
      <c r="H9" s="467"/>
      <c r="I9" s="467"/>
      <c r="J9" s="467"/>
      <c r="K9" s="1693">
        <f t="shared" si="0"/>
        <v>437597</v>
      </c>
      <c r="L9" s="466">
        <v>338200</v>
      </c>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v>54011</v>
      </c>
      <c r="D14" s="466">
        <v>1047</v>
      </c>
      <c r="E14" s="466">
        <v>4523</v>
      </c>
      <c r="F14" s="466">
        <v>35146</v>
      </c>
      <c r="G14" s="466"/>
      <c r="H14" s="466">
        <v>3058</v>
      </c>
      <c r="I14" s="467"/>
      <c r="J14" s="467"/>
      <c r="K14" s="1693">
        <f t="shared" si="0"/>
        <v>97785</v>
      </c>
      <c r="L14" s="466">
        <v>101478</v>
      </c>
    </row>
    <row r="15" spans="1:14" x14ac:dyDescent="0.2">
      <c r="A15" s="1526" t="s">
        <v>1020</v>
      </c>
      <c r="B15" s="615">
        <v>1600</v>
      </c>
      <c r="C15" s="466">
        <v>88734</v>
      </c>
      <c r="D15" s="466">
        <v>11766</v>
      </c>
      <c r="E15" s="466">
        <v>422</v>
      </c>
      <c r="F15" s="466">
        <v>796</v>
      </c>
      <c r="G15" s="466"/>
      <c r="H15" s="466"/>
      <c r="I15" s="467"/>
      <c r="J15" s="467"/>
      <c r="K15" s="1693">
        <f t="shared" si="0"/>
        <v>101718</v>
      </c>
      <c r="L15" s="466">
        <v>127772</v>
      </c>
    </row>
    <row r="16" spans="1:14" x14ac:dyDescent="0.2">
      <c r="A16" s="1526" t="s">
        <v>1043</v>
      </c>
      <c r="B16" s="615" t="s">
        <v>443</v>
      </c>
      <c r="C16" s="466">
        <v>100581</v>
      </c>
      <c r="D16" s="466">
        <v>13340</v>
      </c>
      <c r="E16" s="466"/>
      <c r="F16" s="466"/>
      <c r="G16" s="466"/>
      <c r="H16" s="466"/>
      <c r="I16" s="467"/>
      <c r="J16" s="467"/>
      <c r="K16" s="1693">
        <f t="shared" si="0"/>
        <v>113921</v>
      </c>
      <c r="L16" s="466">
        <v>192447</v>
      </c>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v>895867</v>
      </c>
      <c r="D18" s="466">
        <v>134148</v>
      </c>
      <c r="E18" s="466"/>
      <c r="F18" s="466">
        <v>1788</v>
      </c>
      <c r="G18" s="466"/>
      <c r="H18" s="466"/>
      <c r="I18" s="467"/>
      <c r="J18" s="467"/>
      <c r="K18" s="1693">
        <f t="shared" si="0"/>
        <v>1031803</v>
      </c>
      <c r="L18" s="466">
        <v>1197978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417982</v>
      </c>
      <c r="I22" s="617"/>
      <c r="J22" s="477"/>
      <c r="K22" s="1693">
        <f t="shared" si="0"/>
        <v>417982</v>
      </c>
      <c r="L22" s="471">
        <v>500000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v>1883</v>
      </c>
      <c r="I30" s="617"/>
      <c r="J30" s="477"/>
      <c r="K30" s="1693">
        <f t="shared" si="0"/>
        <v>1883</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10421456</v>
      </c>
      <c r="D33" s="1692">
        <f t="shared" ref="D33:L33" si="1">SUM(D5:D32)</f>
        <v>1571858</v>
      </c>
      <c r="E33" s="1692">
        <f t="shared" si="1"/>
        <v>32510</v>
      </c>
      <c r="F33" s="1692">
        <f t="shared" si="1"/>
        <v>394605</v>
      </c>
      <c r="G33" s="1692">
        <f t="shared" si="1"/>
        <v>29808</v>
      </c>
      <c r="H33" s="1692">
        <f t="shared" si="1"/>
        <v>422923</v>
      </c>
      <c r="I33" s="1692">
        <f t="shared" si="1"/>
        <v>0</v>
      </c>
      <c r="J33" s="1692">
        <f t="shared" si="1"/>
        <v>0</v>
      </c>
      <c r="K33" s="1692">
        <f t="shared" si="1"/>
        <v>12873160</v>
      </c>
      <c r="L33" s="1692">
        <f t="shared" si="1"/>
        <v>13519424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433652</v>
      </c>
      <c r="D36" s="481">
        <v>62470</v>
      </c>
      <c r="E36" s="481"/>
      <c r="F36" s="481"/>
      <c r="G36" s="481"/>
      <c r="H36" s="481"/>
      <c r="I36" s="467"/>
      <c r="J36" s="467"/>
      <c r="K36" s="1693">
        <f t="shared" ref="K36:K41" si="2">SUM(C36:J36)</f>
        <v>496122</v>
      </c>
      <c r="L36" s="466">
        <v>489532</v>
      </c>
    </row>
    <row r="37" spans="1:14" x14ac:dyDescent="0.2">
      <c r="A37" s="1526" t="s">
        <v>1150</v>
      </c>
      <c r="B37" s="615">
        <v>2120</v>
      </c>
      <c r="C37" s="466"/>
      <c r="D37" s="466"/>
      <c r="E37" s="466"/>
      <c r="F37" s="466"/>
      <c r="G37" s="466"/>
      <c r="H37" s="466"/>
      <c r="I37" s="467"/>
      <c r="J37" s="467"/>
      <c r="K37" s="1693">
        <f t="shared" si="2"/>
        <v>0</v>
      </c>
      <c r="L37" s="466"/>
    </row>
    <row r="38" spans="1:14" x14ac:dyDescent="0.2">
      <c r="A38" s="1526" t="s">
        <v>207</v>
      </c>
      <c r="B38" s="615">
        <v>2130</v>
      </c>
      <c r="C38" s="466">
        <v>528159</v>
      </c>
      <c r="D38" s="466">
        <v>99143</v>
      </c>
      <c r="E38" s="466">
        <v>2996</v>
      </c>
      <c r="F38" s="466">
        <v>7133</v>
      </c>
      <c r="G38" s="466">
        <v>408</v>
      </c>
      <c r="H38" s="466"/>
      <c r="I38" s="467"/>
      <c r="J38" s="467"/>
      <c r="K38" s="1693">
        <f t="shared" si="2"/>
        <v>637839</v>
      </c>
      <c r="L38" s="466">
        <v>649902</v>
      </c>
    </row>
    <row r="39" spans="1:14" x14ac:dyDescent="0.2">
      <c r="A39" s="1526" t="s">
        <v>208</v>
      </c>
      <c r="B39" s="615">
        <v>2140</v>
      </c>
      <c r="C39" s="466">
        <v>341214</v>
      </c>
      <c r="D39" s="466">
        <v>48421</v>
      </c>
      <c r="E39" s="466"/>
      <c r="F39" s="466">
        <v>3922</v>
      </c>
      <c r="G39" s="466"/>
      <c r="H39" s="466"/>
      <c r="I39" s="467"/>
      <c r="J39" s="467"/>
      <c r="K39" s="1693">
        <f t="shared" si="2"/>
        <v>393557</v>
      </c>
      <c r="L39" s="466">
        <v>396274</v>
      </c>
    </row>
    <row r="40" spans="1:14" x14ac:dyDescent="0.2">
      <c r="A40" s="1526" t="s">
        <v>209</v>
      </c>
      <c r="B40" s="615">
        <v>2150</v>
      </c>
      <c r="C40" s="466">
        <v>367542</v>
      </c>
      <c r="D40" s="466">
        <v>40105</v>
      </c>
      <c r="E40" s="466">
        <v>8140</v>
      </c>
      <c r="F40" s="466">
        <v>3175</v>
      </c>
      <c r="G40" s="466"/>
      <c r="H40" s="466"/>
      <c r="I40" s="467"/>
      <c r="J40" s="467"/>
      <c r="K40" s="1693">
        <f t="shared" si="2"/>
        <v>418962</v>
      </c>
      <c r="L40" s="466">
        <v>532609</v>
      </c>
    </row>
    <row r="41" spans="1:14" x14ac:dyDescent="0.2">
      <c r="A41" s="1526" t="s">
        <v>1767</v>
      </c>
      <c r="B41" s="615">
        <v>2190</v>
      </c>
      <c r="C41" s="466">
        <v>75882</v>
      </c>
      <c r="D41" s="466">
        <v>440</v>
      </c>
      <c r="E41" s="466"/>
      <c r="F41" s="466">
        <v>1985</v>
      </c>
      <c r="G41" s="466"/>
      <c r="H41" s="466"/>
      <c r="I41" s="467"/>
      <c r="J41" s="467"/>
      <c r="K41" s="1693">
        <f t="shared" si="2"/>
        <v>78307</v>
      </c>
      <c r="L41" s="466">
        <v>172480</v>
      </c>
    </row>
    <row r="42" spans="1:14" ht="12.75" customHeight="1" thickBot="1" x14ac:dyDescent="0.25">
      <c r="A42" s="1690" t="s">
        <v>580</v>
      </c>
      <c r="B42" s="1691" t="s">
        <v>739</v>
      </c>
      <c r="C42" s="1692">
        <f>SUM(C36:C41)</f>
        <v>1746449</v>
      </c>
      <c r="D42" s="1692">
        <f t="shared" ref="D42:L42" si="3">SUM(D36:D41)</f>
        <v>250579</v>
      </c>
      <c r="E42" s="1692">
        <f t="shared" si="3"/>
        <v>11136</v>
      </c>
      <c r="F42" s="1692">
        <f t="shared" si="3"/>
        <v>16215</v>
      </c>
      <c r="G42" s="1692">
        <f t="shared" si="3"/>
        <v>408</v>
      </c>
      <c r="H42" s="1692">
        <f t="shared" si="3"/>
        <v>0</v>
      </c>
      <c r="I42" s="1692">
        <f t="shared" si="3"/>
        <v>0</v>
      </c>
      <c r="J42" s="1692">
        <f t="shared" si="3"/>
        <v>0</v>
      </c>
      <c r="K42" s="1692">
        <f t="shared" si="3"/>
        <v>2024787</v>
      </c>
      <c r="L42" s="1692">
        <f t="shared" si="3"/>
        <v>2240797</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269894</v>
      </c>
      <c r="D44" s="481">
        <v>90385</v>
      </c>
      <c r="E44" s="481">
        <v>67380</v>
      </c>
      <c r="F44" s="481">
        <v>8165</v>
      </c>
      <c r="G44" s="481"/>
      <c r="H44" s="481"/>
      <c r="I44" s="467"/>
      <c r="J44" s="467"/>
      <c r="K44" s="1694">
        <f>SUM(C44:J44)</f>
        <v>435824</v>
      </c>
      <c r="L44" s="481">
        <v>369214</v>
      </c>
    </row>
    <row r="45" spans="1:14" x14ac:dyDescent="0.2">
      <c r="A45" s="1526" t="s">
        <v>868</v>
      </c>
      <c r="B45" s="615">
        <v>2220</v>
      </c>
      <c r="C45" s="466">
        <v>454029</v>
      </c>
      <c r="D45" s="466">
        <v>70405</v>
      </c>
      <c r="E45" s="466">
        <v>38721</v>
      </c>
      <c r="F45" s="466">
        <v>74971</v>
      </c>
      <c r="G45" s="466"/>
      <c r="H45" s="466"/>
      <c r="I45" s="467"/>
      <c r="J45" s="467"/>
      <c r="K45" s="1694">
        <f>SUM(C45:J45)</f>
        <v>638126</v>
      </c>
      <c r="L45" s="466">
        <v>703629</v>
      </c>
    </row>
    <row r="46" spans="1:14" x14ac:dyDescent="0.2">
      <c r="A46" s="1526" t="s">
        <v>869</v>
      </c>
      <c r="B46" s="615">
        <v>2230</v>
      </c>
      <c r="C46" s="466">
        <v>569</v>
      </c>
      <c r="D46" s="466">
        <v>8</v>
      </c>
      <c r="E46" s="466">
        <v>8855</v>
      </c>
      <c r="F46" s="466">
        <v>788</v>
      </c>
      <c r="G46" s="466"/>
      <c r="H46" s="466"/>
      <c r="I46" s="467"/>
      <c r="J46" s="467"/>
      <c r="K46" s="1694">
        <f>SUM(C46:J46)</f>
        <v>10220</v>
      </c>
      <c r="L46" s="466">
        <v>114364</v>
      </c>
    </row>
    <row r="47" spans="1:14" ht="12.75" customHeight="1" thickBot="1" x14ac:dyDescent="0.25">
      <c r="A47" s="1690" t="s">
        <v>581</v>
      </c>
      <c r="B47" s="1691" t="s">
        <v>32</v>
      </c>
      <c r="C47" s="1692">
        <f>SUM(C44:C46)</f>
        <v>724492</v>
      </c>
      <c r="D47" s="1692">
        <f t="shared" ref="D47:K47" si="4">SUM(D44:D46)</f>
        <v>160798</v>
      </c>
      <c r="E47" s="1692">
        <f t="shared" si="4"/>
        <v>114956</v>
      </c>
      <c r="F47" s="1692">
        <f t="shared" si="4"/>
        <v>83924</v>
      </c>
      <c r="G47" s="1692">
        <f t="shared" si="4"/>
        <v>0</v>
      </c>
      <c r="H47" s="1692">
        <f t="shared" si="4"/>
        <v>0</v>
      </c>
      <c r="I47" s="1692">
        <f t="shared" si="4"/>
        <v>0</v>
      </c>
      <c r="J47" s="1692">
        <f t="shared" si="4"/>
        <v>0</v>
      </c>
      <c r="K47" s="1692">
        <f t="shared" si="4"/>
        <v>1084170</v>
      </c>
      <c r="L47" s="1692">
        <f>SUM(L44:L46)</f>
        <v>1187207</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4333</v>
      </c>
      <c r="F49" s="481">
        <v>1032</v>
      </c>
      <c r="G49" s="481"/>
      <c r="H49" s="481">
        <v>230</v>
      </c>
      <c r="I49" s="467"/>
      <c r="J49" s="467"/>
      <c r="K49" s="1694">
        <f>SUM(C49:J49)</f>
        <v>5595</v>
      </c>
      <c r="L49" s="481">
        <v>23681</v>
      </c>
    </row>
    <row r="50" spans="1:14" x14ac:dyDescent="0.2">
      <c r="A50" s="1526" t="s">
        <v>871</v>
      </c>
      <c r="B50" s="615">
        <v>2320</v>
      </c>
      <c r="C50" s="466">
        <v>220078</v>
      </c>
      <c r="D50" s="466">
        <v>61499</v>
      </c>
      <c r="E50" s="466">
        <v>5817</v>
      </c>
      <c r="F50" s="466">
        <v>3357</v>
      </c>
      <c r="G50" s="466"/>
      <c r="H50" s="466">
        <v>1618</v>
      </c>
      <c r="I50" s="467"/>
      <c r="J50" s="467"/>
      <c r="K50" s="1694">
        <f>SUM(C50:J50)</f>
        <v>292369</v>
      </c>
      <c r="L50" s="466">
        <v>295059</v>
      </c>
    </row>
    <row r="51" spans="1:14" x14ac:dyDescent="0.2">
      <c r="A51" s="1526" t="s">
        <v>44</v>
      </c>
      <c r="B51" s="615">
        <v>2330</v>
      </c>
      <c r="C51" s="466">
        <v>157733</v>
      </c>
      <c r="D51" s="466">
        <v>45543</v>
      </c>
      <c r="E51" s="466"/>
      <c r="F51" s="466">
        <v>463</v>
      </c>
      <c r="G51" s="466"/>
      <c r="H51" s="466"/>
      <c r="I51" s="467"/>
      <c r="J51" s="467"/>
      <c r="K51" s="1694">
        <f>SUM(C51:J51)</f>
        <v>203739</v>
      </c>
      <c r="L51" s="466">
        <v>202923</v>
      </c>
    </row>
    <row r="52" spans="1:14" ht="22.5" x14ac:dyDescent="0.2">
      <c r="A52" s="1527" t="s">
        <v>315</v>
      </c>
      <c r="B52" s="628" t="s">
        <v>383</v>
      </c>
      <c r="C52" s="474"/>
      <c r="D52" s="474"/>
      <c r="E52" s="474">
        <v>320030</v>
      </c>
      <c r="F52" s="474"/>
      <c r="G52" s="474"/>
      <c r="H52" s="474"/>
      <c r="I52" s="474"/>
      <c r="J52" s="474"/>
      <c r="K52" s="1694">
        <f>SUM(C52:J52)</f>
        <v>320030</v>
      </c>
      <c r="L52" s="474">
        <v>318214</v>
      </c>
    </row>
    <row r="53" spans="1:14" ht="12.75" customHeight="1" thickBot="1" x14ac:dyDescent="0.25">
      <c r="A53" s="1690" t="s">
        <v>740</v>
      </c>
      <c r="B53" s="1691" t="s">
        <v>33</v>
      </c>
      <c r="C53" s="1692">
        <f>SUM(C49:C52)</f>
        <v>377811</v>
      </c>
      <c r="D53" s="1692">
        <f t="shared" ref="D53:L53" si="5">SUM(D49:D52)</f>
        <v>107042</v>
      </c>
      <c r="E53" s="1692">
        <f t="shared" si="5"/>
        <v>330180</v>
      </c>
      <c r="F53" s="1692">
        <f t="shared" si="5"/>
        <v>4852</v>
      </c>
      <c r="G53" s="1692">
        <f t="shared" si="5"/>
        <v>0</v>
      </c>
      <c r="H53" s="1692">
        <f t="shared" si="5"/>
        <v>1848</v>
      </c>
      <c r="I53" s="1692">
        <f t="shared" si="5"/>
        <v>0</v>
      </c>
      <c r="J53" s="1692">
        <f t="shared" si="5"/>
        <v>0</v>
      </c>
      <c r="K53" s="1692">
        <f t="shared" si="5"/>
        <v>821733</v>
      </c>
      <c r="L53" s="1692">
        <f t="shared" si="5"/>
        <v>839877</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751770</v>
      </c>
      <c r="D55" s="481">
        <v>216626</v>
      </c>
      <c r="E55" s="481">
        <v>439</v>
      </c>
      <c r="F55" s="481">
        <v>32559</v>
      </c>
      <c r="G55" s="481"/>
      <c r="H55" s="481">
        <v>1200</v>
      </c>
      <c r="I55" s="467"/>
      <c r="J55" s="467"/>
      <c r="K55" s="1694">
        <f>SUM(C55:J55)</f>
        <v>1002594</v>
      </c>
      <c r="L55" s="481">
        <v>986255</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751770</v>
      </c>
      <c r="D57" s="1696">
        <f t="shared" ref="D57:K57" si="6">SUM(D55:D56)</f>
        <v>216626</v>
      </c>
      <c r="E57" s="1696">
        <f t="shared" si="6"/>
        <v>439</v>
      </c>
      <c r="F57" s="1696">
        <f t="shared" si="6"/>
        <v>32559</v>
      </c>
      <c r="G57" s="1696">
        <f t="shared" si="6"/>
        <v>0</v>
      </c>
      <c r="H57" s="1696">
        <f t="shared" si="6"/>
        <v>1200</v>
      </c>
      <c r="I57" s="1696">
        <f t="shared" si="6"/>
        <v>0</v>
      </c>
      <c r="J57" s="1696">
        <f t="shared" si="6"/>
        <v>0</v>
      </c>
      <c r="K57" s="1696">
        <f t="shared" si="6"/>
        <v>1002594</v>
      </c>
      <c r="L57" s="1692">
        <f>SUM(L55:L56)</f>
        <v>986255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109814</v>
      </c>
      <c r="D59" s="481">
        <v>35201</v>
      </c>
      <c r="E59" s="481"/>
      <c r="F59" s="481"/>
      <c r="G59" s="481"/>
      <c r="H59" s="481">
        <v>153</v>
      </c>
      <c r="I59" s="467"/>
      <c r="J59" s="467"/>
      <c r="K59" s="1694">
        <f t="shared" ref="K59:K64" si="7">SUM(C59:J59)</f>
        <v>145168</v>
      </c>
      <c r="L59" s="481">
        <v>136808</v>
      </c>
      <c r="M59" s="610"/>
      <c r="N59" s="610"/>
    </row>
    <row r="60" spans="1:14" s="343" customFormat="1" x14ac:dyDescent="0.2">
      <c r="A60" s="1526" t="s">
        <v>482</v>
      </c>
      <c r="B60" s="615">
        <v>2520</v>
      </c>
      <c r="C60" s="466">
        <v>207173</v>
      </c>
      <c r="D60" s="466">
        <v>43595</v>
      </c>
      <c r="E60" s="466">
        <v>86761</v>
      </c>
      <c r="F60" s="466">
        <v>5935</v>
      </c>
      <c r="G60" s="466"/>
      <c r="H60" s="466">
        <v>2955</v>
      </c>
      <c r="I60" s="467"/>
      <c r="J60" s="467"/>
      <c r="K60" s="1694">
        <f t="shared" si="7"/>
        <v>346419</v>
      </c>
      <c r="L60" s="466">
        <v>345493</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425109</v>
      </c>
      <c r="F63" s="466">
        <v>365</v>
      </c>
      <c r="G63" s="466"/>
      <c r="H63" s="466"/>
      <c r="I63" s="467"/>
      <c r="J63" s="467"/>
      <c r="K63" s="1694">
        <f t="shared" si="7"/>
        <v>425474</v>
      </c>
      <c r="L63" s="466">
        <v>414245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316987</v>
      </c>
      <c r="D65" s="1692">
        <f t="shared" ref="D65:L65" si="8">SUM(D59:D64)</f>
        <v>78796</v>
      </c>
      <c r="E65" s="1692">
        <f t="shared" si="8"/>
        <v>511870</v>
      </c>
      <c r="F65" s="1692">
        <f t="shared" si="8"/>
        <v>6300</v>
      </c>
      <c r="G65" s="1692">
        <f t="shared" si="8"/>
        <v>0</v>
      </c>
      <c r="H65" s="1692">
        <f t="shared" si="8"/>
        <v>3108</v>
      </c>
      <c r="I65" s="1692">
        <f t="shared" si="8"/>
        <v>0</v>
      </c>
      <c r="J65" s="1692">
        <f t="shared" si="8"/>
        <v>0</v>
      </c>
      <c r="K65" s="1692">
        <f t="shared" si="8"/>
        <v>917061</v>
      </c>
      <c r="L65" s="1692">
        <f t="shared" si="8"/>
        <v>896546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v>15755</v>
      </c>
      <c r="G69" s="466"/>
      <c r="H69" s="466"/>
      <c r="I69" s="467"/>
      <c r="J69" s="467"/>
      <c r="K69" s="1694">
        <f>SUM(C69:J69)</f>
        <v>15755</v>
      </c>
      <c r="L69" s="466">
        <v>5000</v>
      </c>
      <c r="M69" s="610"/>
      <c r="N69" s="610"/>
    </row>
    <row r="70" spans="1:14" s="343" customFormat="1" x14ac:dyDescent="0.2">
      <c r="A70" s="1526" t="s">
        <v>422</v>
      </c>
      <c r="B70" s="615">
        <v>2640</v>
      </c>
      <c r="C70" s="466">
        <v>57500</v>
      </c>
      <c r="D70" s="466">
        <v>11502</v>
      </c>
      <c r="E70" s="466">
        <v>24538</v>
      </c>
      <c r="F70" s="466"/>
      <c r="G70" s="466"/>
      <c r="H70" s="466"/>
      <c r="I70" s="467"/>
      <c r="J70" s="467"/>
      <c r="K70" s="1694">
        <f>SUM(C70:J70)</f>
        <v>93540</v>
      </c>
      <c r="L70" s="466">
        <v>144385</v>
      </c>
      <c r="M70" s="610"/>
      <c r="N70" s="610"/>
    </row>
    <row r="71" spans="1:14" s="343" customFormat="1" x14ac:dyDescent="0.2">
      <c r="A71" s="1526" t="s">
        <v>423</v>
      </c>
      <c r="B71" s="615">
        <v>2660</v>
      </c>
      <c r="C71" s="466">
        <v>246947</v>
      </c>
      <c r="D71" s="466">
        <v>52865</v>
      </c>
      <c r="E71" s="466">
        <v>125992</v>
      </c>
      <c r="F71" s="466">
        <v>133752</v>
      </c>
      <c r="G71" s="466">
        <v>529993</v>
      </c>
      <c r="H71" s="466"/>
      <c r="I71" s="467"/>
      <c r="J71" s="467"/>
      <c r="K71" s="1694">
        <f>SUM(C71:J71)</f>
        <v>1089549</v>
      </c>
      <c r="L71" s="466">
        <v>624218</v>
      </c>
      <c r="M71" s="610"/>
      <c r="N71" s="610"/>
    </row>
    <row r="72" spans="1:14" s="343" customFormat="1" ht="12.75" customHeight="1" thickBot="1" x14ac:dyDescent="0.25">
      <c r="A72" s="1690" t="s">
        <v>37</v>
      </c>
      <c r="B72" s="1697" t="s">
        <v>36</v>
      </c>
      <c r="C72" s="1692">
        <f>SUM(C67:C71)</f>
        <v>304447</v>
      </c>
      <c r="D72" s="1692">
        <f t="shared" ref="D72:K72" si="9">SUM(D67:D71)</f>
        <v>64367</v>
      </c>
      <c r="E72" s="1692">
        <f t="shared" si="9"/>
        <v>150530</v>
      </c>
      <c r="F72" s="1692">
        <f t="shared" si="9"/>
        <v>149507</v>
      </c>
      <c r="G72" s="1692">
        <f t="shared" si="9"/>
        <v>529993</v>
      </c>
      <c r="H72" s="1692">
        <f t="shared" si="9"/>
        <v>0</v>
      </c>
      <c r="I72" s="1692">
        <f t="shared" si="9"/>
        <v>0</v>
      </c>
      <c r="J72" s="1692">
        <f t="shared" si="9"/>
        <v>0</v>
      </c>
      <c r="K72" s="1692">
        <f t="shared" si="9"/>
        <v>1198844</v>
      </c>
      <c r="L72" s="1692">
        <f>SUM(L67:L71)</f>
        <v>773603</v>
      </c>
      <c r="M72" s="610"/>
      <c r="N72" s="610"/>
    </row>
    <row r="73" spans="1:14" s="343" customFormat="1" ht="14.25" thickTop="1" thickBot="1" x14ac:dyDescent="0.25">
      <c r="A73" s="1532" t="s">
        <v>1036</v>
      </c>
      <c r="B73" s="633" t="s">
        <v>594</v>
      </c>
      <c r="C73" s="573"/>
      <c r="D73" s="573"/>
      <c r="E73" s="573">
        <v>-2320</v>
      </c>
      <c r="F73" s="573">
        <v>57532</v>
      </c>
      <c r="G73" s="573"/>
      <c r="H73" s="573"/>
      <c r="I73" s="531"/>
      <c r="J73" s="531"/>
      <c r="K73" s="1692">
        <f>SUM(C73:J73)</f>
        <v>55212</v>
      </c>
      <c r="L73" s="576">
        <v>117500</v>
      </c>
      <c r="M73" s="610"/>
      <c r="N73" s="610"/>
    </row>
    <row r="74" spans="1:14" ht="12.75" customHeight="1" thickTop="1" thickBot="1" x14ac:dyDescent="0.25">
      <c r="A74" s="1690" t="s">
        <v>864</v>
      </c>
      <c r="B74" s="1698">
        <v>2000</v>
      </c>
      <c r="C74" s="1699">
        <f>SUM(C42,C47,C53,C57,C65,C72,C73)</f>
        <v>4221956</v>
      </c>
      <c r="D74" s="1699">
        <f t="shared" ref="D74:K74" si="10">SUM(D42,D47,D53,D57,D65,D72,D73)</f>
        <v>878208</v>
      </c>
      <c r="E74" s="1699">
        <f t="shared" si="10"/>
        <v>1116791</v>
      </c>
      <c r="F74" s="1699">
        <f t="shared" si="10"/>
        <v>350889</v>
      </c>
      <c r="G74" s="1699">
        <f t="shared" si="10"/>
        <v>530401</v>
      </c>
      <c r="H74" s="1699">
        <f t="shared" si="10"/>
        <v>6156</v>
      </c>
      <c r="I74" s="1699">
        <f t="shared" si="10"/>
        <v>0</v>
      </c>
      <c r="J74" s="1699">
        <f t="shared" si="10"/>
        <v>0</v>
      </c>
      <c r="K74" s="1699">
        <f t="shared" si="10"/>
        <v>7104401</v>
      </c>
      <c r="L74" s="1699">
        <f>SUM(L42,L47,L53,L57,L65,L72,L73)</f>
        <v>7041785</v>
      </c>
    </row>
    <row r="75" spans="1:14" s="259" customFormat="1" ht="15.75" customHeight="1" thickTop="1" thickBot="1" x14ac:dyDescent="0.25">
      <c r="A75" s="1632" t="s">
        <v>49</v>
      </c>
      <c r="B75" s="1633" t="s">
        <v>595</v>
      </c>
      <c r="C75" s="573">
        <v>18409</v>
      </c>
      <c r="D75" s="573">
        <v>4579</v>
      </c>
      <c r="E75" s="573">
        <v>44070</v>
      </c>
      <c r="F75" s="573">
        <v>1074</v>
      </c>
      <c r="G75" s="573"/>
      <c r="H75" s="573"/>
      <c r="I75" s="531"/>
      <c r="J75" s="531"/>
      <c r="K75" s="1692">
        <f>SUM(C75:J75)</f>
        <v>68132</v>
      </c>
      <c r="L75" s="576">
        <v>71565</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498074</v>
      </c>
      <c r="F79" s="617"/>
      <c r="G79" s="617"/>
      <c r="H79" s="466">
        <v>125655</v>
      </c>
      <c r="I79" s="477"/>
      <c r="J79" s="477"/>
      <c r="K79" s="1693">
        <f t="shared" si="11"/>
        <v>623729</v>
      </c>
      <c r="L79" s="466">
        <v>288696</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498074</v>
      </c>
      <c r="F84" s="617"/>
      <c r="G84" s="617"/>
      <c r="H84" s="1692">
        <f>SUM(H78:H83)</f>
        <v>125655</v>
      </c>
      <c r="I84" s="477"/>
      <c r="J84" s="477"/>
      <c r="K84" s="1692">
        <f>SUM(K78:K83)</f>
        <v>623729</v>
      </c>
      <c r="L84" s="1692">
        <f>SUM(L78:L83)</f>
        <v>288696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176011</v>
      </c>
      <c r="I86" s="477"/>
      <c r="J86" s="477"/>
      <c r="K86" s="1699">
        <f t="shared" ref="K86:K98" si="12">H86</f>
        <v>176011</v>
      </c>
      <c r="L86" s="530">
        <v>187411</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176011</v>
      </c>
      <c r="I92" s="477"/>
      <c r="J92" s="477"/>
      <c r="K92" s="1699">
        <f t="shared" si="12"/>
        <v>176011</v>
      </c>
      <c r="L92" s="1692">
        <f>SUM(L85:L91)</f>
        <v>187411</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498074</v>
      </c>
      <c r="F102" s="617"/>
      <c r="G102" s="617"/>
      <c r="H102" s="1699">
        <f>SUM(H84,H92,H100,H101)</f>
        <v>301666</v>
      </c>
      <c r="I102" s="477"/>
      <c r="J102" s="477"/>
      <c r="K102" s="1699">
        <f>SUM(K84,K92,K100,K101)</f>
        <v>799740</v>
      </c>
      <c r="L102" s="1699">
        <f>SUM(L84,L92,L100,L101)</f>
        <v>476107</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14661821</v>
      </c>
      <c r="D114" s="1692">
        <f t="shared" ref="D114:K114" si="13">SUM(D33,D74,D75,D102,D112,D113)</f>
        <v>2454645</v>
      </c>
      <c r="E114" s="1692">
        <f t="shared" si="13"/>
        <v>1691445</v>
      </c>
      <c r="F114" s="1692">
        <f t="shared" si="13"/>
        <v>746568</v>
      </c>
      <c r="G114" s="1692">
        <f t="shared" si="13"/>
        <v>560209</v>
      </c>
      <c r="H114" s="1692">
        <f>SUM(H33,H74,H75,H102,H112,H113)</f>
        <v>730745</v>
      </c>
      <c r="I114" s="1692">
        <f t="shared" si="13"/>
        <v>0</v>
      </c>
      <c r="J114" s="1692">
        <f t="shared" si="13"/>
        <v>0</v>
      </c>
      <c r="K114" s="1692">
        <f t="shared" si="13"/>
        <v>20845433</v>
      </c>
      <c r="L114" s="1692">
        <f>SUM(L33,L74,L75,L102,L112,L113)</f>
        <v>21108881</v>
      </c>
    </row>
    <row r="115" spans="1:14" ht="13.5" thickTop="1" x14ac:dyDescent="0.2">
      <c r="A115" s="2198" t="s">
        <v>1052</v>
      </c>
      <c r="B115" s="2199"/>
      <c r="C115" s="619"/>
      <c r="D115" s="619"/>
      <c r="E115" s="619"/>
      <c r="F115" s="619"/>
      <c r="G115" s="619"/>
      <c r="H115" s="619"/>
      <c r="I115" s="619"/>
      <c r="J115" s="619"/>
      <c r="K115" s="1706">
        <f>'Revenues 9-14'!C275-'Expenditures 15-22'!K114</f>
        <v>1365675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313</v>
      </c>
      <c r="B117" s="2177"/>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260</v>
      </c>
      <c r="F123" s="466"/>
      <c r="G123" s="466"/>
      <c r="H123" s="466"/>
      <c r="I123" s="467"/>
      <c r="J123" s="467"/>
      <c r="K123" s="1692">
        <f>SUM(C123:J123)</f>
        <v>260</v>
      </c>
      <c r="L123" s="466">
        <v>42642</v>
      </c>
    </row>
    <row r="124" spans="1:14" ht="14.25" thickTop="1" thickBot="1" x14ac:dyDescent="0.25">
      <c r="A124" s="1526" t="s">
        <v>206</v>
      </c>
      <c r="B124" s="615">
        <v>2540</v>
      </c>
      <c r="C124" s="466">
        <v>105758</v>
      </c>
      <c r="D124" s="466">
        <v>12954</v>
      </c>
      <c r="E124" s="466">
        <v>1134208</v>
      </c>
      <c r="F124" s="466">
        <v>445054</v>
      </c>
      <c r="G124" s="466"/>
      <c r="H124" s="466"/>
      <c r="I124" s="467"/>
      <c r="J124" s="467"/>
      <c r="K124" s="1692">
        <f>SUM(C124:J124)</f>
        <v>1697974</v>
      </c>
      <c r="L124" s="466">
        <f>1852042+75000</f>
        <v>1927042</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105758</v>
      </c>
      <c r="D127" s="1692">
        <f t="shared" ref="D127:L127" si="14">SUM(D122:D126)</f>
        <v>12954</v>
      </c>
      <c r="E127" s="1692">
        <f t="shared" si="14"/>
        <v>1134468</v>
      </c>
      <c r="F127" s="1692">
        <f t="shared" si="14"/>
        <v>445054</v>
      </c>
      <c r="G127" s="1692">
        <f t="shared" si="14"/>
        <v>0</v>
      </c>
      <c r="H127" s="1692">
        <f t="shared" si="14"/>
        <v>0</v>
      </c>
      <c r="I127" s="1692">
        <f t="shared" si="14"/>
        <v>0</v>
      </c>
      <c r="J127" s="1692">
        <f t="shared" si="14"/>
        <v>0</v>
      </c>
      <c r="K127" s="1692">
        <f t="shared" si="14"/>
        <v>1698234</v>
      </c>
      <c r="L127" s="1692">
        <f t="shared" si="14"/>
        <v>1969684</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105758</v>
      </c>
      <c r="D129" s="1699">
        <f t="shared" ref="D129:L129" si="15">SUM(D120,D127,D128)</f>
        <v>12954</v>
      </c>
      <c r="E129" s="1699">
        <f t="shared" si="15"/>
        <v>1134468</v>
      </c>
      <c r="F129" s="1699">
        <f t="shared" si="15"/>
        <v>445054</v>
      </c>
      <c r="G129" s="1699">
        <f t="shared" si="15"/>
        <v>0</v>
      </c>
      <c r="H129" s="1699">
        <f t="shared" si="15"/>
        <v>0</v>
      </c>
      <c r="I129" s="1699">
        <f t="shared" si="15"/>
        <v>0</v>
      </c>
      <c r="J129" s="1699">
        <f t="shared" si="15"/>
        <v>0</v>
      </c>
      <c r="K129" s="1699">
        <f t="shared" si="15"/>
        <v>1698234</v>
      </c>
      <c r="L129" s="1699">
        <f t="shared" si="15"/>
        <v>1969684</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8" t="s">
        <v>640</v>
      </c>
      <c r="B151" s="2170"/>
      <c r="C151" s="1692">
        <f>SUM(C129,C130,C139,C149,C150)</f>
        <v>105758</v>
      </c>
      <c r="D151" s="1692">
        <f t="shared" ref="D151:K151" si="16">SUM(D129,D130,D139,D149,D150)</f>
        <v>12954</v>
      </c>
      <c r="E151" s="1692">
        <f t="shared" si="16"/>
        <v>1134468</v>
      </c>
      <c r="F151" s="1692">
        <f t="shared" si="16"/>
        <v>445054</v>
      </c>
      <c r="G151" s="1692">
        <f t="shared" si="16"/>
        <v>0</v>
      </c>
      <c r="H151" s="1692">
        <f t="shared" si="16"/>
        <v>0</v>
      </c>
      <c r="I151" s="1692">
        <f t="shared" si="16"/>
        <v>0</v>
      </c>
      <c r="J151" s="1692">
        <f t="shared" si="16"/>
        <v>0</v>
      </c>
      <c r="K151" s="1692">
        <f t="shared" si="16"/>
        <v>1698234</v>
      </c>
      <c r="L151" s="1692">
        <f>SUM(L129,L130,L139,L149,L150)</f>
        <v>1969684</v>
      </c>
    </row>
    <row r="152" spans="1:14" ht="12.75" customHeight="1" thickTop="1" x14ac:dyDescent="0.2">
      <c r="A152" s="2191" t="s">
        <v>1239</v>
      </c>
      <c r="B152" s="2192"/>
      <c r="C152" s="619"/>
      <c r="D152" s="619"/>
      <c r="E152" s="619"/>
      <c r="F152" s="619"/>
      <c r="G152" s="619"/>
      <c r="H152" s="619"/>
      <c r="I152" s="619"/>
      <c r="J152" s="617"/>
      <c r="K152" s="1706">
        <f>'Revenues 9-14'!D275-'Expenditures 15-22'!K151</f>
        <v>534358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641</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736128</v>
      </c>
      <c r="I169" s="617"/>
      <c r="J169" s="617"/>
      <c r="K169" s="1693">
        <f>SUM(C169:H169)</f>
        <v>736128</v>
      </c>
      <c r="L169" s="657"/>
    </row>
    <row r="170" spans="1:14" ht="33.75" customHeight="1" x14ac:dyDescent="0.2">
      <c r="A170" s="670" t="s">
        <v>1768</v>
      </c>
      <c r="B170" s="672" t="s">
        <v>31</v>
      </c>
      <c r="C170" s="617"/>
      <c r="D170" s="617"/>
      <c r="E170" s="617"/>
      <c r="F170" s="617"/>
      <c r="G170" s="617"/>
      <c r="H170" s="569">
        <v>3005000</v>
      </c>
      <c r="I170" s="617"/>
      <c r="J170" s="617"/>
      <c r="K170" s="1693">
        <f>SUM(C170:J170)</f>
        <v>3005000</v>
      </c>
      <c r="L170" s="569"/>
    </row>
    <row r="171" spans="1:14" ht="15.75" customHeight="1" x14ac:dyDescent="0.2">
      <c r="A171" s="622" t="s">
        <v>789</v>
      </c>
      <c r="B171" s="673" t="s">
        <v>86</v>
      </c>
      <c r="C171" s="617"/>
      <c r="D171" s="617"/>
      <c r="E171" s="466"/>
      <c r="F171" s="617"/>
      <c r="G171" s="617"/>
      <c r="H171" s="569">
        <v>10291</v>
      </c>
      <c r="I171" s="477"/>
      <c r="J171" s="617"/>
      <c r="K171" s="1693">
        <f>SUM(C171:J171)</f>
        <v>10291</v>
      </c>
      <c r="L171" s="569"/>
    </row>
    <row r="172" spans="1:14" ht="12.75" customHeight="1" thickBot="1" x14ac:dyDescent="0.25">
      <c r="A172" s="1690" t="s">
        <v>658</v>
      </c>
      <c r="B172" s="1691" t="s">
        <v>512</v>
      </c>
      <c r="C172" s="617"/>
      <c r="D172" s="617"/>
      <c r="E172" s="1699">
        <f>SUM(E168,E169,E170,E171)</f>
        <v>0</v>
      </c>
      <c r="F172" s="617"/>
      <c r="G172" s="617"/>
      <c r="H172" s="1699">
        <f>SUM(H168,H169,H170,H171)</f>
        <v>3751419</v>
      </c>
      <c r="I172" s="639"/>
      <c r="J172" s="617"/>
      <c r="K172" s="1699">
        <f>SUM(K168,K169,K170,K171)</f>
        <v>3751419</v>
      </c>
      <c r="L172" s="1699">
        <f>SUM(L168,L169,L170,L171)</f>
        <v>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3751419</v>
      </c>
      <c r="I174" s="639"/>
      <c r="J174" s="617"/>
      <c r="K174" s="1699">
        <f>SUM(K160,K172,K173)</f>
        <v>3751419</v>
      </c>
      <c r="L174" s="1699">
        <f>SUM(L160,L172,L173)</f>
        <v>0</v>
      </c>
    </row>
    <row r="175" spans="1:14" ht="13.5" thickTop="1" x14ac:dyDescent="0.2">
      <c r="A175" s="2198" t="s">
        <v>1052</v>
      </c>
      <c r="B175" s="2199"/>
      <c r="C175" s="617"/>
      <c r="D175" s="617"/>
      <c r="E175" s="617"/>
      <c r="F175" s="617"/>
      <c r="G175" s="617"/>
      <c r="H175" s="619"/>
      <c r="I175" s="617"/>
      <c r="J175" s="617"/>
      <c r="K175" s="1706">
        <f>'Revenues 9-14'!E275-'Expenditures 15-22'!K174</f>
        <v>-324708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6953</v>
      </c>
      <c r="D180" s="466">
        <v>1390</v>
      </c>
      <c r="E180" s="466"/>
      <c r="F180" s="466"/>
      <c r="G180" s="466"/>
      <c r="H180" s="466"/>
      <c r="I180" s="467"/>
      <c r="J180" s="467"/>
      <c r="K180" s="1693">
        <f>SUM(C180:J180)</f>
        <v>8343</v>
      </c>
      <c r="L180" s="466">
        <v>15200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724660</v>
      </c>
      <c r="D182" s="466">
        <v>126730</v>
      </c>
      <c r="E182" s="466">
        <v>513057</v>
      </c>
      <c r="F182" s="466">
        <v>100828</v>
      </c>
      <c r="G182" s="466"/>
      <c r="H182" s="466">
        <v>22141</v>
      </c>
      <c r="I182" s="467"/>
      <c r="J182" s="467"/>
      <c r="K182" s="1693">
        <f>SUM(C182:J182)</f>
        <v>1487416</v>
      </c>
      <c r="L182" s="466">
        <f>1502469+25000</f>
        <v>1527469</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731613</v>
      </c>
      <c r="D184" s="1699">
        <f t="shared" ref="D184:J184" si="17">SUM(D180,D182,D183)</f>
        <v>128120</v>
      </c>
      <c r="E184" s="1699">
        <f t="shared" si="17"/>
        <v>513057</v>
      </c>
      <c r="F184" s="1699">
        <f t="shared" si="17"/>
        <v>100828</v>
      </c>
      <c r="G184" s="1699">
        <f t="shared" si="17"/>
        <v>0</v>
      </c>
      <c r="H184" s="1699">
        <f t="shared" si="17"/>
        <v>22141</v>
      </c>
      <c r="I184" s="1699">
        <f t="shared" si="17"/>
        <v>0</v>
      </c>
      <c r="J184" s="1699">
        <f t="shared" si="17"/>
        <v>0</v>
      </c>
      <c r="K184" s="1699">
        <f>SUM(K180,K182,K183)</f>
        <v>1495759</v>
      </c>
      <c r="L184" s="1699">
        <f>SUM(L180, L182:L183)</f>
        <v>1542669</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731613</v>
      </c>
      <c r="D210" s="1692">
        <f>SUM(D184,D185)</f>
        <v>128120</v>
      </c>
      <c r="E210" s="1692">
        <f>SUM(E184,E185,E196)</f>
        <v>513057</v>
      </c>
      <c r="F210" s="1692">
        <f>SUM(F184,F185)</f>
        <v>100828</v>
      </c>
      <c r="G210" s="1692">
        <f>SUM(G184,G185)</f>
        <v>0</v>
      </c>
      <c r="H210" s="1692">
        <f>SUM(H184,H185,H196,H208,H209)</f>
        <v>22141</v>
      </c>
      <c r="I210" s="1692">
        <f>SUM(I184,I185)</f>
        <v>0</v>
      </c>
      <c r="J210" s="1692">
        <f>SUM(J184,J185)</f>
        <v>0</v>
      </c>
      <c r="K210" s="1693">
        <f>SUM(K184,K185,K196,K208,K209)</f>
        <v>1495759</v>
      </c>
      <c r="L210" s="1692">
        <f>SUM(L184,L185,L196,L208,L209)</f>
        <v>1542669</v>
      </c>
    </row>
    <row r="211" spans="1:14" ht="13.5" thickTop="1" x14ac:dyDescent="0.2">
      <c r="A211" s="2198" t="s">
        <v>1052</v>
      </c>
      <c r="B211" s="2199"/>
      <c r="C211" s="619"/>
      <c r="D211" s="619"/>
      <c r="E211" s="619"/>
      <c r="F211" s="619"/>
      <c r="G211" s="619"/>
      <c r="H211" s="619"/>
      <c r="I211" s="617"/>
      <c r="J211" s="617"/>
      <c r="K211" s="1706">
        <f>'Revenues 9-14'!F275-'Expenditures 15-22'!K210</f>
        <v>205029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1021</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83080</v>
      </c>
      <c r="E215" s="617"/>
      <c r="F215" s="617"/>
      <c r="G215" s="617"/>
      <c r="H215" s="617"/>
      <c r="I215" s="617"/>
      <c r="J215" s="617"/>
      <c r="K215" s="1693">
        <f>D215</f>
        <v>83080</v>
      </c>
      <c r="L215" s="466">
        <v>93978</v>
      </c>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193614</v>
      </c>
      <c r="E217" s="617"/>
      <c r="F217" s="617"/>
      <c r="G217" s="617"/>
      <c r="H217" s="617"/>
      <c r="I217" s="617"/>
      <c r="J217" s="617"/>
      <c r="K217" s="1693">
        <f t="shared" si="19"/>
        <v>193614</v>
      </c>
      <c r="L217" s="466">
        <v>223814</v>
      </c>
    </row>
    <row r="218" spans="1:14" x14ac:dyDescent="0.2">
      <c r="A218" s="1526" t="s">
        <v>295</v>
      </c>
      <c r="B218" s="615" t="s">
        <v>1024</v>
      </c>
      <c r="C218" s="617"/>
      <c r="D218" s="467">
        <v>20972</v>
      </c>
      <c r="E218" s="617"/>
      <c r="F218" s="617"/>
      <c r="G218" s="617"/>
      <c r="H218" s="617"/>
      <c r="I218" s="617"/>
      <c r="J218" s="617"/>
      <c r="K218" s="1693">
        <f t="shared" si="19"/>
        <v>20972</v>
      </c>
      <c r="L218" s="466">
        <v>7351</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752</v>
      </c>
      <c r="E223" s="617"/>
      <c r="F223" s="617"/>
      <c r="G223" s="617"/>
      <c r="H223" s="617"/>
      <c r="I223" s="617"/>
      <c r="J223" s="617"/>
      <c r="K223" s="1693">
        <f t="shared" si="19"/>
        <v>752</v>
      </c>
      <c r="L223" s="466">
        <v>905</v>
      </c>
    </row>
    <row r="224" spans="1:14" x14ac:dyDescent="0.2">
      <c r="A224" s="1526" t="s">
        <v>1020</v>
      </c>
      <c r="B224" s="615">
        <v>1600</v>
      </c>
      <c r="C224" s="617"/>
      <c r="D224" s="466">
        <v>5463</v>
      </c>
      <c r="E224" s="617"/>
      <c r="F224" s="617"/>
      <c r="G224" s="617"/>
      <c r="H224" s="617"/>
      <c r="I224" s="617"/>
      <c r="J224" s="617"/>
      <c r="K224" s="1693">
        <f t="shared" si="19"/>
        <v>5463</v>
      </c>
      <c r="L224" s="466">
        <v>1634</v>
      </c>
    </row>
    <row r="225" spans="1:12" x14ac:dyDescent="0.2">
      <c r="A225" s="1526" t="s">
        <v>1043</v>
      </c>
      <c r="B225" s="615">
        <v>1650</v>
      </c>
      <c r="C225" s="617"/>
      <c r="D225" s="466">
        <v>1324</v>
      </c>
      <c r="E225" s="617"/>
      <c r="F225" s="617"/>
      <c r="G225" s="617"/>
      <c r="H225" s="617"/>
      <c r="I225" s="617"/>
      <c r="J225" s="617"/>
      <c r="K225" s="1693">
        <f t="shared" si="19"/>
        <v>1324</v>
      </c>
      <c r="L225" s="466">
        <v>2415</v>
      </c>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v>13348</v>
      </c>
      <c r="E227" s="617"/>
      <c r="F227" s="617"/>
      <c r="G227" s="617"/>
      <c r="H227" s="617"/>
      <c r="I227" s="617"/>
      <c r="J227" s="617"/>
      <c r="K227" s="1693">
        <f t="shared" si="19"/>
        <v>13348</v>
      </c>
      <c r="L227" s="466">
        <v>27143</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318553</v>
      </c>
      <c r="E229" s="617"/>
      <c r="F229" s="617"/>
      <c r="G229" s="617"/>
      <c r="H229" s="617"/>
      <c r="I229" s="617"/>
      <c r="J229" s="617"/>
      <c r="K229" s="1692">
        <f>SUM(K215:K228)</f>
        <v>318553</v>
      </c>
      <c r="L229" s="1692">
        <f>SUM(L215:L228)</f>
        <v>357240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5690</v>
      </c>
      <c r="E232" s="617"/>
      <c r="F232" s="617"/>
      <c r="G232" s="617"/>
      <c r="H232" s="617"/>
      <c r="I232" s="617"/>
      <c r="J232" s="617"/>
      <c r="K232" s="1693">
        <f t="shared" ref="K232:K237" si="20">D232</f>
        <v>5690</v>
      </c>
      <c r="L232" s="466">
        <v>6250</v>
      </c>
    </row>
    <row r="233" spans="1:12" x14ac:dyDescent="0.2">
      <c r="A233" s="1526" t="s">
        <v>1150</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94305</v>
      </c>
      <c r="E234" s="617"/>
      <c r="F234" s="617"/>
      <c r="G234" s="617"/>
      <c r="H234" s="617"/>
      <c r="I234" s="617"/>
      <c r="J234" s="617"/>
      <c r="K234" s="1693">
        <f t="shared" si="20"/>
        <v>94305</v>
      </c>
      <c r="L234" s="466">
        <v>103446</v>
      </c>
    </row>
    <row r="235" spans="1:12" x14ac:dyDescent="0.2">
      <c r="A235" s="1526" t="s">
        <v>208</v>
      </c>
      <c r="B235" s="615">
        <v>2140</v>
      </c>
      <c r="C235" s="617"/>
      <c r="D235" s="466">
        <v>4512</v>
      </c>
      <c r="E235" s="617"/>
      <c r="F235" s="617"/>
      <c r="G235" s="617"/>
      <c r="H235" s="617"/>
      <c r="I235" s="617"/>
      <c r="J235" s="617"/>
      <c r="K235" s="1693">
        <f t="shared" si="20"/>
        <v>4512</v>
      </c>
      <c r="L235" s="466">
        <v>4938</v>
      </c>
    </row>
    <row r="236" spans="1:12" x14ac:dyDescent="0.2">
      <c r="A236" s="1526" t="s">
        <v>209</v>
      </c>
      <c r="B236" s="615">
        <v>2150</v>
      </c>
      <c r="C236" s="617"/>
      <c r="D236" s="466">
        <v>5081</v>
      </c>
      <c r="E236" s="617"/>
      <c r="F236" s="617"/>
      <c r="G236" s="617"/>
      <c r="H236" s="617"/>
      <c r="I236" s="617"/>
      <c r="J236" s="617"/>
      <c r="K236" s="1693">
        <f t="shared" si="20"/>
        <v>5081</v>
      </c>
      <c r="L236" s="466">
        <v>6949</v>
      </c>
    </row>
    <row r="237" spans="1:12" x14ac:dyDescent="0.2">
      <c r="A237" s="1526" t="s">
        <v>167</v>
      </c>
      <c r="B237" s="615">
        <v>2190</v>
      </c>
      <c r="C237" s="617"/>
      <c r="D237" s="466">
        <v>6929</v>
      </c>
      <c r="E237" s="617"/>
      <c r="F237" s="617"/>
      <c r="G237" s="617"/>
      <c r="H237" s="617"/>
      <c r="I237" s="617"/>
      <c r="J237" s="617"/>
      <c r="K237" s="1693">
        <f t="shared" si="20"/>
        <v>6929</v>
      </c>
      <c r="L237" s="466">
        <v>29021</v>
      </c>
    </row>
    <row r="238" spans="1:12" ht="12.75" customHeight="1" thickBot="1" x14ac:dyDescent="0.25">
      <c r="A238" s="1690" t="s">
        <v>580</v>
      </c>
      <c r="B238" s="1697" t="s">
        <v>739</v>
      </c>
      <c r="C238" s="617"/>
      <c r="D238" s="1692">
        <f>SUM(D232:D237)</f>
        <v>116517</v>
      </c>
      <c r="E238" s="617"/>
      <c r="F238" s="617"/>
      <c r="G238" s="617"/>
      <c r="H238" s="617"/>
      <c r="I238" s="617"/>
      <c r="J238" s="617"/>
      <c r="K238" s="1692">
        <f>SUM(K232:K237)</f>
        <v>116517</v>
      </c>
      <c r="L238" s="1692">
        <f>SUM(L232:L237)</f>
        <v>150604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10792</v>
      </c>
      <c r="E240" s="617"/>
      <c r="F240" s="617"/>
      <c r="G240" s="617"/>
      <c r="H240" s="617"/>
      <c r="I240" s="617"/>
      <c r="J240" s="617"/>
      <c r="K240" s="1694">
        <f>D240</f>
        <v>10792</v>
      </c>
      <c r="L240" s="481">
        <v>10207</v>
      </c>
    </row>
    <row r="241" spans="1:12" x14ac:dyDescent="0.2">
      <c r="A241" s="1526" t="s">
        <v>868</v>
      </c>
      <c r="B241" s="615">
        <v>2220</v>
      </c>
      <c r="C241" s="617"/>
      <c r="D241" s="466">
        <v>21463</v>
      </c>
      <c r="E241" s="617"/>
      <c r="F241" s="617"/>
      <c r="G241" s="617"/>
      <c r="H241" s="617"/>
      <c r="I241" s="617"/>
      <c r="J241" s="617"/>
      <c r="K241" s="1694">
        <f>D241</f>
        <v>21463</v>
      </c>
      <c r="L241" s="466">
        <v>25907</v>
      </c>
    </row>
    <row r="242" spans="1:12" x14ac:dyDescent="0.2">
      <c r="A242" s="1526" t="s">
        <v>869</v>
      </c>
      <c r="B242" s="615">
        <v>2230</v>
      </c>
      <c r="C242" s="617"/>
      <c r="D242" s="466">
        <v>8</v>
      </c>
      <c r="E242" s="617"/>
      <c r="F242" s="617"/>
      <c r="G242" s="617"/>
      <c r="H242" s="617"/>
      <c r="I242" s="617"/>
      <c r="J242" s="617"/>
      <c r="K242" s="1694">
        <f>D242</f>
        <v>8</v>
      </c>
      <c r="L242" s="466"/>
    </row>
    <row r="243" spans="1:12" ht="12.75" customHeight="1" thickBot="1" x14ac:dyDescent="0.25">
      <c r="A243" s="1716" t="s">
        <v>581</v>
      </c>
      <c r="B243" s="1717">
        <v>2200</v>
      </c>
      <c r="C243" s="617"/>
      <c r="D243" s="1692">
        <f>SUM(D240:D242)</f>
        <v>32263</v>
      </c>
      <c r="E243" s="617"/>
      <c r="F243" s="617"/>
      <c r="G243" s="617"/>
      <c r="H243" s="617"/>
      <c r="I243" s="617"/>
      <c r="J243" s="617"/>
      <c r="K243" s="1692">
        <f>SUM(K240:K242)</f>
        <v>32263</v>
      </c>
      <c r="L243" s="1692">
        <f>SUM(L240:L242)</f>
        <v>36114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11342</v>
      </c>
      <c r="E246" s="617"/>
      <c r="F246" s="617"/>
      <c r="G246" s="617"/>
      <c r="H246" s="617"/>
      <c r="I246" s="617"/>
      <c r="J246" s="617"/>
      <c r="K246" s="1694">
        <f t="shared" ref="K246:K256" si="21">D246</f>
        <v>11342</v>
      </c>
      <c r="L246" s="466">
        <v>11761</v>
      </c>
    </row>
    <row r="247" spans="1:12" x14ac:dyDescent="0.2">
      <c r="A247" s="1526" t="s">
        <v>872</v>
      </c>
      <c r="B247" s="615">
        <v>2330</v>
      </c>
      <c r="C247" s="617"/>
      <c r="D247" s="466">
        <v>9871</v>
      </c>
      <c r="E247" s="617"/>
      <c r="F247" s="617"/>
      <c r="G247" s="617"/>
      <c r="H247" s="617"/>
      <c r="I247" s="617"/>
      <c r="J247" s="617"/>
      <c r="K247" s="1694">
        <f t="shared" si="21"/>
        <v>9871</v>
      </c>
      <c r="L247" s="466">
        <v>10032</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21213</v>
      </c>
      <c r="E257" s="617"/>
      <c r="F257" s="617"/>
      <c r="G257" s="617"/>
      <c r="H257" s="617"/>
      <c r="I257" s="617"/>
      <c r="J257" s="617"/>
      <c r="K257" s="1692">
        <f>SUM(K245:K256)</f>
        <v>21213</v>
      </c>
      <c r="L257" s="1692">
        <f>SUM(L245:L256)</f>
        <v>21793</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45438</v>
      </c>
      <c r="E259" s="617"/>
      <c r="F259" s="617"/>
      <c r="G259" s="617"/>
      <c r="H259" s="617"/>
      <c r="I259" s="617"/>
      <c r="J259" s="617"/>
      <c r="K259" s="1694">
        <f>D259</f>
        <v>45438</v>
      </c>
      <c r="L259" s="481">
        <v>46794</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45438</v>
      </c>
      <c r="E261" s="617"/>
      <c r="F261" s="617"/>
      <c r="G261" s="617"/>
      <c r="H261" s="617"/>
      <c r="I261" s="617"/>
      <c r="J261" s="617"/>
      <c r="K261" s="1692">
        <f>SUM(K259:K260)</f>
        <v>45438</v>
      </c>
      <c r="L261" s="1692">
        <f>SUM(L259:L260)</f>
        <v>46794</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1590</v>
      </c>
      <c r="E263" s="617"/>
      <c r="F263" s="617"/>
      <c r="G263" s="617"/>
      <c r="H263" s="617"/>
      <c r="I263" s="617"/>
      <c r="J263" s="617"/>
      <c r="K263" s="1694">
        <f>D263</f>
        <v>1590</v>
      </c>
      <c r="L263" s="481">
        <v>1477</v>
      </c>
    </row>
    <row r="264" spans="1:14" x14ac:dyDescent="0.2">
      <c r="A264" s="1526" t="s">
        <v>482</v>
      </c>
      <c r="B264" s="686">
        <v>2520</v>
      </c>
      <c r="C264" s="617"/>
      <c r="D264" s="466">
        <v>40661</v>
      </c>
      <c r="E264" s="617"/>
      <c r="F264" s="617"/>
      <c r="G264" s="617"/>
      <c r="H264" s="617"/>
      <c r="I264" s="617"/>
      <c r="J264" s="617"/>
      <c r="K264" s="1694">
        <f t="shared" ref="K264:K269" si="22">D264</f>
        <v>40661</v>
      </c>
      <c r="L264" s="466">
        <v>34515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21195</v>
      </c>
      <c r="E266" s="617"/>
      <c r="F266" s="617"/>
      <c r="G266" s="617"/>
      <c r="H266" s="617"/>
      <c r="I266" s="617"/>
      <c r="J266" s="617"/>
      <c r="K266" s="1694">
        <f t="shared" si="22"/>
        <v>21195</v>
      </c>
      <c r="L266" s="466">
        <v>21697</v>
      </c>
    </row>
    <row r="267" spans="1:14" x14ac:dyDescent="0.2">
      <c r="A267" s="1526" t="s">
        <v>1009</v>
      </c>
      <c r="B267" s="615">
        <v>2550</v>
      </c>
      <c r="C267" s="617"/>
      <c r="D267" s="466">
        <v>140815</v>
      </c>
      <c r="E267" s="617"/>
      <c r="F267" s="617"/>
      <c r="G267" s="617"/>
      <c r="H267" s="617"/>
      <c r="I267" s="617"/>
      <c r="J267" s="617"/>
      <c r="K267" s="1694">
        <f t="shared" si="22"/>
        <v>140815</v>
      </c>
      <c r="L267" s="466">
        <v>154107</v>
      </c>
    </row>
    <row r="268" spans="1:14" x14ac:dyDescent="0.2">
      <c r="A268" s="1526" t="s">
        <v>102</v>
      </c>
      <c r="B268" s="615">
        <v>2560</v>
      </c>
      <c r="C268" s="617"/>
      <c r="D268" s="466"/>
      <c r="E268" s="617"/>
      <c r="F268" s="617"/>
      <c r="G268" s="617"/>
      <c r="H268" s="617"/>
      <c r="I268" s="617"/>
      <c r="J268" s="617"/>
      <c r="K268" s="1694">
        <f t="shared" si="22"/>
        <v>0</v>
      </c>
      <c r="L268" s="466">
        <v>2770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204261</v>
      </c>
      <c r="E270" s="617"/>
      <c r="F270" s="617"/>
      <c r="G270" s="617"/>
      <c r="H270" s="617"/>
      <c r="I270" s="617"/>
      <c r="J270" s="617"/>
      <c r="K270" s="1692">
        <f>SUM(K263:K269)</f>
        <v>204261</v>
      </c>
      <c r="L270" s="1692">
        <f>SUM(L263:L269)</f>
        <v>214566</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v>11001</v>
      </c>
      <c r="E275" s="617"/>
      <c r="F275" s="617"/>
      <c r="G275" s="617"/>
      <c r="H275" s="617"/>
      <c r="I275" s="617"/>
      <c r="J275" s="617"/>
      <c r="K275" s="1694">
        <f>D275</f>
        <v>11001</v>
      </c>
      <c r="L275" s="466">
        <v>19032</v>
      </c>
    </row>
    <row r="276" spans="1:12" x14ac:dyDescent="0.2">
      <c r="A276" s="1526" t="s">
        <v>423</v>
      </c>
      <c r="B276" s="615">
        <v>2660</v>
      </c>
      <c r="C276" s="617"/>
      <c r="D276" s="466">
        <v>48150</v>
      </c>
      <c r="E276" s="617"/>
      <c r="F276" s="617"/>
      <c r="G276" s="617"/>
      <c r="H276" s="617"/>
      <c r="I276" s="617"/>
      <c r="J276" s="617"/>
      <c r="K276" s="1694">
        <f>D276</f>
        <v>48150</v>
      </c>
      <c r="L276" s="466">
        <v>50005</v>
      </c>
    </row>
    <row r="277" spans="1:12" ht="12.75" customHeight="1" thickBot="1" x14ac:dyDescent="0.25">
      <c r="A277" s="1713" t="s">
        <v>37</v>
      </c>
      <c r="B277" s="1691" t="s">
        <v>36</v>
      </c>
      <c r="C277" s="617"/>
      <c r="D277" s="1692">
        <f>SUM(D272:D276)</f>
        <v>59151</v>
      </c>
      <c r="E277" s="617"/>
      <c r="F277" s="617"/>
      <c r="G277" s="617"/>
      <c r="H277" s="617"/>
      <c r="I277" s="617"/>
      <c r="J277" s="617"/>
      <c r="K277" s="1692">
        <f>SUM(K272:K276)</f>
        <v>59151</v>
      </c>
      <c r="L277" s="1692">
        <f>SUM(L272:L276)</f>
        <v>69037</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478843</v>
      </c>
      <c r="E279" s="617"/>
      <c r="F279" s="617"/>
      <c r="G279" s="617"/>
      <c r="H279" s="617"/>
      <c r="I279" s="617"/>
      <c r="J279" s="617"/>
      <c r="K279" s="1699">
        <f>SUM(K238,K243,K257,K261,K270,K277,K278)</f>
        <v>478843</v>
      </c>
      <c r="L279" s="1699">
        <f>SUM(L238,L243,L257,L261,L270,L277,L278)</f>
        <v>538908</v>
      </c>
    </row>
    <row r="280" spans="1:12" ht="15.75" customHeight="1" thickTop="1" thickBot="1" x14ac:dyDescent="0.25">
      <c r="A280" s="1646" t="s">
        <v>929</v>
      </c>
      <c r="B280" s="1635">
        <v>3000</v>
      </c>
      <c r="C280" s="617"/>
      <c r="D280" s="576">
        <v>14</v>
      </c>
      <c r="E280" s="617"/>
      <c r="F280" s="617"/>
      <c r="G280" s="617"/>
      <c r="H280" s="617"/>
      <c r="I280" s="617"/>
      <c r="J280" s="617"/>
      <c r="K280" s="1701">
        <f>D280</f>
        <v>14</v>
      </c>
      <c r="L280" s="576">
        <v>275</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89" t="s">
        <v>525</v>
      </c>
      <c r="B295" s="2190"/>
      <c r="C295" s="617"/>
      <c r="D295" s="1692">
        <f>SUM(D229,D279,D280,D285)</f>
        <v>797410</v>
      </c>
      <c r="E295" s="617"/>
      <c r="F295" s="617"/>
      <c r="G295" s="617"/>
      <c r="H295" s="1692">
        <f>H293</f>
        <v>0</v>
      </c>
      <c r="I295" s="617"/>
      <c r="J295" s="617"/>
      <c r="K295" s="1692">
        <f>SUM(K229,K279,K280,K285,K293,K294)</f>
        <v>797410</v>
      </c>
      <c r="L295" s="1692">
        <f>SUM(L229,L279,L280,L285,L293,L294)</f>
        <v>896423</v>
      </c>
    </row>
    <row r="296" spans="1:14" ht="13.5" thickTop="1" x14ac:dyDescent="0.2">
      <c r="A296" s="2198" t="s">
        <v>1052</v>
      </c>
      <c r="B296" s="2199"/>
      <c r="C296" s="617"/>
      <c r="D296" s="619"/>
      <c r="E296" s="617"/>
      <c r="F296" s="617"/>
      <c r="G296" s="617"/>
      <c r="H296" s="688"/>
      <c r="I296" s="617"/>
      <c r="J296" s="617"/>
      <c r="K296" s="1706">
        <f>'Revenues 9-14'!G275-'Expenditures 15-22'!K295</f>
        <v>120212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f>488268+37400</f>
        <v>525668</v>
      </c>
      <c r="F301" s="466"/>
      <c r="G301" s="466">
        <v>3717298</v>
      </c>
      <c r="H301" s="466"/>
      <c r="I301" s="467"/>
      <c r="J301" s="467"/>
      <c r="K301" s="1693">
        <f>SUM(C301:J301)</f>
        <v>4242966</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525668</v>
      </c>
      <c r="F303" s="1699">
        <f t="shared" si="23"/>
        <v>0</v>
      </c>
      <c r="G303" s="1699">
        <f t="shared" si="23"/>
        <v>3717298</v>
      </c>
      <c r="H303" s="1699">
        <f t="shared" si="23"/>
        <v>0</v>
      </c>
      <c r="I303" s="1699">
        <f t="shared" si="23"/>
        <v>0</v>
      </c>
      <c r="J303" s="1699">
        <f t="shared" si="23"/>
        <v>0</v>
      </c>
      <c r="K303" s="1699">
        <f t="shared" si="23"/>
        <v>4242966</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6" t="s">
        <v>294</v>
      </c>
      <c r="B312" s="2187"/>
      <c r="C312" s="1692">
        <f>SUM(C303)</f>
        <v>0</v>
      </c>
      <c r="D312" s="1692">
        <f>SUM(D303)</f>
        <v>0</v>
      </c>
      <c r="E312" s="1692">
        <f>SUM(E303,E310)</f>
        <v>525668</v>
      </c>
      <c r="F312" s="1692">
        <f>SUM(F303)</f>
        <v>0</v>
      </c>
      <c r="G312" s="1692">
        <f>SUM(G303)</f>
        <v>3717298</v>
      </c>
      <c r="H312" s="1692">
        <f>SUM(H303,H310)</f>
        <v>0</v>
      </c>
      <c r="I312" s="1692">
        <f>SUM(I303)</f>
        <v>0</v>
      </c>
      <c r="J312" s="1692">
        <f>SUM(J303)</f>
        <v>0</v>
      </c>
      <c r="K312" s="1692">
        <f>SUM(K303,K310,K311)</f>
        <v>4242966</v>
      </c>
      <c r="L312" s="1692">
        <f>SUM(L303,L310,L311)</f>
        <v>0</v>
      </c>
      <c r="M312" s="666"/>
      <c r="N312" s="666"/>
    </row>
    <row r="313" spans="1:14" ht="13.5" thickTop="1" x14ac:dyDescent="0.2">
      <c r="A313" s="2182" t="s">
        <v>1052</v>
      </c>
      <c r="B313" s="2183"/>
      <c r="C313" s="627"/>
      <c r="D313" s="627"/>
      <c r="E313" s="627"/>
      <c r="F313" s="627"/>
      <c r="G313" s="627"/>
      <c r="H313" s="627"/>
      <c r="I313" s="627"/>
      <c r="J313" s="627"/>
      <c r="K313" s="1707">
        <f>'Revenues 9-14'!H275-'Expenditures 15-22'!K312</f>
        <v>-2771054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953</v>
      </c>
      <c r="B317" s="2196"/>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1052</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1022</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1052</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schemas.microsoft.com/office/infopath/2007/PartnerControls"/>
    <ds:schemaRef ds:uri="http://schemas.microsoft.com/sharepoint/v3"/>
    <ds:schemaRef ds:uri="http://schemas.openxmlformats.org/package/2006/metadata/core-properties"/>
    <ds:schemaRef ds:uri="http://schemas.microsoft.com/office/2006/documentManagement/types"/>
    <ds:schemaRef ds:uri="4d435f69-8686-490b-bd6d-b153bf22ab50"/>
    <ds:schemaRef ds:uri="http://purl.org/dc/dcmitype/"/>
    <ds:schemaRef ds:uri="d21dc803-237d-4c68-8692-8d731fd29118"/>
    <ds:schemaRef ds:uri="http://www.w3.org/XML/1998/namespace"/>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2018-12-10T15:08:04Z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