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865"/>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L137" i="29" l="1"/>
  <c r="D12" i="171"/>
  <c r="H357" i="29"/>
  <c r="K356" i="29"/>
  <c r="K357" i="29" s="1"/>
  <c r="K15" i="4" s="1"/>
  <c r="D17" i="171"/>
  <c r="D285" i="29"/>
  <c r="E137" i="29"/>
  <c r="E139" i="29" s="1"/>
  <c r="H137" i="29"/>
  <c r="L285" i="29"/>
  <c r="L357" i="29"/>
  <c r="B7773" i="106"/>
  <c r="B61" i="106" l="1"/>
  <c r="B52" i="106"/>
  <c r="B51" i="106" l="1"/>
  <c r="B49" i="106"/>
  <c r="B48" i="106"/>
  <c r="B47" i="106"/>
  <c r="B46" i="106"/>
  <c r="B45" i="106"/>
  <c r="B44" i="106"/>
  <c r="B43" i="106"/>
  <c r="B42" i="106"/>
  <c r="B41" i="106"/>
  <c r="B50" i="106"/>
  <c r="F163" i="34" l="1"/>
  <c r="B7769" i="106"/>
  <c r="D7769" i="106" s="1"/>
  <c r="B7768" i="106"/>
  <c r="B7766" i="106"/>
  <c r="D7766" i="106" s="1"/>
  <c r="B7765" i="106"/>
  <c r="D7765" i="106" s="1"/>
  <c r="B7764" i="106"/>
  <c r="D7764" i="106" s="1"/>
  <c r="J85" i="28"/>
  <c r="B7758" i="106" s="1"/>
  <c r="D7758" i="106" s="1"/>
  <c r="J88" i="28"/>
  <c r="K6" i="29"/>
  <c r="B7763" i="106" s="1"/>
  <c r="B7762" i="106"/>
  <c r="K12" i="12"/>
  <c r="B7719" i="106" s="1"/>
  <c r="D7719" i="106" s="1"/>
  <c r="K23" i="12"/>
  <c r="J12" i="12"/>
  <c r="B7718" i="106" s="1"/>
  <c r="D7718" i="106" s="1"/>
  <c r="J21" i="12"/>
  <c r="J23" i="12"/>
  <c r="B7729" i="106"/>
  <c r="D7729" i="106" s="1"/>
  <c r="B7734" i="106"/>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6833" i="106" s="1"/>
  <c r="D6833" i="106" s="1"/>
  <c r="B7761" i="106"/>
  <c r="D7761" i="106" s="1"/>
  <c r="L127" i="29"/>
  <c r="L129" i="29" s="1"/>
  <c r="L139" i="29"/>
  <c r="L149" i="29"/>
  <c r="I7" i="145"/>
  <c r="I6" i="145"/>
  <c r="D78" i="36"/>
  <c r="K75" i="29"/>
  <c r="F52" i="34" s="1"/>
  <c r="K130" i="29"/>
  <c r="F56" i="34" s="1"/>
  <c r="K185" i="29"/>
  <c r="F62" i="34"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F26" i="108"/>
  <c r="E27" i="108"/>
  <c r="G27" i="108"/>
  <c r="F31" i="108"/>
  <c r="G28" i="108"/>
  <c r="D31" i="108"/>
  <c r="D36" i="108"/>
  <c r="E31" i="108"/>
  <c r="G31"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C53" i="34"/>
  <c r="D53" i="34"/>
  <c r="C56" i="34"/>
  <c r="C57" i="34"/>
  <c r="D57" i="34"/>
  <c r="C61" i="34"/>
  <c r="C62" i="34"/>
  <c r="C63" i="34"/>
  <c r="D63" i="34"/>
  <c r="C64" i="34"/>
  <c r="C67" i="34"/>
  <c r="D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14" i="4"/>
  <c r="B2609" i="106" s="1"/>
  <c r="D2609" i="106" s="1"/>
  <c r="B2633" i="106"/>
  <c r="D2633" i="106" s="1"/>
  <c r="D7" i="118"/>
  <c r="D8" i="118"/>
  <c r="D9" i="118"/>
  <c r="H14" i="118"/>
  <c r="H19" i="118"/>
  <c r="H24" i="118"/>
  <c r="L22" i="37"/>
  <c r="L5" i="11"/>
  <c r="B2056" i="106" s="1"/>
  <c r="D2056" i="106" s="1"/>
  <c r="F64" i="34" l="1"/>
  <c r="B2836" i="106"/>
  <c r="D2836" i="106" s="1"/>
  <c r="B7047" i="106"/>
  <c r="D7047" i="106" s="1"/>
  <c r="G30" i="108"/>
  <c r="E30" i="108"/>
  <c r="F27" i="108"/>
  <c r="D6103" i="106"/>
  <c r="B3454" i="106"/>
  <c r="D3454" i="106" s="1"/>
  <c r="B2864" i="106"/>
  <c r="D2864" i="106" s="1"/>
  <c r="B2026" i="106"/>
  <c r="D2026" i="106" s="1"/>
  <c r="H342" i="29"/>
  <c r="B7221" i="106" s="1"/>
  <c r="D7221" i="106" s="1"/>
  <c r="B2029" i="106"/>
  <c r="D2029" i="106" s="1"/>
  <c r="B276" i="106"/>
  <c r="D276" i="106" s="1"/>
  <c r="B2028" i="106"/>
  <c r="D2028" i="106" s="1"/>
  <c r="B275" i="106"/>
  <c r="D275" i="106" s="1"/>
  <c r="B2027" i="106"/>
  <c r="D2027" i="106" s="1"/>
  <c r="B274" i="106"/>
  <c r="D274" i="106" s="1"/>
  <c r="B1746" i="106"/>
  <c r="D1746" i="106" s="1"/>
  <c r="F45" i="34"/>
  <c r="G33" i="108"/>
  <c r="F41" i="34"/>
  <c r="G35" i="108"/>
  <c r="D31" i="36"/>
  <c r="B2733" i="106"/>
  <c r="D2733" i="106" s="1"/>
  <c r="D17" i="7"/>
  <c r="B4104" i="106" s="1"/>
  <c r="D4104" i="106" s="1"/>
  <c r="J22" i="37"/>
  <c r="E174" i="29"/>
  <c r="B1309" i="106" s="1"/>
  <c r="D1309" i="106" s="1"/>
  <c r="I342" i="29"/>
  <c r="B7222" i="106" s="1"/>
  <c r="D7222" i="106" s="1"/>
  <c r="C342" i="29"/>
  <c r="B7216" i="106" s="1"/>
  <c r="D7216" i="106" s="1"/>
  <c r="B6289" i="106"/>
  <c r="D6289" i="106" s="1"/>
  <c r="D11" i="37"/>
  <c r="H33" i="118"/>
  <c r="N22" i="3"/>
  <c r="B283" i="106" s="1"/>
  <c r="D283" i="106" s="1"/>
  <c r="H28" i="118"/>
  <c r="D24" i="37"/>
  <c r="B4270" i="106" s="1"/>
  <c r="D4270" i="106" s="1"/>
  <c r="I24" i="12"/>
  <c r="B1996" i="106" s="1"/>
  <c r="D1996" i="106" s="1"/>
  <c r="D68" i="36"/>
  <c r="F21" i="8"/>
  <c r="F19" i="7"/>
  <c r="B1807" i="106" s="1"/>
  <c r="D1807" i="106" s="1"/>
  <c r="D9" i="7"/>
  <c r="B1767" i="106" s="1"/>
  <c r="D1767" i="106" s="1"/>
  <c r="D5" i="7"/>
  <c r="B1761" i="106" s="1"/>
  <c r="D1761" i="106" s="1"/>
  <c r="G172" i="5"/>
  <c r="G173" i="5" s="1"/>
  <c r="B5778" i="106" s="1"/>
  <c r="D5778" i="106" s="1"/>
  <c r="D4" i="7"/>
  <c r="B1760" i="106" s="1"/>
  <c r="D1760" i="106" s="1"/>
  <c r="D11" i="7"/>
  <c r="B1768" i="106" s="1"/>
  <c r="D1768" i="106" s="1"/>
  <c r="D12" i="7"/>
  <c r="B1769" i="106" s="1"/>
  <c r="D1769" i="106" s="1"/>
  <c r="H29" i="118"/>
  <c r="F37" i="34"/>
  <c r="G39" i="108"/>
  <c r="E38" i="108"/>
  <c r="G15" i="145"/>
  <c r="D14" i="4"/>
  <c r="B2570" i="106" s="1"/>
  <c r="D2570" i="106" s="1"/>
  <c r="F37" i="108"/>
  <c r="E26" i="108"/>
  <c r="J210" i="29"/>
  <c r="B7072" i="106" s="1"/>
  <c r="D7072" i="106" s="1"/>
  <c r="F106" i="34"/>
  <c r="F34" i="34"/>
  <c r="H76" i="4"/>
  <c r="B3298" i="106" s="1"/>
  <c r="D3298" i="106" s="1"/>
  <c r="F14" i="4"/>
  <c r="B2597" i="106" s="1"/>
  <c r="D2597" i="106" s="1"/>
  <c r="F71" i="34"/>
  <c r="C14" i="4"/>
  <c r="B2558" i="106" s="1"/>
  <c r="D2558" i="106" s="1"/>
  <c r="B5096" i="106"/>
  <c r="D5096" i="106" s="1"/>
  <c r="F35" i="34"/>
  <c r="F36" i="108"/>
  <c r="J129" i="29"/>
  <c r="B7038" i="106" s="1"/>
  <c r="D7038" i="106" s="1"/>
  <c r="B1124" i="106"/>
  <c r="D1124" i="106" s="1"/>
  <c r="D13" i="7"/>
  <c r="B3726" i="106" s="1"/>
  <c r="D3726" i="106" s="1"/>
  <c r="F70" i="34"/>
  <c r="D37" i="108"/>
  <c r="D41" i="108" s="1"/>
  <c r="E43" i="108" s="1"/>
  <c r="I129" i="29"/>
  <c r="B7037" i="106" s="1"/>
  <c r="D7037" i="106" s="1"/>
  <c r="H112" i="29"/>
  <c r="B7018" i="106" s="1"/>
  <c r="D7018" i="106" s="1"/>
  <c r="H365" i="29"/>
  <c r="B7242" i="106" s="1"/>
  <c r="D7242" i="106" s="1"/>
  <c r="J352" i="29"/>
  <c r="J367" i="29" s="1"/>
  <c r="B7245" i="106" s="1"/>
  <c r="D7245" i="106" s="1"/>
  <c r="I210" i="29"/>
  <c r="B7071" i="106" s="1"/>
  <c r="D7071" i="106" s="1"/>
  <c r="K76" i="4"/>
  <c r="B3586" i="106" s="1"/>
  <c r="D3586" i="106" s="1"/>
  <c r="B5161" i="106"/>
  <c r="D5161" i="106" s="1"/>
  <c r="F128" i="34"/>
  <c r="B4373" i="106"/>
  <c r="D4373" i="106" s="1"/>
  <c r="K173" i="5"/>
  <c r="K6" i="4" s="1"/>
  <c r="B3570" i="106" s="1"/>
  <c r="D3570" i="106" s="1"/>
  <c r="F136" i="34"/>
  <c r="K285" i="29"/>
  <c r="B3724" i="106" s="1"/>
  <c r="D3724" i="106" s="1"/>
  <c r="L367" i="29"/>
  <c r="B7074" i="106"/>
  <c r="D7074" i="106" s="1"/>
  <c r="G29" i="108"/>
  <c r="E29" i="108"/>
  <c r="F66" i="34"/>
  <c r="G26" i="108"/>
  <c r="B1223" i="106"/>
  <c r="D1223" i="106" s="1"/>
  <c r="B1274" i="106"/>
  <c r="D1274" i="106" s="1"/>
  <c r="G38" i="108"/>
  <c r="G34" i="108"/>
  <c r="F28" i="108"/>
  <c r="E28" i="108"/>
  <c r="B2724" i="106"/>
  <c r="D2724" i="106" s="1"/>
  <c r="F42" i="34"/>
  <c r="F36" i="34"/>
  <c r="F50" i="34"/>
  <c r="F44" i="34"/>
  <c r="F46" i="34"/>
  <c r="K274" i="5"/>
  <c r="B6022" i="106" s="1"/>
  <c r="D6022" i="106" s="1"/>
  <c r="F130" i="34"/>
  <c r="F127" i="34"/>
  <c r="J274" i="5"/>
  <c r="B7054" i="106" s="1"/>
  <c r="D7054" i="106" s="1"/>
  <c r="F172" i="5"/>
  <c r="B5644" i="106" s="1"/>
  <c r="D5644" i="106" s="1"/>
  <c r="C172" i="5"/>
  <c r="B5214" i="106" s="1"/>
  <c r="D5214" i="106" s="1"/>
  <c r="H173" i="5"/>
  <c r="C109" i="5"/>
  <c r="B5121" i="106" s="1"/>
  <c r="D5121" i="106" s="1"/>
  <c r="D109" i="5"/>
  <c r="B5356" i="106" s="1"/>
  <c r="D5356" i="106" s="1"/>
  <c r="H109" i="5"/>
  <c r="B6025" i="106" s="1"/>
  <c r="D6025" i="106" s="1"/>
  <c r="G109" i="5"/>
  <c r="B6024" i="106" s="1"/>
  <c r="D6024" i="106" s="1"/>
  <c r="D15" i="7"/>
  <c r="B1772" i="106" s="1"/>
  <c r="D1772" i="106" s="1"/>
  <c r="D7" i="7"/>
  <c r="B1763" i="106" s="1"/>
  <c r="D1763" i="106" s="1"/>
  <c r="B2895" i="106"/>
  <c r="D2895" i="106" s="1"/>
  <c r="J77" i="4"/>
  <c r="B6262" i="106" s="1"/>
  <c r="D6262" i="106" s="1"/>
  <c r="I173" i="5"/>
  <c r="B4216" i="106" s="1"/>
  <c r="D4216" i="106" s="1"/>
  <c r="F111" i="34"/>
  <c r="F131" i="34"/>
  <c r="G5" i="4"/>
  <c r="B3409" i="106" s="1"/>
  <c r="D3409" i="106" s="1"/>
  <c r="B7041" i="106"/>
  <c r="D7041" i="106" s="1"/>
  <c r="E109" i="5"/>
  <c r="E4" i="4" s="1"/>
  <c r="B2630" i="106" s="1"/>
  <c r="D2630" i="106" s="1"/>
  <c r="B3649" i="106"/>
  <c r="D3649" i="106" s="1"/>
  <c r="G367" i="29"/>
  <c r="B3650" i="106" s="1"/>
  <c r="D3650" i="106" s="1"/>
  <c r="K350" i="29"/>
  <c r="F77" i="4"/>
  <c r="B3255" i="106" s="1"/>
  <c r="D3255" i="106" s="1"/>
  <c r="K184" i="29"/>
  <c r="F13" i="4" s="1"/>
  <c r="B2596" i="106" s="1"/>
  <c r="D2596" i="106" s="1"/>
  <c r="K24" i="12"/>
  <c r="L342" i="29"/>
  <c r="B3647" i="106"/>
  <c r="D3647" i="106" s="1"/>
  <c r="C352" i="29"/>
  <c r="L15" i="11"/>
  <c r="B3459" i="106" s="1"/>
  <c r="D3459" i="106" s="1"/>
  <c r="G210" i="29"/>
  <c r="L312" i="29"/>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B273" i="106" l="1"/>
  <c r="D273" i="106" s="1"/>
  <c r="M23" i="3"/>
  <c r="C4" i="4"/>
  <c r="B2551" i="106" s="1"/>
  <c r="D2551" i="106" s="1"/>
  <c r="G6" i="4"/>
  <c r="B2604" i="106" s="1"/>
  <c r="D2604" i="106" s="1"/>
  <c r="B5770" i="106"/>
  <c r="D5770" i="106" s="1"/>
  <c r="F41" i="108"/>
  <c r="G43" i="108" s="1"/>
  <c r="B1266" i="106"/>
  <c r="D1266" i="106" s="1"/>
  <c r="B7235" i="106"/>
  <c r="D7235" i="106" s="1"/>
  <c r="I26" i="12"/>
  <c r="B7741" i="106" s="1"/>
  <c r="D7741" i="106" s="1"/>
  <c r="D7254" i="106"/>
  <c r="D7255" i="106"/>
  <c r="D7256" i="106"/>
  <c r="D7251" i="106"/>
  <c r="D7250" i="106"/>
  <c r="J151" i="29"/>
  <c r="B7052" i="106" s="1"/>
  <c r="D7052" i="106" s="1"/>
  <c r="K28" i="118"/>
  <c r="O27" i="118" s="1"/>
  <c r="O29" i="118" s="1"/>
  <c r="L16" i="11"/>
  <c r="B2061" i="106" s="1"/>
  <c r="D2061" i="106" s="1"/>
  <c r="B1879" i="106"/>
  <c r="D1879" i="106" s="1"/>
  <c r="H22" i="37"/>
  <c r="K365" i="29"/>
  <c r="B7243" i="106" s="1"/>
  <c r="D7243" i="106" s="1"/>
  <c r="K7" i="4"/>
  <c r="B3718" i="106" s="1"/>
  <c r="D3718" i="106" s="1"/>
  <c r="F173" i="5"/>
  <c r="B5653" i="106" s="1"/>
  <c r="D5653" i="106" s="1"/>
  <c r="D19" i="7"/>
  <c r="B1775" i="106" s="1"/>
  <c r="D1775" i="106" s="1"/>
  <c r="K77" i="4"/>
  <c r="B3587" i="106" s="1"/>
  <c r="D3587" i="106" s="1"/>
  <c r="I6" i="4"/>
  <c r="B5011" i="106" s="1"/>
  <c r="D5011" i="106" s="1"/>
  <c r="B6014" i="106"/>
  <c r="D6014" i="106" s="1"/>
  <c r="B1317" i="106"/>
  <c r="D1317" i="106" s="1"/>
  <c r="I151" i="29"/>
  <c r="F59" i="34" s="1"/>
  <c r="F73" i="34"/>
  <c r="G15" i="4"/>
  <c r="B6032" i="106" s="1"/>
  <c r="D6032" i="106" s="1"/>
  <c r="K342" i="29"/>
  <c r="F13" i="34" s="1"/>
  <c r="B3628" i="106"/>
  <c r="D3628" i="106" s="1"/>
  <c r="J16" i="4"/>
  <c r="B6226" i="106" s="1"/>
  <c r="D6226" i="106" s="1"/>
  <c r="B7215" i="106"/>
  <c r="D7215" i="106" s="1"/>
  <c r="B1381" i="106"/>
  <c r="D1381" i="106" s="1"/>
  <c r="L114" i="29"/>
  <c r="C114" i="29"/>
  <c r="B757" i="106" s="1"/>
  <c r="D757" i="106" s="1"/>
  <c r="B5914" i="106"/>
  <c r="D5914" i="106" s="1"/>
  <c r="J7" i="4"/>
  <c r="B6222" i="106" s="1"/>
  <c r="D6222" i="106" s="1"/>
  <c r="F274" i="5"/>
  <c r="F7" i="4" s="1"/>
  <c r="B2594" i="106" s="1"/>
  <c r="D2594" i="106" s="1"/>
  <c r="D274" i="5"/>
  <c r="B5507" i="106" s="1"/>
  <c r="D5507" i="106" s="1"/>
  <c r="C173" i="5"/>
  <c r="B5223" i="106" s="1"/>
  <c r="D5223" i="106" s="1"/>
  <c r="B5906" i="106"/>
  <c r="D5906" i="106" s="1"/>
  <c r="H6" i="4"/>
  <c r="B2656" i="106" s="1"/>
  <c r="D2656" i="106" s="1"/>
  <c r="B5527" i="106"/>
  <c r="D5527" i="106" s="1"/>
  <c r="D4" i="4"/>
  <c r="B2564" i="106" s="1"/>
  <c r="D2564" i="106" s="1"/>
  <c r="H275" i="5"/>
  <c r="B5915" i="106" s="1"/>
  <c r="D5915" i="106" s="1"/>
  <c r="H4" i="4"/>
  <c r="G4" i="4"/>
  <c r="B2603" i="106" s="1"/>
  <c r="D2603" i="106" s="1"/>
  <c r="L34" i="3"/>
  <c r="B2914" i="106"/>
  <c r="D2914" i="106" s="1"/>
  <c r="B3670" i="106"/>
  <c r="D3670" i="106" s="1"/>
  <c r="K352" i="29"/>
  <c r="H367" i="29"/>
  <c r="B3660" i="106" s="1"/>
  <c r="D3660" i="106" s="1"/>
  <c r="B3621" i="106"/>
  <c r="D3621" i="106" s="1"/>
  <c r="C367" i="29"/>
  <c r="B3622" i="106" s="1"/>
  <c r="D3622" i="106" s="1"/>
  <c r="B7733" i="106"/>
  <c r="D7733" i="106" s="1"/>
  <c r="K26" i="12"/>
  <c r="B7743" i="106" s="1"/>
  <c r="D7743" i="106" s="1"/>
  <c r="B1365" i="106"/>
  <c r="D1365" i="106" s="1"/>
  <c r="F65" i="34"/>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7224" i="106"/>
  <c r="D7224" i="106" s="1"/>
  <c r="B279" i="106"/>
  <c r="D279" i="106" s="1"/>
  <c r="B7051" i="106"/>
  <c r="D7051" i="106" s="1"/>
  <c r="J17" i="4"/>
  <c r="J19" i="4" s="1"/>
  <c r="B6229" i="106" s="1"/>
  <c r="D6229" i="106" s="1"/>
  <c r="F6" i="4"/>
  <c r="B2593" i="106" s="1"/>
  <c r="D2593" i="106" s="1"/>
  <c r="D7" i="4"/>
  <c r="F275" i="5"/>
  <c r="B5720" i="106" s="1"/>
  <c r="D5720" i="106" s="1"/>
  <c r="B5719" i="106"/>
  <c r="D5719" i="106" s="1"/>
  <c r="B1145" i="106"/>
  <c r="D1145" i="106" s="1"/>
  <c r="G41" i="108"/>
  <c r="G44" i="108" s="1"/>
  <c r="G45" i="108" s="1"/>
  <c r="C6" i="4"/>
  <c r="B2553" i="106" s="1"/>
  <c r="D2553" i="106" s="1"/>
  <c r="J8" i="4"/>
  <c r="B2655" i="106"/>
  <c r="D2655" i="106" s="1"/>
  <c r="H8" i="4"/>
  <c r="B2916" i="106"/>
  <c r="D2916" i="106" s="1"/>
  <c r="L41" i="3"/>
  <c r="E41" i="108"/>
  <c r="E44" i="108" s="1"/>
  <c r="E45" i="108" s="1"/>
  <c r="K13" i="4"/>
  <c r="B3572" i="106" s="1"/>
  <c r="D3572" i="106" s="1"/>
  <c r="B3672" i="106"/>
  <c r="D3672" i="106" s="1"/>
  <c r="K367" i="29"/>
  <c r="K368" i="29" s="1"/>
  <c r="B3681" i="106" s="1"/>
  <c r="D3681"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M41" i="3" l="1"/>
  <c r="B280" i="106"/>
  <c r="D280" i="106" s="1"/>
  <c r="B6227" i="106"/>
  <c r="D6227" i="106" s="1"/>
  <c r="F8" i="4"/>
  <c r="D8" i="146" s="1"/>
  <c r="J20" i="4"/>
  <c r="J78" i="4" s="1"/>
  <c r="D8" i="4"/>
  <c r="B2568" i="106" s="1"/>
  <c r="D2568" i="106" s="1"/>
  <c r="B6223" i="106"/>
  <c r="D6223" i="106" s="1"/>
  <c r="K17" i="4"/>
  <c r="K20" i="4" s="1"/>
  <c r="B3678" i="106"/>
  <c r="D3678" i="106" s="1"/>
  <c r="F76" i="34"/>
  <c r="J10" i="4"/>
  <c r="B6225" i="106" s="1"/>
  <c r="D6225" i="106" s="1"/>
  <c r="B2658" i="106"/>
  <c r="D2658" i="106" s="1"/>
  <c r="H10" i="4"/>
  <c r="B4127" i="106" s="1"/>
  <c r="D4127" i="106" s="1"/>
  <c r="B2917" i="106"/>
  <c r="D2917" i="106" s="1"/>
  <c r="D53" i="3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C8" i="146"/>
  <c r="D10" i="4" l="1"/>
  <c r="B4123" i="106" s="1"/>
  <c r="D4123" i="106" s="1"/>
  <c r="D20" i="4"/>
  <c r="B2574" i="106" s="1"/>
  <c r="D2574" i="106" s="1"/>
  <c r="K19" i="4"/>
  <c r="B4144" i="106" s="1"/>
  <c r="D4144" i="106" s="1"/>
  <c r="H13" i="118"/>
  <c r="B3575" i="106"/>
  <c r="D3575" i="106" s="1"/>
  <c r="B281" i="106"/>
  <c r="D281" i="106" s="1"/>
  <c r="D54" i="36"/>
  <c r="F10" i="4"/>
  <c r="B4125" i="106" s="1"/>
  <c r="D4125" i="106" s="1"/>
  <c r="B2595" i="106"/>
  <c r="D2595"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9" i="34" l="1"/>
  <c r="F79" i="34"/>
  <c r="J41" i="3"/>
  <c r="B6215" i="106"/>
  <c r="D6215" i="106"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D51" i="36"/>
  <c r="B6216" i="106"/>
  <c r="D6216" i="106" s="1"/>
  <c r="B123" i="106"/>
  <c r="D123" i="106" s="1"/>
  <c r="D41" i="3"/>
  <c r="B3567" i="106"/>
  <c r="D3567" i="106" s="1"/>
  <c r="K41" i="3"/>
  <c r="B212" i="106"/>
  <c r="D212" i="106" s="1"/>
  <c r="H41" i="3"/>
  <c r="B2912" i="106"/>
  <c r="D2912" i="106" s="1"/>
  <c r="I41" i="3"/>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89" i="106" l="1"/>
  <c r="D189" i="106" s="1"/>
  <c r="G41" i="3"/>
  <c r="N21" i="3"/>
  <c r="B140" i="106"/>
  <c r="D140" i="106" s="1"/>
  <c r="E41" i="3"/>
  <c r="B170" i="106"/>
  <c r="D170" i="106" s="1"/>
  <c r="F41" i="3"/>
  <c r="B3568" i="106"/>
  <c r="D3568" i="106" s="1"/>
  <c r="D52" i="36"/>
  <c r="B213" i="106"/>
  <c r="D213" i="106" s="1"/>
  <c r="D49" i="36"/>
  <c r="B124" i="106"/>
  <c r="D124" i="106" s="1"/>
  <c r="D45" i="36"/>
  <c r="J16" i="37"/>
  <c r="B4269" i="106" s="1"/>
  <c r="D4269" i="106" s="1"/>
  <c r="D76" i="36"/>
  <c r="B92" i="106"/>
  <c r="D92" i="106" s="1"/>
  <c r="C41" i="3"/>
  <c r="D50" i="36"/>
  <c r="B2913" i="106"/>
  <c r="D2913"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282" i="106"/>
  <c r="D282" i="106" s="1"/>
  <c r="N23" i="3"/>
  <c r="B190" i="106"/>
  <c r="D190" i="106" s="1"/>
  <c r="D48" i="36"/>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<sst xmlns="http://schemas.openxmlformats.org/spreadsheetml/2006/main" count="5062" uniqueCount="2122">
  <si>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</si>
  <si>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</si>
  <si>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</si>
  <si>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</si>
  <si>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</si>
  <si>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</si>
  <si>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</si>
  <si>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</si>
  <si>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</si>
  <si>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</si>
  <si>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</si>
  <si>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</si>
  <si>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</si>
  <si>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</si>
  <si>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</si>
  <si>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</si>
  <si>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</si>
  <si>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</si>
  <si>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</si>
  <si>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</si>
  <si>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</si>
  <si>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</si>
  <si>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</si>
  <si>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</si>
  <si>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</si>
  <si>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</si>
  <si>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</si>
  <si>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</si>
  <si>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</si>
  <si>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</si>
  <si>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</si>
  <si>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</si>
  <si>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</si>
  <si>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</si>
  <si>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</si>
  <si>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</si>
  <si>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</si>
  <si>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</si>
  <si>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</si>
  <si>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</si>
  <si>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</si>
  <si>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</si>
  <si>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</si>
  <si>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</si>
  <si>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</si>
  <si>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</si>
  <si>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</si>
  <si>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</si>
  <si>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</si>
  <si>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</si>
  <si>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</si>
  <si>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</si>
  <si>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</si>
  <si>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</si>
  <si>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</si>
  <si>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</si>
  <si>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</si>
  <si>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</si>
  <si>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</si>
  <si>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</si>
  <si>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</si>
  <si>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</si>
  <si>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</si>
  <si>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</si>
  <si>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</si>
  <si>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</si>
  <si>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</si>
  <si>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</si>
  <si>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</si>
  <si>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</si>
  <si>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</si>
  <si>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</si>
  <si>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</si>
  <si>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</si>
  <si>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</si>
  <si>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</si>
  <si>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</si>
  <si>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</si>
  <si>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</si>
  <si>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</si>
  <si>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</si>
  <si>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</si>
  <si>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</si>
  <si>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</si>
  <si>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</si>
  <si>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</si>
  <si>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</si>
  <si>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</si>
  <si>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</si>
  <si>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</si>
  <si>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</si>
  <si>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</si>
  <si>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</si>
  <si>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</si>
  <si>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</si>
  <si>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</si>
  <si>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</si>
  <si>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</si>
  <si>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</si>
  <si>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</si>
  <si>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</si>
  <si>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</si>
  <si>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</si>
  <si>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</si>
  <si>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</si>
  <si>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</si>
  <si>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</si>
  <si>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</si>
  <si>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</si>
  <si>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</si>
  <si>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</si>
  <si>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</si>
  <si>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</si>
  <si>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</si>
  <si>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</si>
  <si>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</si>
  <si>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</si>
  <si>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</si>
  <si>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</si>
  <si>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</si>
  <si>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</si>
  <si>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</si>
  <si>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</si>
  <si>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</si>
  <si>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</si>
  <si>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</si>
  <si>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</si>
  <si>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</si>
  <si>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</si>
  <si>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</si>
  <si>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</si>
  <si>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</si>
  <si>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</si>
  <si>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</si>
  <si>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</si>
  <si>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</si>
  <si>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</si>
  <si>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</si>
  <si>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</si>
  <si>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</si>
  <si>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</si>
  <si>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</si>
  <si>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</si>
  <si>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</si>
  <si>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</si>
  <si>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</si>
  <si>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</si>
  <si>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</si>
  <si>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</si>
  <si>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</si>
  <si>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</si>
  <si>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</si>
  <si>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</si>
  <si>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</si>
  <si>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</si>
  <si>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</si>
  <si>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</si>
  <si>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</si>
  <si>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</si>
  <si>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</si>
  <si>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</si>
  <si>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</si>
  <si>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</si>
  <si>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</si>
  <si>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</si>
  <si>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</si>
  <si>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</si>
  <si>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</si>
  <si>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</si>
  <si>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</si>
  <si>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</si>
  <si>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</si>
  <si>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</si>
  <si>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</si>
  <si>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</si>
  <si>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</si>
  <si>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</si>
  <si>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</si>
  <si>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</si>
  <si>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</si>
  <si>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</si>
  <si>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</si>
  <si>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</si>
  <si>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</si>
  <si>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</si>
  <si>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</si>
  <si>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</si>
  <si>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</si>
  <si>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</si>
  <si>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</si>
  <si>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</si>
  <si>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</si>
  <si>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</si>
  <si>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</si>
  <si>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</si>
  <si>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</si>
  <si>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</si>
  <si>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</si>
  <si>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</si>
  <si>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</si>
  <si>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</si>
  <si>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</si>
  <si>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</si>
  <si>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</si>
  <si>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</si>
  <si>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</si>
  <si>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</si>
  <si>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</si>
  <si>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</si>
  <si>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</si>
  <si>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</si>
  <si>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</si>
  <si>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</si>
  <si>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</si>
  <si>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</si>
  <si>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</si>
  <si>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</si>
  <si>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</si>
  <si>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</si>
  <si>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</si>
  <si>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</si>
  <si>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</si>
  <si>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</si>
  <si>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</si>
  <si>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</si>
  <si>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</si>
  <si>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</si>
  <si>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</si>
  <si>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</si>
  <si>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</si>
  <si>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</si>
  <si>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</si>
  <si>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</si>
  <si>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</si>
  <si>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</si>
  <si>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</si>
  <si>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</si>
  <si>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</si>
  <si>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</si>
  <si>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</si>
  <si>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</si>
  <si>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</si>
  <si>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</si>
  <si>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</si>
  <si>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</si>
  <si>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</si>
  <si>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</si>
  <si>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</si>
  <si>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</si>
  <si>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</si>
  <si>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</si>
  <si>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</si>
  <si>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</si>
  <si>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</si>
  <si>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</si>
  <si>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</si>
  <si>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</si>
  <si>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</si>
  <si>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</si>
  <si>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</si>
  <si>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</si>
  <si>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</si>
  <si>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</si>
  <si>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</si>
  <si>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</si>
  <si>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</si>
  <si>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</si>
  <si>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</si>
  <si>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</si>
  <si>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</si>
  <si>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</si>
  <si>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</si>
  <si>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</si>
  <si>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</si>
  <si>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</si>
  <si>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</si>
  <si>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</si>
  <si>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</si>
  <si>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</si>
  <si>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</si>
  <si>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</si>
  <si>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</si>
  <si>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</si>
  <si>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</si>
  <si>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</si>
  <si>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</si>
  <si>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</si>
  <si>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</si>
  <si>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</si>
  <si>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</si>
  <si>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</si>
  <si>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</si>
  <si>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</si>
  <si>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</si>
  <si>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</si>
  <si>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</si>
  <si>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</si>
  <si>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</si>
  <si>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</si>
  <si>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</si>
  <si>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</si>
  <si>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</si>
  <si>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</si>
  <si>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</si>
  <si>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</si>
  <si>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</si>
  <si>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</si>
  <si>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</si>
  <si>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</si>
  <si>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</si>
  <si>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</si>
  <si>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</si>
  <si>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</si>
  <si>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</si>
  <si>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</si>
  <si>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</si>
  <si>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</si>
  <si>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</si>
  <si>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</si>
  <si>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</si>
  <si>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</si>
  <si>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</si>
  <si>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</si>
  <si>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</si>
  <si>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</si>
  <si>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</si>
  <si>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</si>
  <si>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</si>
  <si>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</si>
  <si>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</si>
  <si>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</si>
  <si>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</si>
  <si>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</si>
  <si>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</si>
  <si>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</si>
  <si>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</si>
  <si>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</si>
  <si>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</si>
  <si>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</si>
  <si>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</si>
  <si>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</si>
  <si>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</si>
  <si>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</si>
  <si>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</si>
  <si>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</si>
  <si>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</si>
  <si>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</si>
  <si>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</si>
  <si>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</si>
  <si>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</si>
  <si>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</si>
  <si>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</si>
  <si>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</si>
  <si>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</si>
  <si>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</si>
  <si>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</si>
  <si>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</si>
  <si>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</si>
  <si>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</si>
  <si>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</si>
  <si>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</si>
  <si>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</si>
  <si>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</si>
  <si>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</si>
  <si>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</si>
  <si>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</si>
  <si>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</si>
  <si>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</si>
  <si>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</si>
  <si>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</si>
  <si>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</si>
  <si>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</si>
  <si>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</si>
  <si>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</si>
  <si>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</si>
  <si>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</si>
  <si>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</si>
  <si>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</si>
  <si>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</si>
  <si>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</si>
  <si>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</si>
  <si>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</si>
  <si>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</si>
  <si>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</si>
  <si>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</si>
  <si>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</si>
  <si>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</si>
  <si>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</si>
  <si>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</si>
  <si>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</si>
  <si>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</si>
  <si>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</si>
  <si>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</si>
  <si>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</si>
  <si>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</si>
  <si>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</si>
  <si>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</si>
  <si>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</si>
  <si>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</si>
  <si>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</si>
  <si>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</si>
  <si>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</si>
  <si>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</si>
  <si>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</si>
  <si>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</si>
  <si>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</si>
  <si>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</si>
  <si>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</si>
  <si>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</si>
  <si>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</si>
  <si>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</si>
  <si>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</si>
  <si>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</si>
  <si>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</si>
  <si>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</si>
  <si>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</si>
  <si>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</si>
  <si>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</si>
  <si>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</si>
  <si>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</si>
  <si>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</si>
  <si>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</si>
  <si>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</si>
  <si>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</si>
  <si>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</si>
  <si>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</si>
  <si>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</si>
  <si>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</si>
  <si>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</si>
  <si>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</si>
  <si>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</si>
  <si>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</si>
  <si>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</si>
  <si>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</si>
  <si>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</si>
  <si>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</si>
  <si>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</si>
  <si>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</si>
  <si>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</si>
  <si>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</si>
  <si>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</si>
  <si>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</si>
  <si>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</si>
  <si>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</si>
  <si>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</si>
  <si>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</si>
  <si>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</si>
  <si>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</si>
  <si>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</si>
  <si>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</si>
  <si>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</si>
  <si>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</si>
  <si>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</si>
  <si>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</si>
  <si>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</si>
  <si>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</si>
  <si>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</si>
  <si>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</si>
  <si>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</si>
  <si>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</si>
  <si>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</si>
  <si>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</si>
  <si>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</si>
  <si>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</si>
  <si>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</si>
  <si>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</si>
  <si>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</si>
  <si>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</si>
  <si>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</si>
  <si>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</si>
  <si>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</si>
  <si>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</si>
  <si>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</si>
  <si>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</si>
  <si>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</si>
  <si>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</si>
  <si>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</si>
  <si>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</si>
  <si>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</si>
  <si>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</si>
  <si>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</si>
  <si>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</si>
  <si>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</si>
  <si>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</si>
  <si>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</si>
  <si>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</si>
  <si>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</si>
  <si>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</si>
  <si>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</si>
  <si>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</si>
  <si>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</si>
  <si>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</si>
  <si>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</si>
  <si>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</si>
  <si>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</si>
  <si>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</si>
  <si>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</si>
  <si>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</si>
  <si>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</si>
  <si>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</si>
  <si>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</si>
  <si>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</si>
  <si>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</si>
  <si>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</si>
  <si>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</si>
  <si>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</si>
  <si>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</si>
  <si>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</si>
  <si>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</si>
  <si>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</si>
  <si>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</si>
  <si>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</si>
  <si>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</si>
  <si>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</si>
  <si>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</si>
  <si>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</si>
  <si>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</si>
  <si>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</si>
  <si>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</si>
  <si>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</si>
  <si>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</si>
  <si>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</si>
  <si>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</si>
  <si>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</si>
  <si>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</si>
  <si>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</si>
  <si>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</si>
  <si>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</si>
  <si>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</si>
  <si>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</si>
  <si>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</si>
  <si>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</si>
  <si>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</si>
  <si>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</si>
  <si>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</si>
  <si>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</si>
  <si>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</si>
  <si>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</si>
  <si>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</si>
  <si>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</si>
  <si>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</si>
  <si>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</si>
  <si>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</si>
  <si>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</si>
  <si>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</si>
  <si>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</si>
  <si>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</si>
  <si>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</si>
  <si>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</si>
  <si>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</si>
  <si>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</si>
  <si>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</si>
  <si>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</si>
  <si>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</si>
  <si>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</si>
  <si>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</si>
  <si>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</si>
  <si>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</si>
  <si>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</si>
  <si>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</si>
  <si>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</si>
  <si>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</si>
  <si>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</si>
  <si>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</si>
  <si>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</si>
  <si>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</si>
  <si>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</si>
  <si>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</si>
  <si>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</si>
  <si>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</si>
  <si>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</si>
  <si>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</si>
  <si>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</si>
  <si>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</si>
  <si>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</si>
  <si>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</si>
  <si>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</si>
  <si>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</si>
  <si>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</si>
  <si>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</si>
  <si>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</si>
  <si>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</si>
  <si>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</si>
  <si>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</si>
  <si>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</si>
  <si>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</si>
  <si>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</si>
  <si>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</si>
  <si>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</si>
  <si>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</si>
  <si>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</si>
  <si>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</si>
  <si>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</si>
  <si>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</si>
  <si>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</si>
  <si>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</si>
  <si>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</si>
  <si>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</si>
  <si>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</si>
  <si>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</si>
  <si>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</si>
  <si>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</si>
  <si>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</si>
  <si>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</si>
  <si>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</si>
  <si>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</si>
  <si>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</si>
  <si>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</si>
  <si>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</si>
  <si>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</si>
  <si>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</si>
  <si>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</si>
  <si>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</si>
  <si>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</si>
  <si>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</si>
  <si>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</si>
  <si>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</si>
  <si>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</si>
  <si>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</si>
  <si>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</si>
  <si>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</si>
  <si>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</si>
  <si>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</si>
  <si>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</si>
  <si>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</si>
  <si>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</si>
  <si>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</si>
  <si>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</si>
  <si>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</si>
  <si>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</si>
  <si>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</si>
  <si>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</si>
  <si>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</si>
  <si>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</si>
  <si>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</si>
  <si>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</si>
  <si>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</si>
  <si>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</si>
  <si>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</si>
  <si>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</si>
  <si>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</si>
  <si>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</si>
  <si>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</si>
  <si>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</si>
  <si>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</si>
  <si>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</si>
  <si>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</si>
  <si>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</si>
  <si>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</si>
  <si>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</si>
  <si>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</si>
  <si>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</si>
  <si>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</si>
  <si>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</si>
  <si>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</si>
  <si>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</si>
  <si>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</si>
  <si>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</si>
  <si>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</si>
  <si>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</si>
  <si>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</si>
  <si>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</si>
  <si>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</si>
  <si>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</si>
  <si>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</si>
  <si>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</si>
  <si>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</si>
  <si>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</si>
  <si>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</si>
  <si>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</si>
  <si>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</si>
  <si>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</si>
  <si>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</si>
  <si>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</si>
  <si>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</si>
  <si>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</si>
  <si>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</si>
  <si>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</si>
  <si>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</si>
  <si>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</si>
  <si>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</si>
  <si>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</si>
  <si>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</si>
  <si>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</si>
  <si>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</si>
  <si>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</si>
  <si>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</si>
  <si>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</si>
  <si>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</si>
  <si>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</si>
  <si>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</si>
  <si>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</si>
  <si>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</si>
  <si>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</si>
  <si>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</si>
  <si>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</si>
  <si>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</si>
  <si>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</si>
  <si>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</si>
  <si>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</si>
  <si>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</si>
  <si>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</si>
  <si>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</si>
  <si>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</si>
  <si>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</si>
  <si>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</si>
  <si>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</si>
  <si>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</si>
  <si>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</si>
  <si>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</si>
  <si>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</si>
  <si>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</si>
  <si>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</si>
  <si>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</si>
  <si>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</si>
  <si>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</si>
  <si>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</si>
  <si>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</si>
  <si>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</si>
  <si>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</si>
  <si>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</si>
  <si>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</si>
  <si>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</si>
  <si>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</si>
  <si>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</si>
  <si>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</si>
  <si>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</si>
  <si>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</si>
  <si>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</si>
  <si>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</si>
  <si>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</si>
  <si>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</si>
  <si>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</si>
  <si>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</si>
  <si>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</si>
  <si>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</si>
  <si>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</si>
  <si>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</si>
  <si>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</si>
  <si>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</si>
  <si>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</si>
  <si>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</si>
  <si>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</si>
  <si>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</si>
  <si>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</si>
  <si>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</si>
  <si>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</si>
  <si>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</si>
  <si>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</si>
  <si>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</si>
  <si>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</si>
  <si>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</si>
  <si>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</si>
  <si>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</si>
  <si>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</si>
  <si>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</si>
  <si>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</si>
  <si>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</si>
  <si>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</si>
  <si>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</si>
  <si>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</si>
  <si>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</si>
  <si>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</si>
  <si>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</si>
  <si>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</si>
  <si>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</si>
  <si>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</si>
  <si>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</si>
  <si>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</si>
  <si>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</si>
  <si>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</si>
  <si>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</si>
  <si>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</si>
  <si>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</si>
  <si>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</si>
  <si>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</si>
  <si>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</si>
  <si>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</si>
  <si>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</si>
  <si>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</si>
  <si>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</si>
  <si>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</si>
  <si>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</si>
  <si>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</si>
  <si>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</si>
  <si>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</si>
  <si>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</si>
  <si>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</si>
  <si>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</si>
  <si>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</si>
  <si>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</si>
  <si>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</si>
  <si>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</si>
  <si>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</si>
  <si>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</si>
  <si>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</si>
  <si>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</si>
  <si>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</si>
  <si>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</si>
  <si>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</si>
  <si>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</si>
  <si>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</si>
  <si>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</si>
  <si>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</si>
  <si>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</si>
  <si>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</si>
  <si>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</si>
  <si>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</si>
  <si>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</si>
  <si>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</si>
  <si>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</si>
  <si>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</si>
  <si>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</si>
  <si>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</si>
  <si>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</si>
  <si>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</si>
  <si>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</si>
  <si>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</si>
  <si>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</si>
  <si>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</si>
  <si>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</si>
  <si>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</si>
  <si>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</si>
  <si>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</si>
  <si>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</si>
  <si>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</si>
  <si>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</si>
  <si>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</si>
  <si>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</si>
  <si>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</si>
  <si>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</si>
  <si>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</si>
  <si>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</si>
  <si>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</si>
  <si>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</si>
  <si>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</si>
  <si>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</si>
  <si>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</si>
  <si>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</si>
  <si>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</si>
  <si>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</si>
  <si>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</si>
  <si>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</si>
  <si>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</si>
  <si>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</si>
  <si>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</si>
  <si>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</si>
  <si>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</si>
  <si>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</si>
  <si>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</si>
  <si>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</si>
  <si>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</si>
  <si>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</si>
  <si>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</si>
  <si>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</si>
  <si>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</si>
  <si>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</si>
  <si>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</si>
  <si>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</si>
  <si>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</si>
  <si>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</si>
  <si>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</si>
  <si>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</si>
  <si>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</si>
  <si>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</si>
  <si>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</si>
  <si>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</si>
  <si>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</si>
  <si>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</si>
  <si>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</si>
  <si>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</si>
  <si>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</si>
  <si>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</si>
  <si>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</si>
  <si>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</si>
  <si>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</si>
  <si>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</si>
  <si>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</si>
  <si>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</si>
  <si>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</si>
  <si>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</si>
  <si>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</si>
  <si>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</si>
  <si>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</si>
  <si>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</si>
  <si>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</si>
  <si>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</si>
  <si>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</si>
  <si>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</si>
  <si>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</si>
  <si>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</si>
  <si>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</si>
  <si>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</si>
  <si>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</si>
  <si>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</si>
  <si>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</si>
  <si>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</si>
  <si>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</si>
  <si>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</si>
  <si>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</si>
  <si>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</si>
  <si>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</si>
  <si>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</si>
  <si>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</si>
  <si>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</si>
  <si>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</si>
  <si>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</si>
  <si>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</si>
  <si>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</si>
  <si>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</si>
  <si>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</si>
  <si>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</si>
  <si>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</si>
  <si>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</si>
  <si>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</si>
  <si>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</si>
  <si>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</si>
  <si>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</si>
  <si>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</si>
  <si>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</si>
  <si>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</si>
  <si>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</si>
  <si>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</si>
  <si>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</si>
  <si>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</si>
  <si>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</si>
  <si>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</si>
  <si>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</si>
  <si>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</si>
  <si>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</si>
  <si>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</si>
  <si>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</si>
  <si>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</si>
  <si>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</si>
  <si>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</si>
  <si>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</si>
  <si>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</si>
  <si>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</si>
  <si>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</si>
  <si>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</si>
  <si>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</si>
  <si>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</si>
  <si>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</si>
  <si>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</si>
  <si>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</si>
  <si>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</si>
  <si>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</si>
  <si>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</si>
  <si>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</si>
  <si>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</si>
  <si>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</si>
  <si>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</si>
  <si>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</si>
  <si>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</si>
  <si>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</si>
  <si>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</si>
  <si>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</si>
  <si>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</si>
  <si>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</si>
  <si>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</si>
  <si>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</si>
  <si>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</si>
  <si>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</si>
  <si>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</si>
  <si>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</si>
  <si>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</si>
  <si>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</si>
  <si>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</si>
  <si>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</si>
  <si>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</si>
  <si>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</si>
  <si>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</si>
  <si>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</si>
  <si>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</si>
  <si>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</si>
  <si>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</si>
  <si>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</si>
  <si>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</si>
  <si>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</si>
  <si>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</si>
  <si>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</si>
  <si>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</si>
  <si>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</si>
  <si>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</si>
  <si>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</si>
  <si>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</si>
  <si>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</si>
  <si>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</si>
  <si>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</si>
  <si>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</si>
  <si>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</si>
  <si>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</si>
  <si>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</si>
  <si>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</si>
  <si>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</si>
  <si>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</si>
  <si>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</si>
  <si>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</si>
  <si>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</si>
  <si>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</si>
  <si>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</si>
  <si>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</si>
  <si>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</si>
  <si>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</si>
  <si>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</si>
  <si>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</si>
  <si>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</si>
  <si>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</si>
  <si>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</si>
  <si>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</si>
  <si>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</si>
  <si>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</si>
  <si>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</si>
  <si>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</si>
  <si>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</si>
  <si>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</si>
  <si>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</si>
  <si>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</si>
  <si>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</si>
  <si>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</si>
  <si>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</si>
  <si>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</si>
  <si>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</si>
  <si>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</si>
  <si>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</si>
  <si>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</si>
  <si>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</si>
  <si>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</si>
  <si>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</si>
  <si>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</si>
  <si>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</si>
  <si>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</si>
  <si>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</si>
  <si>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</si>
  <si>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</si>
  <si>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</si>
  <si>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</si>
  <si>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</si>
  <si>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</si>
  <si>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</si>
  <si>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</si>
  <si>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</si>
  <si>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</si>
  <si>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</si>
  <si>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</si>
  <si>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</si>
  <si>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</si>
  <si>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</si>
  <si>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</si>
  <si>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</si>
  <si>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</si>
  <si>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</si>
  <si>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</si>
  <si>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</si>
  <si>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</si>
  <si>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</si>
  <si>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</si>
  <si>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</si>
  <si>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</si>
  <si>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</si>
  <si>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</si>
  <si>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</si>
  <si>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</si>
  <si>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</si>
  <si>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</si>
  <si>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</si>
  <si>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</si>
  <si>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</si>
  <si>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</si>
  <si>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</si>
  <si>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</si>
  <si>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</si>
  <si>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</si>
  <si>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</si>
  <si>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</si>
  <si>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</si>
  <si>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</si>
  <si>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</si>
  <si>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</si>
  <si>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</si>
  <si>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</si>
  <si>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</si>
  <si>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</si>
  <si>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</si>
  <si>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</si>
  <si>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</si>
  <si>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</si>
  <si>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</si>
  <si>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</si>
  <si>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</si>
  <si>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</si>
  <si>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</si>
  <si>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</si>
  <si>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</si>
  <si>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</si>
  <si>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</si>
  <si>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</si>
  <si>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</si>
  <si>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</si>
  <si>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</si>
  <si>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</si>
  <si>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</si>
  <si>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</si>
  <si>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</si>
  <si>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</si>
  <si>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</si>
  <si>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</si>
  <si>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</si>
  <si>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</si>
  <si>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</si>
  <si>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</si>
  <si>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</si>
  <si>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</si>
  <si>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</si>
  <si>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</si>
  <si>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</si>
  <si>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</si>
  <si>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</si>
  <si>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</si>
  <si>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</si>
  <si>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</si>
  <si>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</si>
  <si>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</si>
  <si>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</si>
  <si>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</si>
  <si>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</si>
  <si>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</si>
  <si>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</si>
  <si>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</si>
  <si>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</si>
  <si>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</si>
  <si>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</si>
  <si>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</si>
  <si>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</si>
  <si>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</si>
  <si>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</si>
  <si>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</si>
  <si>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</si>
  <si>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</si>
  <si>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</si>
  <si>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</si>
  <si>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</si>
  <si>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</si>
  <si>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</si>
  <si>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</si>
  <si>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</si>
  <si>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</si>
  <si>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</si>
  <si>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</si>
  <si>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</si>
  <si>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</si>
  <si>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</si>
  <si>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</si>
  <si>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</si>
  <si>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</si>
  <si>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</si>
  <si>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</si>
  <si>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</si>
  <si>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</si>
  <si>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</si>
  <si>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</si>
  <si>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</si>
  <si>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</si>
  <si>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</si>
  <si>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</si>
  <si>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</si>
  <si>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</si>
  <si>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</si>
  <si>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</si>
  <si>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</si>
  <si>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</si>
  <si>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</si>
  <si>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</si>
  <si>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</si>
  <si>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</si>
  <si>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</si>
  <si>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</si>
  <si>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</si>
  <si>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</si>
  <si>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</si>
  <si>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</si>
  <si>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</si>
  <si>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</si>
  <si>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</si>
  <si>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</si>
  <si>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</si>
  <si>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</si>
  <si>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</si>
  <si>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</si>
  <si>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</si>
  <si>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</si>
  <si>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</si>
  <si>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</si>
  <si>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</si>
  <si>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</si>
  <si>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</si>
  <si>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</si>
  <si>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</si>
  <si>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</si>
  <si>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</si>
  <si>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</si>
  <si>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</si>
  <si>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</si>
  <si>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</si>
  <si>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</si>
  <si>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</si>
  <si>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</si>
  <si>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</si>
  <si>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</si>
  <si>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</si>
  <si>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</si>
  <si>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</si>
  <si>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</si>
  <si>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</si>
  <si>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</si>
  <si>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</si>
  <si>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</si>
  <si>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</si>
  <si>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</si>
  <si>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</si>
  <si>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</si>
  <si>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</si>
  <si>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</si>
  <si>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</si>
  <si>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</si>
  <si>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</si>
  <si>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</si>
  <si>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</si>
  <si>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</si>
  <si>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</si>
  <si>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</si>
  <si>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</si>
  <si>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</si>
  <si>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</si>
  <si>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</si>
  <si>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</si>
  <si>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</si>
  <si>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</si>
  <si>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</si>
  <si>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</si>
  <si>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</si>
  <si>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</si>
  <si>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</si>
  <si>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</si>
  <si>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</si>
  <si>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</si>
  <si>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</si>
  <si>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</si>
  <si>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</si>
  <si>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</si>
  <si>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</si>
  <si>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</si>
  <si>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</si>
  <si>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</si>
  <si>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</si>
  <si>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</si>
  <si>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</si>
  <si>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</si>
  <si>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</si>
  <si>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</si>
  <si>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</si>
  <si>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</si>
  <si>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</si>
  <si>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</si>
  <si>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</si>
  <si>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</si>
  <si>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</si>
  <si>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</si>
  <si>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</si>
  <si>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</si>
  <si>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</si>
  <si>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</si>
  <si>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</si>
  <si>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</si>
  <si>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</si>
  <si>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</si>
  <si>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</si>
  <si>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</si>
  <si>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</si>
  <si>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</si>
  <si>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</si>
  <si>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</si>
  <si>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</si>
  <si>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</si>
  <si>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</si>
  <si>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</si>
  <si>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</si>
  <si>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</si>
  <si>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</si>
  <si>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</si>
  <si>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</si>
  <si>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</si>
  <si>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</si>
  <si>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</si>
  <si>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</si>
  <si>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</si>
  <si>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</si>
  <si>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</si>
  <si>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</si>
  <si>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</si>
  <si>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</si>
  <si>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</si>
  <si>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</si>
  <si>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</si>
  <si>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</si>
  <si>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</si>
  <si>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</si>
  <si>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</si>
  <si>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</si>
  <si>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</si>
  <si>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</si>
  <si>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</si>
  <si>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</si>
  <si>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</si>
  <si>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</si>
  <si>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</si>
  <si>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</si>
  <si>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</si>
  <si>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</si>
  <si>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</si>
  <si>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</si>
  <si>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</si>
  <si>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</si>
  <si>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</si>
  <si>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</si>
  <si>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</si>
  <si>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</si>
  <si>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</si>
  <si>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</si>
  <si>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</si>
  <si>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</si>
  <si>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</si>
  <si>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</si>
  <si>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</si>
  <si>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</si>
  <si>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</si>
  <si>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</si>
  <si>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</si>
  <si>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</si>
  <si>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</si>
  <si>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</si>
  <si>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</si>
  <si>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</si>
  <si>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</si>
  <si>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</si>
  <si>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</si>
  <si>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</si>
  <si>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</si>
  <si>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</si>
  <si>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</si>
  <si>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</si>
  <si>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</si>
  <si>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</si>
  <si>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</si>
  <si>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</si>
  <si>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</si>
  <si>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</si>
  <si>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</si>
  <si>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</si>
  <si>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</si>
  <si>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</si>
  <si>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</si>
  <si>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</si>
  <si>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</si>
  <si>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</si>
  <si>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</si>
  <si>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</si>
  <si>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</si>
  <si>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</si>
  <si>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</si>
  <si>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</si>
  <si>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</si>
  <si>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</si>
  <si>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</si>
  <si>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</si>
  <si>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</si>
  <si>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</si>
  <si>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</si>
  <si>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</si>
  <si>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</si>
  <si>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</si>
  <si>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</si>
  <si>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</si>
  <si>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</si>
  <si>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</si>
  <si>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</si>
  <si>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</si>
  <si>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</si>
  <si>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</si>
  <si>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</si>
  <si>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</si>
  <si>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</si>
  <si>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</si>
  <si>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</si>
  <si>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</si>
  <si>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</si>
  <si>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</si>
  <si>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</si>
  <si>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</si>
  <si>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</si>
  <si>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</si>
  <si>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</si>
  <si>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</si>
  <si>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</si>
  <si>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</si>
  <si>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</si>
  <si>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</si>
  <si>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</si>
  <si>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</si>
  <si>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</si>
  <si>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</si>
  <si>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</si>
  <si>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</si>
  <si>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</si>
  <si>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</si>
  <si>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</si>
  <si>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</si>
  <si>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</si>
  <si>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</si>
  <si>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</si>
  <si>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</si>
  <si>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</si>
  <si>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</si>
  <si>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</si>
  <si>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</si>
  <si>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</si>
  <si>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</si>
  <si>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</si>
  <si>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</si>
  <si>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</si>
  <si>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</si>
  <si>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</si>
  <si>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</si>
  <si>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</si>
  <si>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</si>
  <si>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</si>
  <si>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</si>
  <si>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</si>
  <si>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</si>
  <si>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</si>
  <si>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</si>
  <si>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</si>
  <si>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</si>
  <si>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</si>
  <si>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</si>
  <si>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</si>
  <si>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</si>
  <si>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</si>
  <si>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</si>
  <si>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</si>
  <si>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</si>
  <si>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</si>
  <si>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</si>
  <si>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</si>
  <si>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</si>
  <si>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</si>
  <si>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</si>
  <si>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</si>
  <si>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</si>
  <si>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</si>
  <si>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</si>
  <si>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</si>
  <si>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</si>
  <si>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</si>
  <si>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</si>
  <si>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</si>
  <si>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</si>
  <si>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</si>
  <si>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</si>
  <si>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</si>
  <si>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</si>
  <si>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</si>
  <si>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</si>
  <si>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</si>
  <si>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</si>
  <si>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</si>
  <si>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</si>
  <si>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</si>
  <si>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</si>
  <si>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</si>
  <si>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</si>
  <si>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</si>
  <si>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</si>
  <si>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</si>
  <si>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</si>
  <si>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</si>
  <si>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</si>
  <si>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</si>
  <si>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</si>
  <si>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</si>
  <si>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</si>
  <si>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</si>
  <si>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</si>
  <si>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</si>
  <si>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</si>
  <si>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</si>
  <si>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</si>
  <si>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</si>
  <si>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</si>
  <si>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</si>
  <si>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</si>
  <si>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</si>
  <si>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</si>
  <si>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</si>
  <si>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</si>
  <si>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</si>
  <si>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</si>
  <si>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</si>
  <si>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</si>
  <si>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</si>
  <si>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</si>
  <si>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</si>
  <si>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</si>
  <si>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</si>
  <si>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</si>
  <si>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</si>
  <si>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</si>
  <si>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</si>
  <si>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</si>
  <si>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</si>
  <si>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</si>
  <si>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</si>
  <si>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</si>
  <si>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</si>
  <si>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</si>
  <si>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</si>
  <si>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</si>
  <si>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</si>
  <si>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</si>
  <si>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</si>
  <si>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</si>
  <si>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</si>
  <si>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</si>
  <si>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</si>
  <si>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</si>
  <si>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</si>
  <si>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</si>
  <si>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</si>
  <si>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</si>
  <si>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</si>
  <si>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</si>
  <si>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</si>
  <si>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</si>
  <si>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</si>
  <si>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</si>
  <si>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</si>
  <si>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</si>
  <si>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</si>
  <si>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</si>
  <si>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</si>
  <si>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</si>
  <si>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</si>
  <si>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</si>
  <si>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</si>
  <si>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</si>
  <si>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</si>
  <si>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</si>
  <si>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</si>
  <si>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</si>
  <si>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</si>
  <si>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</si>
  <si>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</si>
  <si>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</si>
  <si>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</si>
  <si>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</si>
  <si>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</si>
  <si>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</si>
  <si>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</si>
  <si>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</si>
  <si>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</si>
  <si>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</si>
  <si>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</si>
  <si>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</si>
  <si>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</si>
  <si>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</si>
  <si>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</si>
  <si>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</si>
  <si>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</si>
  <si>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</si>
  <si>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</si>
  <si>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</si>
  <si>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</si>
  <si>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</si>
  <si>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</si>
  <si>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</si>
  <si>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</si>
  <si>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</si>
  <si>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</si>
  <si>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</si>
  <si>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</si>
  <si>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</si>
  <si>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</si>
  <si>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</si>
  <si>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</si>
  <si>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</si>
  <si>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</si>
  <si>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</si>
  <si>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</si>
  <si>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</si>
  <si>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</si>
  <si>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</si>
  <si>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</si>
  <si>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</si>
  <si>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</si>
  <si>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</si>
  <si>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</si>
  <si>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</si>
  <si>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</si>
  <si>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</si>
  <si>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</si>
  <si>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</si>
  <si>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</si>
  <si>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</si>
  <si>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</si>
  <si>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</si>
  <si>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</si>
  <si>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</si>
  <si>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</si>
  <si>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</si>
  <si>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</si>
  <si>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</si>
  <si>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</si>
  <si>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</si>
  <si>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</si>
  <si>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</si>
  <si>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</si>
  <si>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</si>
  <si>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</si>
  <si>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</si>
  <si>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</si>
  <si>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</si>
  <si>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</si>
  <si>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</si>
  <si>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</si>
  <si>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</si>
  <si>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</si>
  <si>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</si>
  <si>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</si>
  <si>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</si>
  <si>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</si>
  <si>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</si>
  <si>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</si>
  <si>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</si>
  <si>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</si>
  <si>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</si>
  <si>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</si>
  <si>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</si>
  <si>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</si>
  <si>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</si>
  <si>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</si>
  <si>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</si>
  <si>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</si>
  <si>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</si>
  <si>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</si>
  <si>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</si>
  <si>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</si>
  <si>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</si>
  <si>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</si>
  <si>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</si>
  <si>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</si>
  <si>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</si>
  <si>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</si>
  <si>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</si>
  <si>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</si>
  <si>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</si>
  <si>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</si>
  <si>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</si>
  <si>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</si>
  <si>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</si>
  <si>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</si>
  <si>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</si>
  <si>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</si>
  <si>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</si>
  <si>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</si>
  <si>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</si>
  <si>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</si>
  <si>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</si>
  <si>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</si>
  <si>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</si>
  <si>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</si>
  <si>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</si>
  <si>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</si>
  <si>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</si>
  <si>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</si>
  <si>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</si>
  <si>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</si>
  <si>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</si>
  <si>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</si>
  <si>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</si>
  <si>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</si>
  <si>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</si>
  <si>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</si>
  <si>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</si>
  <si>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</si>
  <si>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</si>
  <si>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</si>
  <si>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</si>
  <si>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</si>
  <si>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</si>
  <si>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</si>
  <si>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</si>
  <si>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</si>
  <si>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</si>
  <si>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</si>
  <si>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</si>
  <si>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</si>
  <si>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</si>
  <si>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</si>
  <si>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</si>
  <si>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</si>
  <si>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</si>
  <si>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</si>
  <si>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</si>
  <si>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</si>
  <si>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</si>
  <si>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</si>
  <si>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</si>
  <si>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</si>
  <si>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</si>
  <si>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</si>
  <si>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</si>
  <si>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</si>
  <si>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</si>
  <si>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</si>
  <si>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</si>
  <si>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</si>
  <si>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</si>
  <si>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</si>
  <si>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</si>
  <si>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</si>
  <si>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</si>
  <si>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</si>
  <si>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</si>
  <si>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</si>
  <si>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</si>
  <si>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</si>
  <si>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</si>
  <si>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</si>
  <si>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</si>
  <si>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</si>
  <si>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</si>
  <si>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</si>
  <si>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</si>
  <si>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</si>
  <si>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</si>
  <si>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</si>
  <si>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</si>
  <si>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</si>
  <si>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</si>
  <si>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</si>
  <si>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</si>
  <si>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</si>
  <si>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</si>
  <si>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</si>
  <si>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</si>
  <si>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</si>
  <si>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</si>
  <si>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</si>
  <si>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</si>
  <si>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</si>
  <si>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</si>
  <si>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</si>
  <si>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</si>
  <si>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</si>
  <si>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</si>
  <si>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</si>
  <si>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</si>
  <si>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</si>
  <si>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</si>
  <si>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</si>
  <si>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</si>
  <si>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</si>
  <si>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</si>
  <si>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</si>
  <si>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</si>
  <si>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</si>
  <si>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</si>
  <si>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</si>
  <si>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</si>
  <si>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</si>
  <si>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</si>
  <si>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</si>
  <si>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</si>
  <si>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</si>
  <si>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</si>
  <si>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</si>
  <si>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</si>
  <si>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</si>
  <si>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</si>
  <si>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</si>
  <si>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</si>
  <si>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</si>
  <si>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</si>
  <si>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</si>
  <si>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</si>
  <si>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</si>
  <si>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</si>
  <si>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</si>
  <si>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</si>
  <si>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</si>
  <si>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</si>
  <si>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</si>
  <si>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</si>
  <si>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</si>
  <si>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</si>
  <si>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</si>
  <si>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</si>
  <si>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</si>
  <si>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</si>
  <si>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</si>
  <si>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</si>
  <si>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</si>
  <si>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</si>
  <si>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</si>
  <si>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</si>
  <si>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</si>
  <si>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</si>
  <si>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</si>
  <si>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</si>
  <si>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</si>
  <si>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</si>
  <si>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</si>
  <si>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</si>
  <si>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</si>
  <si>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</si>
  <si>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</si>
  <si>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</si>
  <si>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</si>
  <si>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</si>
  <si>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</si>
  <si>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</si>
  <si>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</si>
  <si>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</si>
  <si>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</si>
  <si>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</si>
  <si>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</si>
  <si>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</si>
  <si>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</si>
  <si>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</si>
  <si>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</si>
  <si>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</si>
  <si>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</si>
  <si>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</si>
  <si>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</si>
  <si>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</si>
  <si>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</si>
  <si>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</si>
  <si>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</si>
  <si>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</si>
  <si>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</si>
  <si>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</si>
  <si>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</si>
  <si>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</si>
  <si>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</si>
  <si>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</si>
  <si>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</si>
  <si>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</si>
  <si>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</si>
  <si>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</si>
  <si>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</si>
  <si>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</si>
  <si>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</si>
  <si>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</si>
  <si>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</si>
  <si>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</si>
  <si>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</si>
  <si>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</si>
  <si>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</si>
  <si>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</si>
  <si>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</si>
  <si>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</si>
  <si>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</si>
  <si>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</si>
  <si>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</si>
  <si>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</si>
  <si>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</si>
  <si>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</si>
  <si>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</si>
  <si>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</si>
  <si>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</si>
  <si>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</si>
  <si>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</si>
  <si>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</si>
  <si>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</si>
  <si>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</si>
  <si>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</si>
  <si>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</si>
  <si>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</si>
  <si>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</si>
  <si>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</si>
  <si>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</si>
  <si>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</si>
  <si>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</si>
  <si>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</si>
  <si>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</si>
  <si>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</si>
  <si>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</si>
  <si>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</si>
  <si>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</si>
  <si>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</si>
  <si>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</si>
  <si>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</si>
  <si>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</si>
  <si>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</si>
  <si>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</si>
  <si>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</si>
  <si>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</si>
  <si>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</si>
  <si>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</si>
  <si>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</si>
  <si>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</si>
  <si>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</si>
  <si>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</si>
  <si>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</si>
  <si>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</si>
  <si>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</si>
  <si>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</si>
  <si>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</si>
  <si>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</si>
  <si>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</si>
  <si>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</si>
  <si>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</si>
  <si>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</si>
  <si>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</si>
  <si>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</si>
  <si>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</si>
  <si>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</si>
  <si>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</si>
  <si>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</si>
  <si>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</si>
  <si>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</si>
  <si>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</si>
  <si>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</si>
  <si>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</si>
  <si>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</si>
  <si>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</si>
  <si>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</si>
  <si>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</si>
  <si>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</si>
  <si>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</si>
  <si>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</si>
  <si>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</si>
  <si>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</si>
  <si>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</si>
  <si>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</si>
  <si>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</si>
  <si>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</si>
  <si>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</si>
  <si>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</si>
  <si>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</si>
  <si>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</si>
  <si>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</si>
  <si>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</si>
  <si>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</si>
  <si>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</si>
  <si>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</si>
  <si>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</si>
  <si>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</si>
  <si>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</si>
  <si>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</si>
  <si>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</si>
  <si>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</si>
  <si>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</si>
  <si>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</si>
  <si>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</si>
  <si>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</si>
  <si>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</si>
  <si>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</si>
  <si>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</si>
  <si>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</si>
  <si>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</si>
  <si>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</si>
  <si>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</si>
  <si>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</si>
  <si>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</si>
  <si>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</si>
  <si>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</si>
  <si>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</si>
  <si>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</si>
  <si>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</si>
  <si>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</si>
  <si>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</si>
  <si>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</si>
  <si>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</si>
  <si>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</si>
  <si>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</si>
  <si>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</si>
  <si>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</si>
  <si>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</si>
  <si>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</si>
  <si>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</si>
  <si>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</si>
  <si>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</si>
  <si>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</si>
  <si>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</si>
  <si>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</si>
  <si>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</si>
  <si>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</si>
  <si>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</si>
  <si>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</si>
  <si>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</si>
  <si>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</si>
  <si>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</si>
  <si>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</si>
  <si>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</si>
  <si>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</si>
  <si>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</si>
  <si>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</si>
  <si>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</si>
  <si>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</si>
  <si>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</si>
  <si>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</si>
  <si>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</si>
  <si>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</si>
  <si>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</si>
  <si>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</si>
  <si>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</si>
  <si>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</si>
  <si>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</si>
  <si>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</si>
  <si>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</si>
  <si>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</si>
  <si>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</si>
  <si>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</si>
  <si>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</si>
  <si>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</si>
  <si>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</si>
  <si>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</si>
  <si>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</si>
  <si>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</si>
  <si>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</si>
  <si>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</si>
  <si>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</si>
  <si>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</si>
  <si>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</si>
  <si>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</si>
  <si>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</si>
  <si>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</si>
  <si>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</si>
  <si>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</si>
  <si>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</si>
  <si>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</si>
  <si>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</si>
  <si>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</si>
  <si>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</si>
  <si>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</si>
  <si>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</si>
  <si>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</si>
  <si>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</si>
  <si>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</si>
  <si>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</si>
  <si>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</si>
  <si>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</si>
  <si>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</si>
  <si>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</si>
  <si>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</si>
  <si>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</si>
  <si>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</si>
  <si>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</si>
  <si>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</si>
  <si>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</si>
  <si>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</si>
  <si>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</si>
  <si>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</si>
  <si>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</si>
  <si>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</si>
  <si>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</si>
  <si>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</si>
  <si>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</si>
  <si>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</si>
  <si>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</si>
  <si>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</si>
  <si>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</si>
  <si>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</si>
  <si>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</si>
  <si>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</si>
  <si>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</si>
  <si>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</si>
  <si>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MCHENRY</t>
  </si>
  <si>
    <t>403 ORCHARD STREET</t>
  </si>
  <si>
    <t>FOX RIVER GROVE</t>
  </si>
  <si>
    <t>MAHAFFYT@DIST3.ORG</t>
  </si>
  <si>
    <t>EDER, CASELLA &amp; CO.</t>
  </si>
  <si>
    <t>JOHN ALBANESE</t>
  </si>
  <si>
    <t>5400 WEST ELM STREET, SUITE 203</t>
  </si>
  <si>
    <t>815-344-1300</t>
  </si>
  <si>
    <t>IL</t>
  </si>
  <si>
    <t>815-344-1320</t>
  </si>
  <si>
    <t>CPAS@EDERCASELLA.COM</t>
  </si>
  <si>
    <t>060-004991</t>
  </si>
  <si>
    <t>Working Cash Bonds</t>
  </si>
  <si>
    <t>Refunding Bonds</t>
  </si>
  <si>
    <t>x</t>
  </si>
  <si>
    <t>Northern Illinois Health Insurance Pool</t>
  </si>
  <si>
    <t>Illinois Energy Consortium</t>
  </si>
  <si>
    <t>Collective Liability Insurance Cooperative</t>
  </si>
  <si>
    <t>McHenry County ROE Application Consortium</t>
  </si>
  <si>
    <t>District 155 and all feeder elementary districts</t>
  </si>
  <si>
    <t>Special Education District of McHenry County (see below)</t>
  </si>
  <si>
    <t>Schools of Illinois Public Cooperative</t>
  </si>
  <si>
    <t>Single Path (see below)</t>
  </si>
  <si>
    <t>Special Education Cooperatives: Prairie Grove District 46, Cary District 26, Woostock District 200, Crystal Lake District 47</t>
  </si>
  <si>
    <t>Transportation: Route 47 Taxi Service, Parents, Cary District 26</t>
  </si>
  <si>
    <t>Page 10, Line 78 - Admissions - Other</t>
  </si>
  <si>
    <t>Admission Fees to Play</t>
  </si>
  <si>
    <t>Page 10, Line 81 - Other District/School Activity Revenue</t>
  </si>
  <si>
    <t>Athletic/Club Student Fees</t>
  </si>
  <si>
    <t>Field Trip Fees</t>
  </si>
  <si>
    <t>Page 11, Line 107 - Other Local Revenues</t>
  </si>
  <si>
    <t>Apparel and Miscellaneous Local Revenue</t>
  </si>
  <si>
    <t>Page 12, Line 171 - Other Restricted Revenue from State Sources</t>
  </si>
  <si>
    <t>Library Grant</t>
  </si>
  <si>
    <t>Bond Maintenance Fees</t>
  </si>
  <si>
    <t>ED- Network - Managed Services</t>
  </si>
  <si>
    <t>Single Path, LLC</t>
  </si>
  <si>
    <t>ED - Special ED - Purchased Service</t>
  </si>
  <si>
    <t>Margaret McPherson</t>
  </si>
  <si>
    <t>Page 10, Line106 - Other Local Fees</t>
  </si>
  <si>
    <t>Page 18, Line 171 - Debt Services - Other</t>
  </si>
  <si>
    <t>Fox River Grove Cons SD 3</t>
  </si>
  <si>
    <t>10-2660-300</t>
  </si>
  <si>
    <t>10-4120-300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</si>
</sst>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Alignment="0"/>
    <xf numFmtId="181" fontId="161" fillId="0" borderId="0" applyFont="0" applyFill="0" applyBorder="0" applyAlignment="0" applyProtection="0"/>
    <xf numFmtId="182" fontId="161" fillId="0" borderId="0" applyFont="0" applyFill="0" applyBorder="0" applyAlignment="0" applyProtection="0"/>
    <xf numFmtId="43" fontId="10" fillId="0" borderId="0" applyAlignment="0"/>
    <xf numFmtId="0" fontId="3" fillId="0" borderId="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183" fontId="161" fillId="0" borderId="0" applyFont="0" applyFill="0" applyBorder="0" applyAlignment="0" applyProtection="0"/>
    <xf numFmtId="184" fontId="161" fillId="0" borderId="0" applyFont="0" applyFill="0" applyBorder="0" applyAlignment="0" applyProtection="0"/>
    <xf numFmtId="43" fontId="138" fillId="0" borderId="0" applyAlignment="0"/>
    <xf numFmtId="185" fontId="161" fillId="0" borderId="0" applyFont="0" applyFill="0" applyBorder="0" applyAlignment="0" applyProtection="0">
      <alignment horizontal="right"/>
    </xf>
    <xf numFmtId="186" fontId="161" fillId="0" borderId="0" applyFont="0" applyFill="0" applyBorder="0" applyAlignment="0" applyProtection="0"/>
    <xf numFmtId="187" fontId="161" fillId="0" borderId="0" applyFont="0" applyFill="0" applyBorder="0" applyAlignment="0" applyProtection="0">
      <alignment horizontal="right"/>
    </xf>
    <xf numFmtId="188" fontId="161" fillId="0" borderId="0" applyFont="0" applyFill="0" applyBorder="0" applyAlignment="0" applyProtection="0">
      <alignment horizontal="right"/>
    </xf>
    <xf numFmtId="189" fontId="161" fillId="0" borderId="0" applyFont="0" applyFill="0" applyBorder="0" applyAlignment="0" applyProtection="0">
      <alignment horizontal="right"/>
    </xf>
    <xf numFmtId="190" fontId="161" fillId="0" borderId="0" applyFont="0" applyFill="0" applyBorder="0" applyAlignment="0" applyProtection="0"/>
    <xf numFmtId="0" fontId="142" fillId="28" borderId="0" applyNumberFormat="0" applyBorder="0" applyAlignment="0" applyProtection="0"/>
    <xf numFmtId="0" fontId="142" fillId="28" borderId="0" applyNumberFormat="0" applyBorder="0" applyAlignment="0" applyProtection="0"/>
    <xf numFmtId="0" fontId="154" fillId="29"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42" fillId="31" borderId="0" applyNumberFormat="0" applyBorder="0" applyAlignment="0" applyProtection="0"/>
    <xf numFmtId="0" fontId="142" fillId="32" borderId="0" applyNumberFormat="0" applyBorder="0" applyAlignment="0" applyProtection="0"/>
    <xf numFmtId="0" fontId="154" fillId="33"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42" fillId="31" borderId="0" applyNumberFormat="0" applyBorder="0" applyAlignment="0" applyProtection="0"/>
    <xf numFmtId="0" fontId="142" fillId="35" borderId="0" applyNumberFormat="0" applyBorder="0" applyAlignment="0" applyProtection="0"/>
    <xf numFmtId="0" fontId="154" fillId="32"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42" fillId="28" borderId="0" applyNumberFormat="0" applyBorder="0" applyAlignment="0" applyProtection="0"/>
    <xf numFmtId="0" fontId="142" fillId="32" borderId="0" applyNumberFormat="0" applyBorder="0" applyAlignment="0" applyProtection="0"/>
    <xf numFmtId="0" fontId="154" fillId="32"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42" fillId="36" borderId="0" applyNumberFormat="0" applyBorder="0" applyAlignment="0" applyProtection="0"/>
    <xf numFmtId="0" fontId="142" fillId="28" borderId="0" applyNumberFormat="0" applyBorder="0" applyAlignment="0" applyProtection="0"/>
    <xf numFmtId="0" fontId="154" fillId="29"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42" fillId="31" borderId="0" applyNumberFormat="0" applyBorder="0" applyAlignment="0" applyProtection="0"/>
    <xf numFmtId="0" fontId="142" fillId="38" borderId="0" applyNumberFormat="0" applyBorder="0" applyAlignment="0" applyProtection="0"/>
    <xf numFmtId="0" fontId="154" fillId="38"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61" fillId="0" borderId="166" applyNumberFormat="0" applyFill="0" applyAlignment="0" applyProtection="0"/>
    <xf numFmtId="191" fontId="162" fillId="0" borderId="166" applyNumberFormat="0" applyFill="0" applyAlignment="0" applyProtection="0">
      <alignment horizontal="center"/>
    </xf>
    <xf numFmtId="191" fontId="162" fillId="0" borderId="78" applyFill="0" applyAlignment="0" applyProtection="0">
      <alignment horizontal="center"/>
    </xf>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1" fillId="33" borderId="167" applyNumberFormat="0" applyAlignment="0" applyProtection="0"/>
    <xf numFmtId="0" fontId="151" fillId="33" borderId="167" applyNumberFormat="0" applyAlignment="0" applyProtection="0"/>
    <xf numFmtId="0" fontId="151" fillId="33" borderId="167" applyNumberFormat="0" applyAlignment="0" applyProtection="0"/>
    <xf numFmtId="0" fontId="151" fillId="33" borderId="167" applyNumberFormat="0" applyAlignment="0" applyProtection="0"/>
    <xf numFmtId="0" fontId="151" fillId="33" borderId="167" applyNumberFormat="0" applyAlignment="0" applyProtection="0"/>
    <xf numFmtId="0" fontId="151" fillId="33" borderId="167" applyNumberFormat="0" applyAlignment="0" applyProtection="0"/>
    <xf numFmtId="0" fontId="163" fillId="0" borderId="0" applyProtection="0"/>
    <xf numFmtId="191" fontId="162" fillId="0" borderId="0" applyFill="0" applyBorder="0" applyProtection="0">
      <alignment horizont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8"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38"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3" fontId="13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8" fillId="0" borderId="0" applyFont="0" applyFill="0" applyBorder="0" applyAlignment="0" applyProtection="0"/>
    <xf numFmtId="44" fontId="10" fillId="0" borderId="0" applyFont="0" applyFill="0" applyBorder="0" applyAlignment="0" applyProtection="0"/>
    <xf numFmtId="5" fontId="138" fillId="0" borderId="0" applyFont="0" applyFill="0" applyBorder="0" applyAlignment="0" applyProtection="0"/>
    <xf numFmtId="0" fontId="140" fillId="0" borderId="0" applyProtection="0"/>
    <xf numFmtId="192" fontId="161" fillId="0" borderId="0" applyFont="0" applyFill="0" applyBorder="0" applyAlignment="0" applyProtection="0"/>
    <xf numFmtId="191" fontId="162" fillId="0" borderId="168" applyNumberFormat="0" applyFill="0" applyAlignment="0" applyProtection="0"/>
    <xf numFmtId="0" fontId="161" fillId="0" borderId="168" applyNumberFormat="0" applyFill="0" applyAlignment="0" applyProtection="0"/>
    <xf numFmtId="0" fontId="153" fillId="42" borderId="0" applyNumberFormat="0" applyBorder="0" applyAlignment="0" applyProtection="0"/>
    <xf numFmtId="0" fontId="153" fillId="43" borderId="0" applyNumberFormat="0" applyBorder="0" applyAlignment="0" applyProtection="0"/>
    <xf numFmtId="0" fontId="153" fillId="44" borderId="0" applyNumberFormat="0" applyBorder="0" applyAlignment="0" applyProtection="0"/>
    <xf numFmtId="0" fontId="164" fillId="0" borderId="0" applyProtection="0"/>
    <xf numFmtId="0" fontId="11" fillId="0" borderId="0" applyProtection="0"/>
    <xf numFmtId="0" fontId="165" fillId="0" borderId="0" applyProtection="0"/>
    <xf numFmtId="0" fontId="166" fillId="0" borderId="0" applyProtection="0"/>
    <xf numFmtId="0" fontId="167" fillId="0" borderId="0" applyProtection="0"/>
    <xf numFmtId="0" fontId="168" fillId="0" borderId="0" applyProtection="0"/>
    <xf numFmtId="0" fontId="169" fillId="0" borderId="0" applyProtection="0"/>
    <xf numFmtId="2" fontId="140" fillId="0" borderId="0" applyProtection="0"/>
    <xf numFmtId="0" fontId="147" fillId="35" borderId="0" applyNumberFormat="0" applyBorder="0" applyAlignment="0" applyProtection="0"/>
    <xf numFmtId="0" fontId="147" fillId="35" borderId="0" applyNumberFormat="0" applyBorder="0" applyAlignment="0" applyProtection="0"/>
    <xf numFmtId="0" fontId="147" fillId="35" borderId="0" applyNumberFormat="0" applyBorder="0" applyAlignment="0" applyProtection="0"/>
    <xf numFmtId="0" fontId="147" fillId="35" borderId="0" applyNumberFormat="0" applyBorder="0" applyAlignment="0" applyProtection="0"/>
    <xf numFmtId="0" fontId="147" fillId="35" borderId="0" applyNumberFormat="0" applyBorder="0" applyAlignment="0" applyProtection="0"/>
    <xf numFmtId="0" fontId="147" fillId="35" borderId="0" applyNumberFormat="0" applyBorder="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70" fillId="0" borderId="0" applyProtection="0"/>
    <xf numFmtId="0" fontId="141" fillId="0" borderId="0" applyProtection="0"/>
    <xf numFmtId="0" fontId="33"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93" fontId="161" fillId="0" borderId="0" applyFont="0" applyFill="0" applyBorder="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58" fillId="0" borderId="172" applyNumberFormat="0" applyFill="0" applyAlignment="0" applyProtection="0"/>
    <xf numFmtId="0" fontId="158" fillId="0" borderId="172" applyNumberFormat="0" applyFill="0" applyAlignment="0" applyProtection="0"/>
    <xf numFmtId="0" fontId="158" fillId="0" borderId="172" applyNumberFormat="0" applyFill="0" applyAlignment="0" applyProtection="0"/>
    <xf numFmtId="0" fontId="158" fillId="0" borderId="172" applyNumberFormat="0" applyFill="0" applyAlignment="0" applyProtection="0"/>
    <xf numFmtId="0" fontId="158" fillId="0" borderId="172" applyNumberFormat="0" applyFill="0" applyAlignment="0" applyProtection="0"/>
    <xf numFmtId="0" fontId="158" fillId="0" borderId="172" applyNumberFormat="0" applyFill="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62" fillId="0" borderId="0" applyNumberFormat="0" applyFill="0" applyAlignment="0" applyProtection="0"/>
    <xf numFmtId="0" fontId="138" fillId="0" borderId="0"/>
    <xf numFmtId="0" fontId="10" fillId="0" borderId="0"/>
    <xf numFmtId="0" fontId="10" fillId="0" borderId="0"/>
    <xf numFmtId="0" fontId="138" fillId="0" borderId="0"/>
    <xf numFmtId="0" fontId="3" fillId="0" borderId="0"/>
    <xf numFmtId="0" fontId="139" fillId="0" borderId="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194" fontId="162" fillId="0" borderId="0" applyFill="0" applyBorder="0" applyProtection="0">
      <alignment horizontal="right"/>
    </xf>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195" fontId="162" fillId="0" borderId="0" applyProtection="0"/>
    <xf numFmtId="0" fontId="143" fillId="0" borderId="0" applyNumberFormat="0" applyFill="0" applyBorder="0" applyAlignment="0" applyProtection="0"/>
    <xf numFmtId="0" fontId="162" fillId="0" borderId="78" applyNumberFormat="0" applyFill="0" applyAlignment="0" applyProtection="0"/>
    <xf numFmtId="8" fontId="171" fillId="0" borderId="0" applyNumberFormat="0" applyFill="0" applyBorder="0" applyAlignment="0" applyProtection="0"/>
    <xf numFmtId="0" fontId="160" fillId="0" borderId="0" applyNumberFormat="0" applyBorder="0" applyAlignment="0"/>
    <xf numFmtId="0" fontId="172" fillId="0" borderId="0" applyNumberFormat="0" applyBorder="0" applyAlignment="0"/>
    <xf numFmtId="0" fontId="161" fillId="0" borderId="174" applyNumberFormat="0" applyFont="0" applyFill="0" applyAlignment="0" applyProtection="0"/>
    <xf numFmtId="0" fontId="161" fillId="0" borderId="175" applyNumberFormat="0" applyFont="0" applyFill="0" applyAlignment="0" applyProtection="0"/>
    <xf numFmtId="0" fontId="161" fillId="0" borderId="142" applyNumberFormat="0" applyFon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38" fillId="0" borderId="0" applyAlignment="0"/>
    <xf numFmtId="43" fontId="10" fillId="0" borderId="0" applyAlignment="0"/>
    <xf numFmtId="43" fontId="138" fillId="0" borderId="0" applyAlignment="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3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3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3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34"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34"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34"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33"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33"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33"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30"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30"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30"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3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3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3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39"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39"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39"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56" fillId="40"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56" fillId="40"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56" fillId="40"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33"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33"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33"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8" fillId="0" borderId="0" applyFont="0" applyFill="0" applyBorder="0" applyAlignment="0" applyProtection="0"/>
    <xf numFmtId="44" fontId="13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35"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35"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35"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44" fillId="0" borderId="169"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44" fillId="0" borderId="169"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44" fillId="0" borderId="169"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45"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45"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45"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46" fillId="0" borderId="171"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46" fillId="0" borderId="171"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46" fillId="0" borderId="171"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6"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6"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6"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9"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58"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58"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58"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45"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45"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45"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0" fillId="0" borderId="0"/>
    <xf numFmtId="0" fontId="10" fillId="0" borderId="0"/>
    <xf numFmtId="0" fontId="10" fillId="0" borderId="0"/>
    <xf numFmtId="0" fontId="138"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139" fillId="0" borderId="0"/>
    <xf numFmtId="0" fontId="10" fillId="0" borderId="0"/>
    <xf numFmtId="0" fontId="10" fillId="0" borderId="0"/>
    <xf numFmtId="0" fontId="10" fillId="0" borderId="0"/>
    <xf numFmtId="0" fontId="10" fillId="0" borderId="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3" fillId="0" borderId="0"/>
    <xf numFmtId="0" fontId="10" fillId="0" borderId="0"/>
    <xf numFmtId="43" fontId="3" fillId="0" borderId="0" applyFont="0" applyFill="0" applyBorder="0" applyAlignment="0" applyProtection="0"/>
    <xf numFmtId="5" fontId="10" fillId="0" borderId="0" applyFont="0" applyFill="0" applyBorder="0" applyAlignment="0" applyProtection="0"/>
    <xf numFmtId="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 fillId="0" borderId="0"/>
    <xf numFmtId="0" fontId="3" fillId="0" borderId="0"/>
    <xf numFmtId="0" fontId="51" fillId="0" borderId="0"/>
    <xf numFmtId="0" fontId="3" fillId="0" borderId="0"/>
    <xf numFmtId="43" fontId="3" fillId="0" borderId="0" applyFont="0" applyFill="0" applyBorder="0" applyAlignment="0" applyProtection="0"/>
    <xf numFmtId="0" fontId="3" fillId="0" borderId="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61" fillId="0" borderId="142" applyNumberFormat="0" applyFont="0" applyFill="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155" fillId="0" borderId="0" applyNumberFormat="0" applyFill="0" applyBorder="0" applyAlignment="0" applyProtection="0">
      <alignment vertical="top"/>
      <protection locked="0"/>
    </xf>
    <xf numFmtId="0" fontId="3" fillId="0" borderId="0"/>
    <xf numFmtId="0" fontId="10" fillId="0" borderId="0"/>
  </cellStyleXfs>
  <cellXfs count="250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2860">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4" xfId="32"/>
    <cellStyle name="12 5" xfId="33"/>
    <cellStyle name="12 6" xfId="34"/>
    <cellStyle name="12 7" xfId="35"/>
    <cellStyle name="12 8" xfId="36"/>
    <cellStyle name="12 9" xfId="39"/>
    <cellStyle name="12 9 2" xfId="280"/>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5" xfId="2526"/>
    <cellStyle name="Comma 3 5 2" xfId="2849"/>
    <cellStyle name="Comma 3 6" xfId="2535"/>
    <cellStyle name="Comma 3 6 2" xfId="2853"/>
    <cellStyle name="Comma 3 7" xfId="284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3" xfId="1733"/>
    <cellStyle name="Currency 2 4" xfId="1735"/>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3" xfId="2078"/>
    <cellStyle name="Hyperlink 2 4" xfId="207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3" xfId="2246"/>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2" xfId="14"/>
    <cellStyle name="Normal 3 2 2" xfId="18"/>
    <cellStyle name="Normal 3 2 2 2" xfId="211"/>
    <cellStyle name="Normal 3 2 3" xfId="2524"/>
    <cellStyle name="Normal 3 2 3 2" xfId="2848"/>
    <cellStyle name="Normal 3 2 4" xfId="30"/>
    <cellStyle name="Normal 3 2 4 2" xfId="2842"/>
    <cellStyle name="Normal 3 2 5" xfId="23"/>
    <cellStyle name="Normal 3 2 6" xfId="2839"/>
    <cellStyle name="Normal 3 2 7" xfId="20"/>
    <cellStyle name="Normal 3 3" xfId="212"/>
    <cellStyle name="Normal 3 3 2" xfId="213"/>
    <cellStyle name="Normal 3 3 2 2" xfId="2525"/>
    <cellStyle name="Normal 3 3 3" xfId="2252"/>
    <cellStyle name="Normal 3 4" xfId="2253"/>
    <cellStyle name="Normal 3 4 2" xfId="2846"/>
    <cellStyle name="Normal 3 5" xfId="2531"/>
    <cellStyle name="Normal 3 5 2" xfId="2850"/>
    <cellStyle name="Normal 3 6" xfId="2534"/>
    <cellStyle name="Normal 3 6 2" xfId="2852"/>
    <cellStyle name="Normal 3 7" xfId="25"/>
    <cellStyle name="Normal 3 7 2" xfId="2841"/>
    <cellStyle name="Normal 3 8" xfId="24"/>
    <cellStyle name="Normal 3 8 2" xfId="2840"/>
    <cellStyle name="Normal 3 9" xfId="22"/>
    <cellStyle name="Normal 4" xfId="16"/>
    <cellStyle name="Normal 4 2" xfId="2254"/>
    <cellStyle name="Normal 4 2 2" xfId="2847"/>
    <cellStyle name="Normal 4 3" xfId="2532"/>
    <cellStyle name="Normal 4 3 2" xfId="2851"/>
    <cellStyle name="Normal 4 4" xfId="2536"/>
    <cellStyle name="Normal 4 4 2" xfId="2854"/>
    <cellStyle name="Normal 4 5" xfId="214"/>
    <cellStyle name="Normal 4 6" xfId="2844"/>
    <cellStyle name="Normal 4 7" xfId="2859"/>
    <cellStyle name="Normal 4 8" xfId="21"/>
    <cellStyle name="Normal 5" xfId="17"/>
    <cellStyle name="Normal 5 2" xfId="2255"/>
    <cellStyle name="Normal 5 3" xfId="215"/>
    <cellStyle name="Normal 6" xfId="2533"/>
    <cellStyle name="Normal 6 2" xfId="2256"/>
    <cellStyle name="Normal 7" xfId="2855"/>
    <cellStyle name="Normal 7 2" xfId="2257"/>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E7119B55-0FC1-4BF4-9524-F65D2FD7B2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sqref="A1:F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t="s">
        <v>2077</v>
      </c>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2077</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44063003003</v>
      </c>
      <c r="B13" s="2003"/>
      <c r="C13" s="2003"/>
      <c r="D13" s="2003"/>
      <c r="E13" s="2003"/>
      <c r="F13" s="2003"/>
      <c r="G13" s="2003"/>
      <c r="H13" s="2004"/>
      <c r="I13" s="31"/>
      <c r="J13" s="30"/>
      <c r="K13" s="28"/>
      <c r="L13" s="30"/>
      <c r="M13" s="30"/>
      <c r="N13" s="30"/>
      <c r="O13" s="30"/>
      <c r="P13" s="30"/>
      <c r="Q13" s="30"/>
      <c r="R13" s="30"/>
      <c r="S13" s="30"/>
      <c r="T13" s="2007" t="s">
        <v>2082</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2078</v>
      </c>
      <c r="B15" s="2005"/>
      <c r="C15" s="2005"/>
      <c r="D15" s="2005"/>
      <c r="E15" s="2005"/>
      <c r="F15" s="2005"/>
      <c r="G15" s="2005"/>
      <c r="H15" s="2006"/>
      <c r="T15" s="1968" t="s">
        <v>2083</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2119</v>
      </c>
      <c r="B17" s="2030"/>
      <c r="C17" s="2030"/>
      <c r="D17" s="2030"/>
      <c r="E17" s="2030"/>
      <c r="F17" s="2030"/>
      <c r="G17" s="2030"/>
      <c r="H17" s="2031"/>
      <c r="T17" s="2017" t="s">
        <v>2084</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2079</v>
      </c>
      <c r="B19" s="2001"/>
      <c r="C19" s="2001"/>
      <c r="D19" s="2001"/>
      <c r="E19" s="2001"/>
      <c r="F19" s="2001"/>
      <c r="G19" s="2001"/>
      <c r="H19" s="1999"/>
      <c r="I19" s="30"/>
      <c r="J19" s="99"/>
      <c r="K19" s="40"/>
      <c r="L19" s="38"/>
      <c r="M19" s="112" t="s">
        <v>333</v>
      </c>
      <c r="P19" s="27"/>
      <c r="Q19" s="27"/>
      <c r="R19" s="27"/>
      <c r="S19" s="31"/>
      <c r="T19" s="2000" t="s">
        <v>2078</v>
      </c>
      <c r="U19" s="1998"/>
      <c r="V19" s="1998"/>
      <c r="W19" s="1999"/>
      <c r="X19" s="2015" t="s">
        <v>2086</v>
      </c>
      <c r="Y19" s="2016"/>
      <c r="Z19" s="2013">
        <v>60050</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2080</v>
      </c>
      <c r="B21" s="1998"/>
      <c r="C21" s="1998"/>
      <c r="D21" s="1998"/>
      <c r="E21" s="1998"/>
      <c r="F21" s="1998"/>
      <c r="G21" s="1998"/>
      <c r="H21" s="1999"/>
      <c r="I21" s="2023" t="s">
        <v>699</v>
      </c>
      <c r="J21" s="1986"/>
      <c r="K21" s="1986"/>
      <c r="L21" s="1986"/>
      <c r="M21" s="1986"/>
      <c r="N21" s="1986"/>
      <c r="O21" s="1986"/>
      <c r="P21" s="1986"/>
      <c r="Q21" s="1986"/>
      <c r="R21" s="1986"/>
      <c r="S21" s="1987"/>
      <c r="T21" s="1965" t="s">
        <v>2085</v>
      </c>
      <c r="U21" s="1966"/>
      <c r="V21" s="1966"/>
      <c r="W21" s="1966"/>
      <c r="X21" s="1979" t="s">
        <v>2087</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2081</v>
      </c>
      <c r="B23" s="2021"/>
      <c r="C23" s="2021"/>
      <c r="D23" s="2021"/>
      <c r="E23" s="2021"/>
      <c r="F23" s="2021"/>
      <c r="G23" s="2021"/>
      <c r="H23" s="2022"/>
      <c r="T23" s="1960" t="s">
        <v>2089</v>
      </c>
      <c r="U23" s="1961"/>
      <c r="V23" s="1961"/>
      <c r="W23" s="1961"/>
      <c r="X23" s="1976">
        <v>43466</v>
      </c>
      <c r="Y23" s="1977"/>
      <c r="Z23" s="1977"/>
      <c r="AA23" s="1978"/>
    </row>
    <row r="24" spans="1:27" ht="14.1" customHeight="1" x14ac:dyDescent="0.2">
      <c r="A24" s="88" t="s">
        <v>698</v>
      </c>
      <c r="B24" s="49"/>
      <c r="C24" s="49"/>
      <c r="D24" s="49"/>
      <c r="E24" s="49"/>
      <c r="F24" s="49"/>
      <c r="G24" s="49"/>
      <c r="H24" s="61"/>
      <c r="J24" s="2062">
        <f>IF(B5="x",IF(AUDITCHECK!D29="AFR form Incomplete.","",IF(AUDITCHECK!D29="Deficit reduction plan is required.","School District must complete a deficit reduction plan in the 2018-2019 Budget",)),"")</f>
        <v>0</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60021</v>
      </c>
      <c r="B25" s="1998"/>
      <c r="C25" s="1998"/>
      <c r="D25" s="1998"/>
      <c r="E25" s="1998"/>
      <c r="F25" s="1998"/>
      <c r="G25" s="1998"/>
      <c r="H25" s="1999"/>
      <c r="I25" s="113"/>
      <c r="J25" s="2064"/>
      <c r="K25" s="2064"/>
      <c r="L25" s="2064"/>
      <c r="M25" s="2064"/>
      <c r="N25" s="2064"/>
      <c r="O25" s="2064"/>
      <c r="P25" s="2064"/>
      <c r="Q25" s="2064"/>
      <c r="R25" s="2064"/>
      <c r="S25" s="2065"/>
      <c r="T25" s="1957" t="s">
        <v>2088</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c r="B42" s="2047"/>
      <c r="C42" s="2048"/>
      <c r="D42" s="2061"/>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tabSelected="1" defaultGridColor="0" colorId="8" zoomScale="110" zoomScaleNormal="110" workbookViewId="0">
      <selection sqref="A1:F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199" t="s">
        <v>1905</v>
      </c>
      <c r="B2" s="1549" t="s">
        <v>2037</v>
      </c>
      <c r="C2" s="715" t="s">
        <v>1910</v>
      </c>
      <c r="D2" s="715" t="s">
        <v>1911</v>
      </c>
      <c r="E2" s="715" t="s">
        <v>1912</v>
      </c>
      <c r="F2" s="715" t="s">
        <v>1913</v>
      </c>
    </row>
    <row r="3" spans="1:6" ht="12" customHeight="1" x14ac:dyDescent="0.2">
      <c r="A3" s="2200"/>
      <c r="B3" s="1546"/>
      <c r="C3" s="1547"/>
      <c r="D3" s="1548" t="s">
        <v>274</v>
      </c>
      <c r="E3" s="1547"/>
      <c r="F3" s="1548" t="s">
        <v>275</v>
      </c>
    </row>
    <row r="4" spans="1:6" ht="13.7" customHeight="1" x14ac:dyDescent="0.2">
      <c r="A4" s="716" t="s">
        <v>1217</v>
      </c>
      <c r="B4" s="1770">
        <f>'Revenues 9-14'!C5</f>
        <v>3887004</v>
      </c>
      <c r="C4" s="1545">
        <v>2210832</v>
      </c>
      <c r="D4" s="1773">
        <f>B4-C4</f>
        <v>1676172</v>
      </c>
      <c r="E4" s="1545">
        <v>4186110</v>
      </c>
      <c r="F4" s="1773">
        <f>E4-C4</f>
        <v>1975278</v>
      </c>
    </row>
    <row r="5" spans="1:6" ht="13.7" customHeight="1" x14ac:dyDescent="0.2">
      <c r="A5" s="716" t="s">
        <v>925</v>
      </c>
      <c r="B5" s="1771">
        <f>'Revenues 9-14'!D5</f>
        <v>539374</v>
      </c>
      <c r="C5" s="585">
        <v>285351</v>
      </c>
      <c r="D5" s="1774">
        <f t="shared" ref="D5:D18" si="0">B5-C5</f>
        <v>254023</v>
      </c>
      <c r="E5" s="585">
        <v>540300</v>
      </c>
      <c r="F5" s="1774">
        <f>E5-C5</f>
        <v>254949</v>
      </c>
    </row>
    <row r="6" spans="1:6" ht="13.7" customHeight="1" x14ac:dyDescent="0.2">
      <c r="A6" s="716" t="s">
        <v>431</v>
      </c>
      <c r="B6" s="1771">
        <f>'Revenues 9-14'!E5</f>
        <v>358048</v>
      </c>
      <c r="C6" s="585">
        <v>187789</v>
      </c>
      <c r="D6" s="1774">
        <f t="shared" si="0"/>
        <v>170259</v>
      </c>
      <c r="E6" s="585">
        <v>355570</v>
      </c>
      <c r="F6" s="1774">
        <f t="shared" ref="F6:F18" si="1">E6-C6</f>
        <v>167781</v>
      </c>
    </row>
    <row r="7" spans="1:6" ht="13.7" customHeight="1" x14ac:dyDescent="0.2">
      <c r="A7" s="716" t="s">
        <v>157</v>
      </c>
      <c r="B7" s="1771">
        <f>'Revenues 9-14'!F5</f>
        <v>338904</v>
      </c>
      <c r="C7" s="585">
        <v>1285</v>
      </c>
      <c r="D7" s="1774">
        <f t="shared" si="0"/>
        <v>337619</v>
      </c>
      <c r="E7" s="585">
        <v>2434</v>
      </c>
      <c r="F7" s="1774">
        <f t="shared" si="1"/>
        <v>1149</v>
      </c>
    </row>
    <row r="8" spans="1:6" ht="13.7" customHeight="1" x14ac:dyDescent="0.2">
      <c r="A8" s="716" t="s">
        <v>1241</v>
      </c>
      <c r="B8" s="1771">
        <f>'Revenues 9-14'!G5</f>
        <v>114461</v>
      </c>
      <c r="C8" s="585">
        <v>60670</v>
      </c>
      <c r="D8" s="1774">
        <f t="shared" si="0"/>
        <v>53791</v>
      </c>
      <c r="E8" s="585">
        <v>114876</v>
      </c>
      <c r="F8" s="1774">
        <f t="shared" si="1"/>
        <v>54206</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49315</v>
      </c>
      <c r="C10" s="585">
        <v>26222</v>
      </c>
      <c r="D10" s="1774">
        <f t="shared" si="0"/>
        <v>23093</v>
      </c>
      <c r="E10" s="585">
        <v>49650</v>
      </c>
      <c r="F10" s="1774">
        <f t="shared" si="1"/>
        <v>23428</v>
      </c>
    </row>
    <row r="11" spans="1:6" x14ac:dyDescent="0.2">
      <c r="A11" s="716" t="s">
        <v>429</v>
      </c>
      <c r="B11" s="1771">
        <f>'Revenues 9-14'!J5</f>
        <v>70564</v>
      </c>
      <c r="C11" s="585">
        <v>37533</v>
      </c>
      <c r="D11" s="1774">
        <f t="shared" si="0"/>
        <v>33031</v>
      </c>
      <c r="E11" s="585">
        <v>71067</v>
      </c>
      <c r="F11" s="1774">
        <f t="shared" si="1"/>
        <v>33534</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367387</v>
      </c>
      <c r="C14" s="585">
        <v>192806</v>
      </c>
      <c r="D14" s="1774">
        <f t="shared" si="0"/>
        <v>174581</v>
      </c>
      <c r="E14" s="585">
        <v>365069</v>
      </c>
      <c r="F14" s="1774">
        <f t="shared" si="1"/>
        <v>172263</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119387</v>
      </c>
      <c r="C16" s="585">
        <v>63240</v>
      </c>
      <c r="D16" s="1774">
        <f t="shared" si="0"/>
        <v>56147</v>
      </c>
      <c r="E16" s="585">
        <v>119742</v>
      </c>
      <c r="F16" s="1774">
        <f t="shared" si="1"/>
        <v>56502</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5844444</v>
      </c>
      <c r="C19" s="1772">
        <f>SUM(C4:C18)</f>
        <v>3065728</v>
      </c>
      <c r="D19" s="1772">
        <f>SUM(D4:D18)</f>
        <v>2778716</v>
      </c>
      <c r="E19" s="1772">
        <f>SUM(E4:E18)</f>
        <v>5804818</v>
      </c>
      <c r="F19" s="1772">
        <f>SUM(F4:F18)</f>
        <v>2739090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tabSelected="1" defaultGridColor="0" topLeftCell="A22" colorId="8" zoomScale="110" zoomScaleNormal="110" workbookViewId="0">
      <selection sqref="A1:F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650</v>
      </c>
      <c r="B1" s="2206"/>
      <c r="C1" s="722"/>
    </row>
    <row r="2" spans="1:7" ht="33.75" x14ac:dyDescent="0.2">
      <c r="A2" s="2214" t="s">
        <v>1905</v>
      </c>
      <c r="B2" s="2215"/>
      <c r="C2" s="1908" t="s">
        <v>2038</v>
      </c>
      <c r="D2" s="724" t="s">
        <v>2045</v>
      </c>
      <c r="E2" s="724" t="s">
        <v>2046</v>
      </c>
      <c r="F2" s="1908" t="s">
        <v>2039</v>
      </c>
    </row>
    <row r="3" spans="1:7" ht="15.75" customHeight="1" x14ac:dyDescent="0.2">
      <c r="A3" s="2218" t="s">
        <v>1176</v>
      </c>
      <c r="B3" s="2219"/>
      <c r="C3" s="2207"/>
      <c r="D3" s="2208"/>
      <c r="E3" s="2208"/>
      <c r="F3" s="2209"/>
    </row>
    <row r="4" spans="1:7" ht="12.75" customHeight="1" thickBot="1" x14ac:dyDescent="0.25">
      <c r="A4" s="2216" t="s">
        <v>651</v>
      </c>
      <c r="B4" s="2217"/>
      <c r="C4" s="581"/>
      <c r="D4" s="581"/>
      <c r="E4" s="581"/>
      <c r="F4" s="1776">
        <f>SUM(C4+D4)-E4</f>
        <v>0</v>
      </c>
    </row>
    <row r="5" spans="1:7" ht="15.75" customHeight="1" thickTop="1" x14ac:dyDescent="0.2">
      <c r="A5" s="2201" t="s">
        <v>1172</v>
      </c>
      <c r="B5" s="2202"/>
      <c r="C5" s="2210"/>
      <c r="D5" s="2211"/>
      <c r="E5" s="2211"/>
      <c r="F5" s="2212"/>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3" t="s">
        <v>652</v>
      </c>
      <c r="B15" s="2204"/>
      <c r="C15" s="1776">
        <f>SUM(C6:C14)</f>
        <v>0</v>
      </c>
      <c r="D15" s="1776">
        <f>SUM(D6:D14)</f>
        <v>0</v>
      </c>
      <c r="E15" s="1776">
        <f>SUM(E6:E14)</f>
        <v>0</v>
      </c>
      <c r="F15" s="1776">
        <f>SUM(F6:F14)</f>
        <v>0</v>
      </c>
      <c r="G15" s="552"/>
    </row>
    <row r="16" spans="1:7" s="202" customFormat="1" ht="15.75" customHeight="1" thickTop="1" x14ac:dyDescent="0.2">
      <c r="A16" s="2213" t="s">
        <v>1173</v>
      </c>
      <c r="B16" s="2202"/>
      <c r="C16" s="2210"/>
      <c r="D16" s="2211"/>
      <c r="E16" s="2211"/>
      <c r="F16" s="2212"/>
    </row>
    <row r="17" spans="1:11" ht="12.75" customHeight="1" thickBot="1" x14ac:dyDescent="0.25">
      <c r="A17" s="2226" t="s">
        <v>66</v>
      </c>
      <c r="B17" s="2227"/>
      <c r="C17" s="727"/>
      <c r="D17" s="585"/>
      <c r="E17" s="727"/>
      <c r="F17" s="1776">
        <f>SUM(C17+D17)-E17</f>
        <v>0</v>
      </c>
    </row>
    <row r="18" spans="1:11" ht="12.75" customHeight="1" thickTop="1" thickBot="1" x14ac:dyDescent="0.25">
      <c r="A18" s="2226" t="s">
        <v>6</v>
      </c>
      <c r="B18" s="2227"/>
      <c r="C18" s="727"/>
      <c r="D18" s="585"/>
      <c r="E18" s="727"/>
      <c r="F18" s="1776">
        <f>SUM(C18+D18)-E18</f>
        <v>0</v>
      </c>
    </row>
    <row r="19" spans="1:11" ht="12.75" customHeight="1" thickTop="1" thickBot="1" x14ac:dyDescent="0.25">
      <c r="A19" s="2226" t="s">
        <v>406</v>
      </c>
      <c r="B19" s="2227"/>
      <c r="C19" s="727"/>
      <c r="D19" s="585"/>
      <c r="E19" s="727"/>
      <c r="F19" s="1776">
        <f>SUM(C19+D19)-E19</f>
        <v>0</v>
      </c>
    </row>
    <row r="20" spans="1:11" ht="12.75" customHeight="1" thickTop="1" thickBot="1" x14ac:dyDescent="0.25">
      <c r="A20" s="2226" t="s">
        <v>468</v>
      </c>
      <c r="B20" s="2227"/>
      <c r="C20" s="727"/>
      <c r="D20" s="585"/>
      <c r="E20" s="727"/>
      <c r="F20" s="1776">
        <f>SUM(C20+D20)-E20</f>
        <v>0</v>
      </c>
    </row>
    <row r="21" spans="1:11" ht="14.25" thickTop="1" thickBot="1" x14ac:dyDescent="0.25">
      <c r="A21" s="2203" t="s">
        <v>653</v>
      </c>
      <c r="B21" s="2204"/>
      <c r="C21" s="1776">
        <f>SUM(C17:C20)</f>
        <v>0</v>
      </c>
      <c r="D21" s="1776">
        <f>SUM(D17:D20)</f>
        <v>0</v>
      </c>
      <c r="E21" s="1776">
        <f>SUM(E17:E20)</f>
        <v>0</v>
      </c>
      <c r="F21" s="1776">
        <f>SUM(F17:F20)</f>
        <v>0</v>
      </c>
      <c r="G21" s="552"/>
    </row>
    <row r="22" spans="1:11" ht="15.75" customHeight="1" thickTop="1" x14ac:dyDescent="0.2">
      <c r="A22" s="2228" t="s">
        <v>1174</v>
      </c>
      <c r="B22" s="2202"/>
      <c r="C22" s="2210"/>
      <c r="D22" s="2211"/>
      <c r="E22" s="2211"/>
      <c r="F22" s="2212"/>
    </row>
    <row r="23" spans="1:11" ht="13.5" thickBot="1" x14ac:dyDescent="0.25">
      <c r="A23" s="2216" t="s">
        <v>654</v>
      </c>
      <c r="B23" s="2217"/>
      <c r="C23" s="581"/>
      <c r="D23" s="581"/>
      <c r="E23" s="581"/>
      <c r="F23" s="1776">
        <f>SUM(C23+D23)-E23</f>
        <v>0</v>
      </c>
      <c r="G23" s="552"/>
    </row>
    <row r="24" spans="1:11" ht="15.75" customHeight="1" thickTop="1" x14ac:dyDescent="0.2">
      <c r="A24" s="2228" t="s">
        <v>1175</v>
      </c>
      <c r="B24" s="2202"/>
      <c r="C24" s="2210"/>
      <c r="D24" s="2211"/>
      <c r="E24" s="2211"/>
      <c r="F24" s="2212"/>
    </row>
    <row r="25" spans="1:11" ht="13.5" thickBot="1" x14ac:dyDescent="0.25">
      <c r="A25" s="2216" t="s">
        <v>655</v>
      </c>
      <c r="B25" s="2217"/>
      <c r="C25" s="581"/>
      <c r="D25" s="581"/>
      <c r="E25" s="581"/>
      <c r="F25" s="1776">
        <f>SUM(C25+D25)-E25</f>
        <v>0</v>
      </c>
      <c r="G25" s="552"/>
    </row>
    <row r="26" spans="1:11" ht="15.75" customHeight="1" thickTop="1" x14ac:dyDescent="0.2">
      <c r="A26" s="2201" t="s">
        <v>678</v>
      </c>
      <c r="B26" s="2202"/>
      <c r="C26" s="728"/>
      <c r="D26" s="728"/>
      <c r="E26" s="728"/>
      <c r="F26" s="729"/>
    </row>
    <row r="27" spans="1:11" ht="13.5" thickBot="1" x14ac:dyDescent="0.25">
      <c r="A27" s="2203" t="s">
        <v>1130</v>
      </c>
      <c r="B27" s="2204"/>
      <c r="C27" s="585"/>
      <c r="D27" s="585"/>
      <c r="E27" s="585"/>
      <c r="F27" s="1776">
        <f>SUM(C27+D27)-E27</f>
        <v>0</v>
      </c>
      <c r="G27" s="552"/>
    </row>
    <row r="28" spans="1:11" ht="7.5" customHeight="1" thickTop="1" x14ac:dyDescent="0.2">
      <c r="A28" s="594"/>
    </row>
    <row r="29" spans="1:11" ht="23.25" customHeight="1" x14ac:dyDescent="0.2">
      <c r="A29" s="2229" t="s">
        <v>603</v>
      </c>
      <c r="B29" s="2206"/>
      <c r="C29" s="730"/>
      <c r="D29" s="730"/>
      <c r="E29" s="730"/>
      <c r="F29" s="730"/>
      <c r="G29" s="730"/>
      <c r="H29" s="730"/>
      <c r="I29" s="730"/>
      <c r="J29" s="730"/>
    </row>
    <row r="30" spans="1:11" ht="33.75" x14ac:dyDescent="0.2">
      <c r="A30" s="1550"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2090</v>
      </c>
      <c r="B31" s="734">
        <v>40009</v>
      </c>
      <c r="C31" s="735">
        <v>1170000</v>
      </c>
      <c r="D31" s="736">
        <v>1</v>
      </c>
      <c r="E31" s="735">
        <v>535000</v>
      </c>
      <c r="F31" s="735"/>
      <c r="G31" s="735"/>
      <c r="H31" s="735">
        <v>105000</v>
      </c>
      <c r="I31" s="1777">
        <f>((E31+F31)-H31)+G31</f>
        <v>430000</v>
      </c>
      <c r="J31" s="735">
        <v>348046</v>
      </c>
      <c r="K31" s="737"/>
    </row>
    <row r="32" spans="1:11" ht="12" customHeight="1" x14ac:dyDescent="0.2">
      <c r="A32" s="733" t="s">
        <v>2091</v>
      </c>
      <c r="B32" s="734">
        <v>40366</v>
      </c>
      <c r="C32" s="735">
        <v>860000</v>
      </c>
      <c r="D32" s="736">
        <v>3</v>
      </c>
      <c r="E32" s="735">
        <v>295000</v>
      </c>
      <c r="F32" s="735"/>
      <c r="G32" s="735"/>
      <c r="H32" s="735">
        <v>95000</v>
      </c>
      <c r="I32" s="1777">
        <f>((E32+F32)-H32)+G32</f>
        <v>200000</v>
      </c>
      <c r="J32" s="735">
        <v>159913</v>
      </c>
      <c r="K32" s="737"/>
    </row>
    <row r="33" spans="1:11" ht="12" customHeight="1" x14ac:dyDescent="0.2">
      <c r="A33" s="733" t="s">
        <v>2091</v>
      </c>
      <c r="B33" s="734">
        <v>41829</v>
      </c>
      <c r="C33" s="735">
        <v>1325000</v>
      </c>
      <c r="D33" s="736">
        <v>3</v>
      </c>
      <c r="E33" s="735">
        <v>790000</v>
      </c>
      <c r="F33" s="735"/>
      <c r="G33" s="735"/>
      <c r="H33" s="735">
        <v>255000</v>
      </c>
      <c r="I33" s="1777">
        <f t="shared" ref="I33:I48" si="1">((E33+F33)-H33)+G33</f>
        <v>535000</v>
      </c>
      <c r="J33" s="735">
        <v>432706</v>
      </c>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3355000</v>
      </c>
      <c r="D49" s="746"/>
      <c r="E49" s="1777">
        <f t="shared" ref="E49:J49" si="2">SUM(E31:E48)</f>
        <v>1620000</v>
      </c>
      <c r="F49" s="1777">
        <f t="shared" si="2"/>
        <v>0</v>
      </c>
      <c r="G49" s="1777">
        <f t="shared" si="2"/>
        <v>0</v>
      </c>
      <c r="H49" s="1777">
        <f t="shared" si="2"/>
        <v>455000</v>
      </c>
      <c r="I49" s="1777">
        <f t="shared" si="2"/>
        <v>1165000</v>
      </c>
      <c r="J49" s="1777">
        <f t="shared" si="2"/>
        <v>940665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0" t="s">
        <v>605</v>
      </c>
      <c r="C52" s="2221"/>
      <c r="D52" s="2221"/>
      <c r="E52" s="750" t="s">
        <v>900</v>
      </c>
      <c r="F52" s="2222"/>
      <c r="G52" s="2223"/>
      <c r="H52" s="737"/>
      <c r="I52" s="737"/>
      <c r="J52" s="747"/>
    </row>
    <row r="53" spans="1:11" ht="11.25" customHeight="1" x14ac:dyDescent="0.2">
      <c r="A53" s="751" t="s">
        <v>969</v>
      </c>
      <c r="B53" s="752" t="s">
        <v>1008</v>
      </c>
      <c r="C53" s="747"/>
      <c r="D53" s="738"/>
      <c r="E53" s="750" t="s">
        <v>518</v>
      </c>
      <c r="F53" s="2224"/>
      <c r="G53" s="2225"/>
      <c r="H53" s="737"/>
      <c r="I53" s="737"/>
      <c r="J53" s="747"/>
    </row>
    <row r="54" spans="1:11" ht="11.25" customHeight="1" x14ac:dyDescent="0.2">
      <c r="A54" s="753" t="s">
        <v>970</v>
      </c>
      <c r="B54" s="748" t="s">
        <v>1009</v>
      </c>
      <c r="C54" s="747"/>
      <c r="D54" s="738"/>
      <c r="E54" s="750" t="s">
        <v>519</v>
      </c>
      <c r="F54" s="2224"/>
      <c r="G54" s="222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tabSelected="1" defaultGridColor="0" topLeftCell="A28" colorId="8" zoomScale="110" zoomScaleNormal="110"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51"/>
      <c r="I1" s="761"/>
      <c r="J1" s="433"/>
    </row>
    <row r="2" spans="1:11" ht="26.25" x14ac:dyDescent="0.2">
      <c r="A2" s="2233" t="s">
        <v>1776</v>
      </c>
      <c r="B2" s="2234"/>
      <c r="C2" s="2234"/>
      <c r="D2" s="2234"/>
      <c r="E2" s="2235"/>
      <c r="F2" s="762" t="s">
        <v>960</v>
      </c>
      <c r="G2" s="763" t="s">
        <v>1773</v>
      </c>
      <c r="H2" s="763" t="s">
        <v>430</v>
      </c>
      <c r="I2" s="763" t="s">
        <v>1220</v>
      </c>
      <c r="J2" s="763" t="s">
        <v>1919</v>
      </c>
      <c r="K2" s="763" t="s">
        <v>140</v>
      </c>
    </row>
    <row r="3" spans="1:11" x14ac:dyDescent="0.2">
      <c r="A3" s="2236" t="s">
        <v>1698</v>
      </c>
      <c r="B3" s="2237"/>
      <c r="C3" s="2237"/>
      <c r="D3" s="2237"/>
      <c r="E3" s="2238"/>
      <c r="F3" s="764"/>
      <c r="G3" s="765"/>
      <c r="H3" s="765"/>
      <c r="I3" s="765"/>
      <c r="J3" s="766"/>
      <c r="K3" s="766"/>
    </row>
    <row r="4" spans="1:11" x14ac:dyDescent="0.2">
      <c r="A4" s="2239" t="s">
        <v>387</v>
      </c>
      <c r="B4" s="2240"/>
      <c r="C4" s="2240"/>
      <c r="D4" s="2240"/>
      <c r="E4" s="2221"/>
      <c r="F4" s="767"/>
      <c r="G4" s="768"/>
      <c r="H4" s="769"/>
      <c r="I4" s="768"/>
      <c r="J4" s="770"/>
      <c r="K4" s="770"/>
    </row>
    <row r="5" spans="1:11" x14ac:dyDescent="0.2">
      <c r="A5" s="2257" t="s">
        <v>1129</v>
      </c>
      <c r="B5" s="2230"/>
      <c r="C5" s="2230"/>
      <c r="D5" s="2230"/>
      <c r="E5" s="2258"/>
      <c r="F5" s="771" t="s">
        <v>903</v>
      </c>
      <c r="G5" s="772"/>
      <c r="H5" s="765">
        <v>367387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7" t="s">
        <v>1920</v>
      </c>
      <c r="B10" s="2230"/>
      <c r="C10" s="2230"/>
      <c r="D10" s="2230"/>
      <c r="E10" s="2259"/>
      <c r="F10" s="784" t="s">
        <v>917</v>
      </c>
      <c r="G10" s="783"/>
      <c r="H10" s="785"/>
      <c r="I10" s="765"/>
      <c r="J10" s="766"/>
      <c r="K10" s="766"/>
    </row>
    <row r="11" spans="1:11" x14ac:dyDescent="0.2">
      <c r="A11" s="2257" t="s">
        <v>162</v>
      </c>
      <c r="B11" s="2230"/>
      <c r="C11" s="2230"/>
      <c r="D11" s="2230"/>
      <c r="E11" s="2258"/>
      <c r="F11" s="771" t="s">
        <v>907</v>
      </c>
      <c r="G11" s="772"/>
      <c r="H11" s="765"/>
      <c r="I11" s="765"/>
      <c r="J11" s="766"/>
      <c r="K11" s="774"/>
    </row>
    <row r="12" spans="1:11" ht="13.5" thickBot="1" x14ac:dyDescent="0.25">
      <c r="A12" s="2247" t="s">
        <v>961</v>
      </c>
      <c r="B12" s="2248"/>
      <c r="C12" s="2248"/>
      <c r="D12" s="2248"/>
      <c r="E12" s="2249"/>
      <c r="F12" s="1778"/>
      <c r="G12" s="1779">
        <f>SUM(G5:G11)</f>
        <v>0</v>
      </c>
      <c r="H12" s="1779">
        <f>SUM(H5:H11)</f>
        <v>367387</v>
      </c>
      <c r="I12" s="1779">
        <f>SUM(I5:I11)</f>
        <v>0</v>
      </c>
      <c r="J12" s="1779">
        <f>SUM(J5:J11)</f>
        <v>0</v>
      </c>
      <c r="K12" s="1779">
        <f>SUM(K5:K11)</f>
        <v>0</v>
      </c>
    </row>
    <row r="13" spans="1:11" ht="13.5" thickTop="1" x14ac:dyDescent="0.2">
      <c r="A13" s="2241" t="s">
        <v>388</v>
      </c>
      <c r="B13" s="2242"/>
      <c r="C13" s="2242"/>
      <c r="D13" s="2242"/>
      <c r="E13" s="2243"/>
      <c r="F13" s="786"/>
      <c r="G13" s="787"/>
      <c r="H13" s="788"/>
      <c r="I13" s="789"/>
      <c r="J13" s="789"/>
      <c r="K13" s="789"/>
    </row>
    <row r="14" spans="1:11" x14ac:dyDescent="0.2">
      <c r="A14" s="2263" t="s">
        <v>476</v>
      </c>
      <c r="B14" s="2263"/>
      <c r="C14" s="2263"/>
      <c r="D14" s="2263"/>
      <c r="E14" s="2264"/>
      <c r="F14" s="790" t="s">
        <v>909</v>
      </c>
      <c r="G14" s="783"/>
      <c r="H14" s="765"/>
      <c r="I14" s="772"/>
      <c r="J14" s="774"/>
      <c r="K14" s="766"/>
    </row>
    <row r="15" spans="1:11" x14ac:dyDescent="0.2">
      <c r="A15" s="2230" t="s">
        <v>4</v>
      </c>
      <c r="B15" s="2230"/>
      <c r="C15" s="2230"/>
      <c r="D15" s="2230"/>
      <c r="E15" s="2258"/>
      <c r="F15" s="790" t="s">
        <v>910</v>
      </c>
      <c r="G15" s="772"/>
      <c r="H15" s="765"/>
      <c r="I15" s="765"/>
      <c r="J15" s="766"/>
      <c r="K15" s="766"/>
    </row>
    <row r="16" spans="1:11" x14ac:dyDescent="0.2">
      <c r="A16" s="2230" t="s">
        <v>316</v>
      </c>
      <c r="B16" s="2230"/>
      <c r="C16" s="2230"/>
      <c r="D16" s="2230"/>
      <c r="E16" s="2258"/>
      <c r="F16" s="790" t="s">
        <v>980</v>
      </c>
      <c r="G16" s="773"/>
      <c r="H16" s="768"/>
      <c r="I16" s="768"/>
      <c r="J16" s="770"/>
      <c r="K16" s="770"/>
    </row>
    <row r="17" spans="1:11" x14ac:dyDescent="0.2">
      <c r="A17" s="2252" t="s">
        <v>992</v>
      </c>
      <c r="B17" s="2252"/>
      <c r="C17" s="2252"/>
      <c r="D17" s="2252"/>
      <c r="E17" s="2253"/>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65" t="s">
        <v>1916</v>
      </c>
      <c r="B19" s="2265"/>
      <c r="C19" s="2265"/>
      <c r="D19" s="2265"/>
      <c r="E19" s="2266"/>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50" t="s">
        <v>659</v>
      </c>
      <c r="B21" s="2250"/>
      <c r="C21" s="2250"/>
      <c r="D21" s="2250"/>
      <c r="E21" s="2250"/>
      <c r="F21" s="1780"/>
      <c r="G21" s="793"/>
      <c r="H21" s="797"/>
      <c r="I21" s="797"/>
      <c r="J21" s="1781">
        <f>SUM(J18:J20)</f>
        <v>0</v>
      </c>
      <c r="K21" s="794"/>
    </row>
    <row r="22" spans="1:11" ht="13.5" thickTop="1" x14ac:dyDescent="0.2">
      <c r="A22" s="2230" t="s">
        <v>1922</v>
      </c>
      <c r="B22" s="2230"/>
      <c r="C22" s="2230"/>
      <c r="D22" s="2230"/>
      <c r="E22" s="2258"/>
      <c r="F22" s="790" t="s">
        <v>917</v>
      </c>
      <c r="G22" s="783"/>
      <c r="H22" s="765"/>
      <c r="I22" s="765"/>
      <c r="J22" s="798"/>
      <c r="K22" s="766"/>
    </row>
    <row r="23" spans="1:11" ht="13.5" thickBot="1" x14ac:dyDescent="0.25">
      <c r="A23" s="2251" t="s">
        <v>962</v>
      </c>
      <c r="B23" s="2250"/>
      <c r="C23" s="2250"/>
      <c r="D23" s="2250"/>
      <c r="E23" s="2250"/>
      <c r="F23" s="1782"/>
      <c r="G23" s="1779">
        <f>SUM(G14:G16,G21,G22)</f>
        <v>0</v>
      </c>
      <c r="H23" s="1779">
        <f>SUM(H14:H16,H21,H22)</f>
        <v>0</v>
      </c>
      <c r="I23" s="1779">
        <f>SUM(I14:I16,I21,I22)</f>
        <v>0</v>
      </c>
      <c r="J23" s="1779">
        <f>SUM(J14:J16,J21,J22)</f>
        <v>0</v>
      </c>
      <c r="K23" s="1779">
        <f>SUM(K14:K16,K21,K22)</f>
        <v>0</v>
      </c>
    </row>
    <row r="24" spans="1:11" ht="14.25" thickTop="1" thickBot="1" x14ac:dyDescent="0.25">
      <c r="A24" s="2251" t="s">
        <v>2026</v>
      </c>
      <c r="B24" s="2250"/>
      <c r="C24" s="2250"/>
      <c r="D24" s="2250"/>
      <c r="E24" s="2250"/>
      <c r="F24" s="1783"/>
      <c r="G24" s="1784">
        <f>SUM(G3,G12)-G23</f>
        <v>0</v>
      </c>
      <c r="H24" s="1784">
        <f>SUM(H3,H12)-H23</f>
        <v>367387</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367387</v>
      </c>
      <c r="I26" s="1779">
        <f>I24-I25</f>
        <v>0</v>
      </c>
      <c r="J26" s="1779">
        <f>J24-J25</f>
        <v>0</v>
      </c>
      <c r="K26" s="1779">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0"/>
      <c r="I31" s="2261"/>
      <c r="J31" s="2261"/>
      <c r="K31" s="2261"/>
    </row>
    <row r="32" spans="1:11" x14ac:dyDescent="0.2">
      <c r="A32" s="810"/>
      <c r="B32" s="237"/>
      <c r="C32" s="237"/>
      <c r="D32" s="237"/>
      <c r="E32" s="806"/>
      <c r="F32" s="812" t="s">
        <v>561</v>
      </c>
      <c r="G32" s="765"/>
      <c r="H32" s="2262"/>
      <c r="I32" s="2261"/>
      <c r="J32" s="2261"/>
      <c r="K32" s="2261"/>
    </row>
    <row r="33" spans="1:11" ht="1.5" customHeight="1" x14ac:dyDescent="0.2">
      <c r="A33" s="813" t="s">
        <v>1231</v>
      </c>
      <c r="B33" s="364"/>
      <c r="C33" s="364"/>
      <c r="D33" s="364"/>
      <c r="E33" s="364"/>
      <c r="F33" s="364"/>
      <c r="G33" s="814"/>
      <c r="H33" s="2262"/>
      <c r="I33" s="2261"/>
      <c r="J33" s="2261"/>
      <c r="K33" s="226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0" t="s">
        <v>562</v>
      </c>
      <c r="B41" s="2231"/>
      <c r="C41" s="2231"/>
      <c r="D41" s="2231"/>
      <c r="E41" s="2231"/>
      <c r="F41" s="223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73" bottom="0.4" header="0.42"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tabSelected="1" defaultGridColor="0" colorId="8" zoomScale="110" zoomScaleNormal="110" workbookViewId="0">
      <selection sqref="A1:F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2035</v>
      </c>
      <c r="B1" s="2270"/>
      <c r="C1" s="2271"/>
      <c r="D1" s="827"/>
      <c r="E1" s="828"/>
      <c r="F1" s="828"/>
      <c r="G1" s="829"/>
      <c r="H1" s="830"/>
      <c r="I1" s="831"/>
      <c r="J1" s="2267"/>
      <c r="K1" s="2268"/>
      <c r="L1" s="226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321274</v>
      </c>
      <c r="D5" s="842"/>
      <c r="E5" s="842"/>
      <c r="F5" s="1781">
        <f>(C5+D5)-E5</f>
        <v>321274</v>
      </c>
      <c r="G5" s="838"/>
      <c r="H5" s="843"/>
      <c r="I5" s="843"/>
      <c r="J5" s="843"/>
      <c r="K5" s="794"/>
      <c r="L5" s="1790">
        <f>F5-K5</f>
        <v>321274</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10070423</v>
      </c>
      <c r="D8" s="845">
        <v>195100</v>
      </c>
      <c r="E8" s="845"/>
      <c r="F8" s="1781">
        <f>(C8+D8)-E8</f>
        <v>10265523</v>
      </c>
      <c r="G8" s="844">
        <v>50</v>
      </c>
      <c r="H8" s="766">
        <v>4840545</v>
      </c>
      <c r="I8" s="766">
        <v>10426</v>
      </c>
      <c r="J8" s="766"/>
      <c r="K8" s="1790">
        <f>(H8+I8)-J8</f>
        <v>4850971</v>
      </c>
      <c r="L8" s="1790">
        <f>F8-K8</f>
        <v>5414552</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280929</v>
      </c>
      <c r="D10" s="847"/>
      <c r="E10" s="847"/>
      <c r="F10" s="1785">
        <f>(C10+D10)-E10</f>
        <v>280929</v>
      </c>
      <c r="G10" s="844">
        <v>20</v>
      </c>
      <c r="H10" s="848">
        <v>167096</v>
      </c>
      <c r="I10" s="848">
        <v>246854</v>
      </c>
      <c r="J10" s="848"/>
      <c r="K10" s="1790">
        <f>(H10+I10)-J10</f>
        <v>413950</v>
      </c>
      <c r="L10" s="1790">
        <f>F10-K10</f>
        <v>-133021</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882378</v>
      </c>
      <c r="D12" s="845">
        <v>32281</v>
      </c>
      <c r="E12" s="845"/>
      <c r="F12" s="1781">
        <f>(C12+D12)-E12</f>
        <v>914659</v>
      </c>
      <c r="G12" s="844">
        <v>10</v>
      </c>
      <c r="H12" s="766">
        <v>685679</v>
      </c>
      <c r="I12" s="766">
        <v>40970</v>
      </c>
      <c r="J12" s="766"/>
      <c r="K12" s="1790">
        <f>(H12+I12)-J12</f>
        <v>726649</v>
      </c>
      <c r="L12" s="1790">
        <f>F12-K12</f>
        <v>188010</v>
      </c>
    </row>
    <row r="13" spans="1:14" ht="14.25" thickTop="1" thickBot="1" x14ac:dyDescent="0.25">
      <c r="A13" s="849" t="s">
        <v>1184</v>
      </c>
      <c r="B13" s="841">
        <v>252</v>
      </c>
      <c r="C13" s="845">
        <v>230755</v>
      </c>
      <c r="D13" s="845">
        <v>8958</v>
      </c>
      <c r="E13" s="845"/>
      <c r="F13" s="1781">
        <f>(C13+D13)-E13</f>
        <v>239713</v>
      </c>
      <c r="G13" s="844">
        <v>5</v>
      </c>
      <c r="H13" s="766">
        <v>149713</v>
      </c>
      <c r="I13" s="766">
        <v>1337</v>
      </c>
      <c r="J13" s="766"/>
      <c r="K13" s="1790">
        <f>(H13+I13)-J13</f>
        <v>151050</v>
      </c>
      <c r="L13" s="1790">
        <f>F13-K13</f>
        <v>88663</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11785759</v>
      </c>
      <c r="D16" s="1781">
        <f>SUM(D3,D5:D6,D8:D10,D12:D15)</f>
        <v>236339</v>
      </c>
      <c r="E16" s="1781">
        <f>SUM(E3,E5:E6,E8:E10,E12:E15)</f>
        <v>0</v>
      </c>
      <c r="F16" s="1781">
        <f>SUM(F3,F5:F6,F8:F10,F12:F15)</f>
        <v>12022098</v>
      </c>
      <c r="G16" s="844"/>
      <c r="H16" s="1781">
        <f>SUM(H3,H6,H8:H10,H12:H14,)</f>
        <v>5843033</v>
      </c>
      <c r="I16" s="1781">
        <f>SUM(I3,I6,I8:I10,I12:I14,)</f>
        <v>299587</v>
      </c>
      <c r="J16" s="1781">
        <f>SUM(J3,J6,J8:J10,J12:J14,)</f>
        <v>0</v>
      </c>
      <c r="K16" s="1781">
        <f>(H16+I16)-J16</f>
        <v>6142620</v>
      </c>
      <c r="L16" s="1781">
        <f>F16-K16</f>
        <v>5879478</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10115</v>
      </c>
      <c r="G17" s="838">
        <v>10</v>
      </c>
      <c r="H17" s="770"/>
      <c r="I17" s="1790">
        <f>F17/G17</f>
        <v>1011.5</v>
      </c>
      <c r="J17" s="770"/>
      <c r="K17" s="796"/>
      <c r="L17" s="796"/>
    </row>
    <row r="18" spans="1:12" ht="14.25" thickTop="1" thickBot="1" x14ac:dyDescent="0.25">
      <c r="A18" s="1788" t="s">
        <v>706</v>
      </c>
      <c r="B18" s="1789"/>
      <c r="C18" s="772"/>
      <c r="D18" s="772"/>
      <c r="E18" s="772"/>
      <c r="F18" s="851"/>
      <c r="G18" s="852"/>
      <c r="H18" s="774"/>
      <c r="I18" s="1781">
        <f>SUM(I16,I17)</f>
        <v>300598.5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tabSelected="1" defaultGridColor="0" colorId="8" zoomScale="110" zoomScaleNormal="110" workbookViewId="0">
      <pane ySplit="5" topLeftCell="A132" activePane="bottomLeft" state="frozen"/>
      <selection sqref="A1:F1"/>
      <selection pane="bottomLeft"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5248263</v>
      </c>
      <c r="G8" s="866"/>
    </row>
    <row r="9" spans="1:7" x14ac:dyDescent="0.2">
      <c r="A9" s="870" t="s">
        <v>480</v>
      </c>
      <c r="B9" s="871" t="s">
        <v>1989</v>
      </c>
      <c r="C9" s="872"/>
      <c r="D9" s="870" t="s">
        <v>522</v>
      </c>
      <c r="E9" s="869"/>
      <c r="F9" s="1934">
        <f>'Expenditures 15-22'!K151</f>
        <v>483839</v>
      </c>
      <c r="G9" s="873"/>
    </row>
    <row r="10" spans="1:7" x14ac:dyDescent="0.2">
      <c r="A10" s="870" t="s">
        <v>520</v>
      </c>
      <c r="B10" s="871" t="s">
        <v>1990</v>
      </c>
      <c r="C10" s="872"/>
      <c r="D10" s="870" t="s">
        <v>522</v>
      </c>
      <c r="E10" s="869"/>
      <c r="F10" s="1934">
        <f>'Expenditures 15-22'!K174</f>
        <v>497145</v>
      </c>
      <c r="G10" s="873"/>
    </row>
    <row r="11" spans="1:7" x14ac:dyDescent="0.2">
      <c r="A11" s="870" t="s">
        <v>481</v>
      </c>
      <c r="B11" s="871" t="s">
        <v>1991</v>
      </c>
      <c r="C11" s="872"/>
      <c r="D11" s="870" t="s">
        <v>522</v>
      </c>
      <c r="E11" s="869"/>
      <c r="F11" s="1934">
        <f>'Expenditures 15-22'!K210</f>
        <v>292859</v>
      </c>
      <c r="G11" s="873"/>
    </row>
    <row r="12" spans="1:7" x14ac:dyDescent="0.2">
      <c r="A12" s="870" t="s">
        <v>482</v>
      </c>
      <c r="B12" s="871" t="s">
        <v>1992</v>
      </c>
      <c r="C12" s="872"/>
      <c r="D12" s="870" t="s">
        <v>522</v>
      </c>
      <c r="E12" s="869"/>
      <c r="F12" s="1934">
        <f>'Expenditures 15-22'!K295</f>
        <v>213233</v>
      </c>
      <c r="G12" s="873"/>
    </row>
    <row r="13" spans="1:7" x14ac:dyDescent="0.2">
      <c r="A13" s="870" t="s">
        <v>108</v>
      </c>
      <c r="B13" s="871" t="s">
        <v>1993</v>
      </c>
      <c r="C13" s="872"/>
      <c r="D13" s="870" t="s">
        <v>522</v>
      </c>
      <c r="E13" s="869"/>
      <c r="F13" s="1934">
        <f>'Expenditures 15-22'!K342</f>
        <v>71162</v>
      </c>
      <c r="G13" s="874"/>
    </row>
    <row r="14" spans="1:7" ht="12" customHeight="1" thickBot="1" x14ac:dyDescent="0.25">
      <c r="A14" s="1791"/>
      <c r="B14" s="1792"/>
      <c r="C14" s="1793"/>
      <c r="D14" s="1794" t="s">
        <v>522</v>
      </c>
      <c r="E14" s="1795" t="s">
        <v>1015</v>
      </c>
      <c r="F14" s="1796">
        <f>SUM(F8:F13)</f>
        <v>6806501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83</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481469</v>
      </c>
      <c r="G53" s="866"/>
    </row>
    <row r="54" spans="1:7" x14ac:dyDescent="0.2">
      <c r="A54" s="870" t="s">
        <v>479</v>
      </c>
      <c r="B54" s="870" t="s">
        <v>1552</v>
      </c>
      <c r="C54" s="890" t="s">
        <v>1039</v>
      </c>
      <c r="D54" s="886" t="s">
        <v>1157</v>
      </c>
      <c r="E54" s="869"/>
      <c r="F54" s="1938">
        <f>'Expenditures 15-22'!G114</f>
        <v>32281</v>
      </c>
      <c r="G54" s="866"/>
    </row>
    <row r="55" spans="1:7" x14ac:dyDescent="0.2">
      <c r="A55" s="870" t="s">
        <v>479</v>
      </c>
      <c r="B55" s="870" t="s">
        <v>1553</v>
      </c>
      <c r="C55" s="890" t="s">
        <v>1039</v>
      </c>
      <c r="D55" s="886" t="s">
        <v>309</v>
      </c>
      <c r="E55" s="869"/>
      <c r="F55" s="1938">
        <f>'Expenditures 15-22'!I114</f>
        <v>9037</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204058</v>
      </c>
      <c r="G58" s="866"/>
    </row>
    <row r="59" spans="1:7" x14ac:dyDescent="0.2">
      <c r="A59" s="894" t="s">
        <v>480</v>
      </c>
      <c r="B59" s="857" t="s">
        <v>1996</v>
      </c>
      <c r="C59" s="895" t="s">
        <v>1039</v>
      </c>
      <c r="D59" s="857" t="s">
        <v>309</v>
      </c>
      <c r="F59" s="1941">
        <f>'Expenditures 15-22'!I151</f>
        <v>1078</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455000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1573</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0</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0</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1184579</v>
      </c>
      <c r="G76" s="866"/>
    </row>
    <row r="77" spans="1:8" s="894" customFormat="1" ht="12" customHeight="1" thickTop="1" thickBot="1" x14ac:dyDescent="0.25">
      <c r="A77" s="1800"/>
      <c r="B77" s="1797"/>
      <c r="C77" s="1793"/>
      <c r="D77" s="1798" t="s">
        <v>2012</v>
      </c>
      <c r="E77" s="1795"/>
      <c r="F77" s="1801">
        <f>(F14-F76)</f>
        <v>5621922</v>
      </c>
      <c r="G77" s="870"/>
    </row>
    <row r="78" spans="1:8" s="894" customFormat="1" ht="12" customHeight="1" thickTop="1" x14ac:dyDescent="0.2">
      <c r="A78" s="1802"/>
      <c r="B78" s="1797"/>
      <c r="C78" s="1793"/>
      <c r="D78" s="1798" t="s">
        <v>2059</v>
      </c>
      <c r="E78" s="1795"/>
      <c r="F78" s="899">
        <v>409.11</v>
      </c>
      <c r="G78" s="900"/>
      <c r="H78" s="870"/>
    </row>
    <row r="79" spans="1:8" s="894" customFormat="1" ht="12" customHeight="1" thickBot="1" x14ac:dyDescent="0.25">
      <c r="A79" s="1803"/>
      <c r="B79" s="1797"/>
      <c r="C79" s="1793"/>
      <c r="D79" s="1798" t="s">
        <v>2013</v>
      </c>
      <c r="E79" s="1795" t="s">
        <v>1015</v>
      </c>
      <c r="F79" s="1804">
        <f>IF(F78&gt;0,F77/F78," Complete Line 78")</f>
        <v>13741.834714379995</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3380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50672</v>
      </c>
      <c r="G94" s="913"/>
    </row>
    <row r="95" spans="1:7" x14ac:dyDescent="0.2">
      <c r="A95" s="909" t="s">
        <v>142</v>
      </c>
      <c r="B95" s="909" t="s">
        <v>177</v>
      </c>
      <c r="C95" s="911">
        <v>1700</v>
      </c>
      <c r="D95" s="919" t="str">
        <f>'Revenues 9-14'!A82</f>
        <v>Total District/School Activity Income</v>
      </c>
      <c r="E95" s="907"/>
      <c r="F95" s="1810">
        <f>SUM('Revenues 9-14'!C82,'Revenues 9-14'!D82)</f>
        <v>25225</v>
      </c>
      <c r="G95" s="913"/>
    </row>
    <row r="96" spans="1:7" x14ac:dyDescent="0.2">
      <c r="A96" s="909" t="s">
        <v>479</v>
      </c>
      <c r="B96" s="909" t="s">
        <v>178</v>
      </c>
      <c r="C96" s="911">
        <f>'Revenues 9-14'!B84</f>
        <v>1811</v>
      </c>
      <c r="D96" s="912" t="str">
        <f>'Revenues 9-14'!A84</f>
        <v>Rentals - Regular Textbooks</v>
      </c>
      <c r="E96" s="907"/>
      <c r="F96" s="1810">
        <f>'Revenues 9-14'!C84</f>
        <v>60375</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13719</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5174</v>
      </c>
      <c r="G104" s="913"/>
    </row>
    <row r="105" spans="1:7" x14ac:dyDescent="0.2">
      <c r="A105" s="909" t="s">
        <v>524</v>
      </c>
      <c r="B105" s="909" t="s">
        <v>842</v>
      </c>
      <c r="C105" s="914">
        <v>3100</v>
      </c>
      <c r="D105" s="920" t="str">
        <f>'Revenues 9-14'!A131</f>
        <v>Total Special Education</v>
      </c>
      <c r="E105" s="907"/>
      <c r="F105" s="1810">
        <f>SUM('Revenues 9-14'!C131:D131,'Revenues 9-14'!F131)</f>
        <v>126502</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6542</v>
      </c>
      <c r="G107" s="913"/>
    </row>
    <row r="108" spans="1:7" x14ac:dyDescent="0.2">
      <c r="A108" s="909" t="s">
        <v>479</v>
      </c>
      <c r="B108" s="909" t="s">
        <v>844</v>
      </c>
      <c r="C108" s="921">
        <f>'Revenues 9-14'!B145</f>
        <v>3360</v>
      </c>
      <c r="D108" s="912" t="str">
        <f>'Revenues 9-14'!A145</f>
        <v>State Free Lunch &amp; Breakfast</v>
      </c>
      <c r="E108" s="907"/>
      <c r="F108" s="1810">
        <f>'Revenues 9-14'!C145</f>
        <v>234</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193582</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27365</v>
      </c>
      <c r="G129" s="931"/>
    </row>
    <row r="130" spans="1:7" x14ac:dyDescent="0.2">
      <c r="A130" s="928" t="s">
        <v>689</v>
      </c>
      <c r="B130" s="928" t="s">
        <v>804</v>
      </c>
      <c r="C130" s="933">
        <v>4300</v>
      </c>
      <c r="D130" s="934" t="str">
        <f>'Revenues 9-14'!A211</f>
        <v>Total Title I</v>
      </c>
      <c r="E130" s="907"/>
      <c r="F130" s="1810">
        <f>SUM('Revenues 9-14'!C211,'Revenues 9-14'!D211,'Revenues 9-14'!F211,'Revenues 9-14'!G211)</f>
        <v>39873</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103169</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1562</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10792</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3686</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10338</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2058</v>
      </c>
      <c r="C175" s="1945">
        <v>3100</v>
      </c>
      <c r="D175" s="1946" t="s">
        <v>2061</v>
      </c>
      <c r="E175" s="907"/>
      <c r="F175" s="1930">
        <v>178747</v>
      </c>
      <c r="G175" s="928"/>
    </row>
    <row r="176" spans="1:7" x14ac:dyDescent="0.2">
      <c r="A176" s="1943" t="s">
        <v>685</v>
      </c>
      <c r="B176" s="1944" t="s">
        <v>2058</v>
      </c>
      <c r="C176" s="1945">
        <v>3300</v>
      </c>
      <c r="D176" s="1946" t="s">
        <v>2062</v>
      </c>
      <c r="E176" s="907"/>
      <c r="F176" s="1930">
        <v>6791</v>
      </c>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868478</v>
      </c>
    </row>
    <row r="179" spans="1:7" ht="12" customHeight="1" x14ac:dyDescent="0.2">
      <c r="A179" s="1791"/>
      <c r="B179" s="1805"/>
      <c r="C179" s="1806"/>
      <c r="D179" s="1807" t="s">
        <v>2015</v>
      </c>
      <c r="E179" s="1808"/>
      <c r="F179" s="1810">
        <f>'PCTC-OEPP 27-28'!F77-F178</f>
        <v>4753444</v>
      </c>
    </row>
    <row r="180" spans="1:7" ht="12" customHeight="1" x14ac:dyDescent="0.2">
      <c r="A180" s="1791"/>
      <c r="B180" s="1805"/>
      <c r="C180" s="1806"/>
      <c r="D180" s="1807" t="s">
        <v>1924</v>
      </c>
      <c r="E180" s="1808"/>
      <c r="F180" s="1810">
        <f>'Cap Outlay Deprec 26'!I18</f>
        <v>300598.5</v>
      </c>
    </row>
    <row r="181" spans="1:7" ht="12" customHeight="1" x14ac:dyDescent="0.2">
      <c r="A181" s="1791"/>
      <c r="B181" s="1805"/>
      <c r="C181" s="1806"/>
      <c r="D181" s="1807" t="s">
        <v>2016</v>
      </c>
      <c r="E181" s="1808"/>
      <c r="F181" s="1810">
        <f>F179+F180</f>
        <v>5054042.5</v>
      </c>
    </row>
    <row r="182" spans="1:7" ht="12" customHeight="1" x14ac:dyDescent="0.2">
      <c r="A182" s="1791"/>
      <c r="B182" s="1811"/>
      <c r="C182" s="1806"/>
      <c r="D182" s="1807" t="str">
        <f>D78</f>
        <v>9 Month ADA from District Average Daily Attendance/Prior General State Aid Inquiry 2017-2018</v>
      </c>
      <c r="E182" s="1808"/>
      <c r="F182" s="1812">
        <f>'PCTC-OEPP 27-28'!F78</f>
        <v>409.11</v>
      </c>
      <c r="G182" s="931"/>
    </row>
    <row r="183" spans="1:7" ht="12" customHeight="1" thickBot="1" x14ac:dyDescent="0.25">
      <c r="A183" s="1791"/>
      <c r="B183" s="1811"/>
      <c r="C183" s="1806"/>
      <c r="D183" s="1807" t="s">
        <v>2017</v>
      </c>
      <c r="E183" s="1808" t="s">
        <v>1626</v>
      </c>
      <c r="F183" s="1813">
        <f>F181/F182</f>
        <v>12353.749602796313</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abSelected="1" workbookViewId="0">
      <pane ySplit="16" topLeftCell="A17" activePane="bottomLeft" state="frozen"/>
      <selection sqref="A1:F1"/>
      <selection pane="bottomLeft" sqref="A1:F1"/>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5" t="s">
        <v>1926</v>
      </c>
      <c r="B6" s="1556"/>
      <c r="C6" s="1556"/>
      <c r="D6" s="1556"/>
      <c r="E6" s="1556"/>
      <c r="F6" s="1556"/>
      <c r="G6" s="1557"/>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8" t="s">
        <v>1927</v>
      </c>
      <c r="B10" s="1559"/>
      <c r="C10" s="1559"/>
      <c r="D10" s="1559"/>
      <c r="E10" s="1559"/>
      <c r="F10" s="1559"/>
      <c r="G10" s="1560"/>
    </row>
    <row r="11" spans="1:7" ht="17.25" customHeight="1" x14ac:dyDescent="0.25">
      <c r="A11" s="2292" t="s">
        <v>1941</v>
      </c>
      <c r="B11" s="2293"/>
      <c r="C11" s="2293"/>
      <c r="D11" s="2293"/>
      <c r="E11" s="2293"/>
      <c r="F11" s="2293"/>
      <c r="G11" s="2294"/>
    </row>
    <row r="12" spans="1:7" ht="15" customHeight="1" x14ac:dyDescent="0.25">
      <c r="A12" s="1558" t="s">
        <v>1932</v>
      </c>
      <c r="B12" s="1559"/>
      <c r="C12" s="1559"/>
      <c r="D12" s="1559"/>
      <c r="E12" s="1559"/>
      <c r="F12" s="1559"/>
      <c r="G12" s="1560"/>
    </row>
    <row r="13" spans="1:7" ht="32.25" customHeight="1" x14ac:dyDescent="0.25">
      <c r="A13" s="2283" t="s">
        <v>1933</v>
      </c>
      <c r="B13" s="2284"/>
      <c r="C13" s="2284"/>
      <c r="D13" s="2284"/>
      <c r="E13" s="2284"/>
      <c r="F13" s="2284"/>
      <c r="G13" s="2285"/>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5" t="s">
        <v>2113</v>
      </c>
      <c r="B17" s="2503" t="s">
        <v>2120</v>
      </c>
      <c r="C17" s="1956" t="s">
        <v>2114</v>
      </c>
      <c r="D17" s="1866">
        <v>67056</v>
      </c>
      <c r="E17" s="1561">
        <f t="shared" ref="E17:E141" si="1">IF(D17&lt;=25000,D17,IF(D17&gt;25000,25000,0))</f>
        <v>25000</v>
      </c>
      <c r="F17" s="1814">
        <f t="shared" si="0"/>
        <v>25000</v>
      </c>
      <c r="G17" s="1815">
        <f>IF(F17=0,0,D17-F17)</f>
        <v>42056</v>
      </c>
      <c r="H17" s="1668"/>
    </row>
    <row r="18" spans="1:8" x14ac:dyDescent="0.25">
      <c r="A18" s="1955" t="s">
        <v>2115</v>
      </c>
      <c r="B18" s="2503" t="s">
        <v>2121</v>
      </c>
      <c r="C18" s="1956" t="s">
        <v>2116</v>
      </c>
      <c r="D18" s="1866">
        <v>12891</v>
      </c>
      <c r="E18" s="1561">
        <f t="shared" ref="E18:E140" si="2">IF(D18&lt;=25000,D18,IF(D18&gt;25000,25000,0))</f>
        <v>12891</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140" si="4">IF(F18=0,0,D18-F18)</f>
        <v>0</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79947</v>
      </c>
      <c r="E141" s="1562">
        <f t="shared" si="1"/>
        <v>25000</v>
      </c>
      <c r="F141" s="1816">
        <f>SUM(F17:F140)</f>
        <v>25000</v>
      </c>
      <c r="G141" s="1817">
        <f>SUM(G17:G140)</f>
        <v>42056</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tabSelected="1" defaultGridColor="0" topLeftCell="A16" colorId="8" zoomScale="110" zoomScaleNormal="11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18368</v>
      </c>
      <c r="F10" s="975"/>
      <c r="G10" s="976"/>
      <c r="H10" s="162"/>
      <c r="I10" s="162"/>
    </row>
    <row r="11" spans="1:9" s="669" customFormat="1" ht="22.5" customHeight="1" x14ac:dyDescent="0.2">
      <c r="A11" s="2303" t="s">
        <v>1945</v>
      </c>
      <c r="B11" s="2304"/>
      <c r="C11" s="2304"/>
      <c r="D11" s="2305"/>
      <c r="E11" s="978">
        <v>8922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3089718</v>
      </c>
      <c r="F19" s="1821"/>
      <c r="G19" s="1823">
        <f>'Expenditures 15-22'!K33-SUM('Expenditures 15-22'!G33,'Expenditures 15-22'!I33)+'Expenditures 15-22'!D229</f>
        <v>3089718</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277848</v>
      </c>
      <c r="F21" s="1824"/>
      <c r="G21" s="1827">
        <f>'Expenditures 15-22'!K42-SUM('Expenditures 15-22'!G42,'Expenditures 15-22'!I42)+'Expenditures 15-22'!K120-SUM('Expenditures 15-22'!G120,'Expenditures 15-22'!I120)+'Expenditures 15-22'!K180-SUM('Expenditures 15-22'!G180,'Expenditures 15-22'!I180)+'Expenditures 15-22'!D238</f>
        <v>277848</v>
      </c>
      <c r="H21" s="988"/>
      <c r="I21" s="162"/>
    </row>
    <row r="22" spans="1:9" s="669" customFormat="1" ht="12" customHeight="1" x14ac:dyDescent="0.2">
      <c r="A22" s="995" t="s">
        <v>585</v>
      </c>
      <c r="B22" s="996"/>
      <c r="C22" s="994">
        <v>2200</v>
      </c>
      <c r="D22" s="1824"/>
      <c r="E22" s="1826">
        <f>'Expenditures 15-22'!K47-SUM('Expenditures 15-22'!G47,'Expenditures 15-22'!I47)+'Expenditures 15-22'!D243</f>
        <v>111196</v>
      </c>
      <c r="F22" s="1824"/>
      <c r="G22" s="1827">
        <f>'Expenditures 15-22'!K47-SUM('Expenditures 15-22'!G47,'Expenditures 15-22'!I47)+'Expenditures 15-22'!D243</f>
        <v>111196</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531950</v>
      </c>
      <c r="F23" s="1824"/>
      <c r="G23" s="1826">
        <f>'Expenditures 15-22'!K53-SUM('Expenditures 15-22'!G53,'Expenditures 15-22'!I53)+'Expenditures 15-22'!D257+'Expenditures 15-22'!K330-SUM('Expenditures 15-22'!G330,'Expenditures 15-22'!I330)</f>
        <v>531950</v>
      </c>
      <c r="H23" s="988"/>
      <c r="I23" s="162"/>
    </row>
    <row r="24" spans="1:9" s="669" customFormat="1" ht="12" customHeight="1" x14ac:dyDescent="0.2">
      <c r="A24" s="995" t="s">
        <v>587</v>
      </c>
      <c r="B24" s="996"/>
      <c r="C24" s="994">
        <v>2400</v>
      </c>
      <c r="D24" s="1824"/>
      <c r="E24" s="1826">
        <f>'Expenditures 15-22'!K57-SUM('Expenditures 15-22'!G57,'Expenditures 15-22'!I57)+'Expenditures 15-22'!D261</f>
        <v>395077</v>
      </c>
      <c r="F24" s="1824"/>
      <c r="G24" s="1827">
        <f>'Expenditures 15-22'!K57-SUM('Expenditures 15-22'!G57,'Expenditures 15-22'!I57)+'Expenditures 15-22'!D261</f>
        <v>395077</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6149</v>
      </c>
      <c r="E26" s="1826">
        <f>'Expenditures 15-22'!K122-SUM('Expenditures 15-22'!G122,'Expenditures 15-22'!I122)+E7</f>
        <v>0</v>
      </c>
      <c r="F26" s="1826">
        <f>'Expenditures 15-22'!K59-SUM('Expenditures 15-22'!G59,'Expenditures 15-22'!I59)+'Expenditures 15-22'!D263-E7</f>
        <v>6149</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96786</v>
      </c>
      <c r="E27" s="1826">
        <f>E8</f>
        <v>0</v>
      </c>
      <c r="F27" s="1826">
        <f>'Expenditures 15-22'!K60-SUM('Expenditures 15-22'!G60,'Expenditures 15-22'!I60)+'Expenditures 15-22'!D264-E8</f>
        <v>96786</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585846</v>
      </c>
      <c r="F28" s="1828">
        <f>'Expenditures 15-22'!K61-SUM('Expenditures 15-22'!G61,'Expenditures 15-22'!I61)+'Expenditures 15-22'!K124-SUM('Expenditures 15-22'!G124,'Expenditures 15-22'!I124)+'Expenditures 15-22'!D266-E9</f>
        <v>585846</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312200</v>
      </c>
      <c r="F29" s="1824"/>
      <c r="G29" s="1827">
        <f>'Expenditures 15-22'!K62-SUM('Expenditures 15-22'!G62,'Expenditures 15-22'!I62)+'Expenditures 15-22'!K125-SUM('Expenditures 15-22'!G125,'Expenditures 15-22'!I125)+'Expenditures 15-22'!K182-SUM('Expenditures 15-22'!G182,'Expenditures 15-22'!I182)+'Expenditures 15-22'!D267</f>
        <v>312200</v>
      </c>
      <c r="H29" s="986"/>
    </row>
    <row r="30" spans="1:9" ht="12" customHeight="1" x14ac:dyDescent="0.2">
      <c r="A30" s="995" t="s">
        <v>102</v>
      </c>
      <c r="B30" s="998"/>
      <c r="C30" s="994">
        <v>2560</v>
      </c>
      <c r="D30" s="1824"/>
      <c r="E30" s="1826">
        <f>'Expenditures 15-22'!K63-SUM('Expenditures 15-22'!G63,'Expenditures 15-22'!I63)+'Expenditures 15-22'!D268-E10</f>
        <v>86394</v>
      </c>
      <c r="F30" s="1824"/>
      <c r="G30" s="1826">
        <f>'Expenditures 15-22'!K63-SUM('Expenditures 15-22'!G63,'Expenditures 15-22'!I63)+'Expenditures 15-22'!D268-E10</f>
        <v>86394</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68328</v>
      </c>
      <c r="E37" s="1826">
        <f>E14</f>
        <v>0</v>
      </c>
      <c r="F37" s="1826">
        <f>'Expenditures 15-22'!K71-SUM('Expenditures 15-22'!G71,'Expenditures 15-22'!I71)+'Expenditures 15-22'!D276-E14</f>
        <v>68328</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29'!G141</f>
        <v>-42056</v>
      </c>
      <c r="F40" s="1824"/>
      <c r="G40" s="1828">
        <f>-'Contracts Paid in CY 29'!G141</f>
        <v>-42056</v>
      </c>
    </row>
    <row r="41" spans="1:7" ht="12" customHeight="1" x14ac:dyDescent="0.2">
      <c r="A41" s="999" t="s">
        <v>158</v>
      </c>
      <c r="B41" s="1000"/>
      <c r="C41" s="1001"/>
      <c r="D41" s="1828">
        <f>SUM(D19:D39)</f>
        <v>171263</v>
      </c>
      <c r="E41" s="1828">
        <f>SUM(E19:E40)</f>
        <v>5348173</v>
      </c>
      <c r="F41" s="1828">
        <f>SUM(F19:F39)</f>
        <v>757109</v>
      </c>
      <c r="G41" s="1828">
        <f>SUM(G19:G40)</f>
        <v>4762327</v>
      </c>
    </row>
    <row r="42" spans="1:7" x14ac:dyDescent="0.2">
      <c r="A42" s="988"/>
      <c r="B42" s="162"/>
      <c r="C42" s="1002"/>
      <c r="D42" s="2301" t="s">
        <v>543</v>
      </c>
      <c r="E42" s="2302"/>
      <c r="F42" s="1003" t="s">
        <v>544</v>
      </c>
      <c r="G42" s="1004"/>
    </row>
    <row r="43" spans="1:7" ht="12" customHeight="1" x14ac:dyDescent="0.2">
      <c r="A43" s="988"/>
      <c r="B43" s="162"/>
      <c r="C43" s="1002"/>
      <c r="D43" s="1829" t="s">
        <v>493</v>
      </c>
      <c r="E43" s="1830">
        <f>D41</f>
        <v>171263</v>
      </c>
      <c r="F43" s="1829" t="s">
        <v>495</v>
      </c>
      <c r="G43" s="1830">
        <f>F41</f>
        <v>757109</v>
      </c>
    </row>
    <row r="44" spans="1:7" ht="12" customHeight="1" x14ac:dyDescent="0.2">
      <c r="A44" s="988"/>
      <c r="B44" s="162"/>
      <c r="C44" s="1002"/>
      <c r="D44" s="1829" t="s">
        <v>494</v>
      </c>
      <c r="E44" s="1830">
        <f>E41</f>
        <v>5348173</v>
      </c>
      <c r="F44" s="1829" t="s">
        <v>494</v>
      </c>
      <c r="G44" s="1830">
        <f>G41</f>
        <v>4762327</v>
      </c>
    </row>
    <row r="45" spans="1:7" ht="12" customHeight="1" x14ac:dyDescent="0.2">
      <c r="A45" s="988"/>
      <c r="B45" s="162"/>
      <c r="C45" s="162"/>
      <c r="D45" s="1831" t="s">
        <v>1063</v>
      </c>
      <c r="E45" s="1832">
        <f>(E43/E44)</f>
        <v>3.2022711307207151E-2</v>
      </c>
      <c r="F45" s="1831" t="s">
        <v>1063</v>
      </c>
      <c r="G45" s="1832">
        <f>(G43/G44)</f>
        <v>0.15897879335039361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tabSelected="1" zoomScale="110" zoomScaleNormal="110" workbookViewId="0">
      <pane ySplit="4" topLeftCell="A5" activePane="bottomLeft" state="frozen"/>
      <selection sqref="A1:F1"/>
      <selection pane="bottomLeft" sqref="A1:F1"/>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09" t="s">
        <v>1446</v>
      </c>
      <c r="B1" s="2309"/>
      <c r="C1" s="2309"/>
      <c r="D1" s="2309"/>
      <c r="E1" s="2309"/>
      <c r="F1" s="2309"/>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0" t="s">
        <v>1627</v>
      </c>
      <c r="B5" s="2311"/>
      <c r="C5" s="2312"/>
      <c r="D5" s="2312"/>
      <c r="E5" s="2312"/>
      <c r="F5" s="2312"/>
    </row>
    <row r="6" spans="1:10" ht="12" customHeight="1" x14ac:dyDescent="0.25">
      <c r="A6" s="1874"/>
      <c r="B6" s="1875"/>
      <c r="C6" s="2313" t="str">
        <f>COVER!A17</f>
        <v>Fox River Grove Cons SD 3</v>
      </c>
      <c r="D6" s="2313"/>
      <c r="E6" s="2313"/>
      <c r="F6" s="1876"/>
    </row>
    <row r="7" spans="1:10" ht="11.25" customHeight="1" thickBot="1" x14ac:dyDescent="0.3">
      <c r="A7" s="1874"/>
      <c r="B7" s="1875"/>
      <c r="C7" s="2314">
        <f>COVER!A13</f>
        <v>44063003003</v>
      </c>
      <c r="D7" s="2314"/>
      <c r="E7" s="2314"/>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t="s">
        <v>2092</v>
      </c>
      <c r="D14" s="1889" t="s">
        <v>2092</v>
      </c>
      <c r="E14" s="1892"/>
      <c r="F14" s="1891" t="s">
        <v>2093</v>
      </c>
      <c r="H14" s="1902">
        <f t="shared" si="0"/>
        <v>5</v>
      </c>
      <c r="I14" s="1902">
        <f t="shared" si="1"/>
        <v>5</v>
      </c>
      <c r="J14" s="1902">
        <f t="shared" si="2"/>
        <v>0</v>
      </c>
    </row>
    <row r="15" spans="1:10" ht="12" customHeight="1" x14ac:dyDescent="0.2">
      <c r="A15" s="1887" t="s">
        <v>1454</v>
      </c>
      <c r="B15" s="1888"/>
      <c r="C15" s="1889" t="s">
        <v>2092</v>
      </c>
      <c r="D15" s="1889" t="s">
        <v>2092</v>
      </c>
      <c r="E15" s="1892"/>
      <c r="F15" s="1891" t="s">
        <v>2094</v>
      </c>
      <c r="H15" s="1902">
        <f t="shared" si="0"/>
        <v>5</v>
      </c>
      <c r="I15" s="1902">
        <f t="shared" si="1"/>
        <v>5</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2092</v>
      </c>
      <c r="D19" s="1889" t="s">
        <v>2092</v>
      </c>
      <c r="E19" s="1892"/>
      <c r="F19" s="1891" t="s">
        <v>2095</v>
      </c>
      <c r="H19" s="1902">
        <f t="shared" si="0"/>
        <v>5</v>
      </c>
      <c r="I19" s="1902">
        <f t="shared" si="1"/>
        <v>5</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t="s">
        <v>2092</v>
      </c>
      <c r="D23" s="1889" t="s">
        <v>2092</v>
      </c>
      <c r="E23" s="1892"/>
      <c r="F23" s="1891" t="s">
        <v>2096</v>
      </c>
      <c r="H23" s="1902">
        <f t="shared" si="0"/>
        <v>5</v>
      </c>
      <c r="I23" s="1902">
        <f t="shared" si="1"/>
        <v>5</v>
      </c>
      <c r="J23" s="1902">
        <f t="shared" si="2"/>
        <v>0</v>
      </c>
    </row>
    <row r="24" spans="1:12" ht="12" customHeight="1" x14ac:dyDescent="0.2">
      <c r="A24" s="1887" t="s">
        <v>1613</v>
      </c>
      <c r="B24" s="1888"/>
      <c r="C24" s="1889" t="s">
        <v>2092</v>
      </c>
      <c r="D24" s="1889" t="s">
        <v>2092</v>
      </c>
      <c r="E24" s="1892"/>
      <c r="F24" s="1891" t="s">
        <v>2097</v>
      </c>
      <c r="H24" s="1902">
        <f t="shared" si="0"/>
        <v>5</v>
      </c>
      <c r="I24" s="1902">
        <f t="shared" si="1"/>
        <v>5</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2092</v>
      </c>
      <c r="D26" s="1889" t="s">
        <v>2092</v>
      </c>
      <c r="E26" s="1892"/>
      <c r="F26" s="1891" t="s">
        <v>2098</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t="s">
        <v>2092</v>
      </c>
      <c r="D28" s="1889" t="s">
        <v>2092</v>
      </c>
      <c r="E28" s="1892"/>
      <c r="F28" s="1891" t="s">
        <v>2099</v>
      </c>
      <c r="H28" s="1902">
        <f t="shared" si="0"/>
        <v>5</v>
      </c>
      <c r="I28" s="1902">
        <f t="shared" si="1"/>
        <v>5</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t="s">
        <v>2092</v>
      </c>
      <c r="D30" s="1889" t="s">
        <v>2092</v>
      </c>
      <c r="E30" s="1892"/>
      <c r="F30" s="1891" t="s">
        <v>2100</v>
      </c>
      <c r="H30" s="1902">
        <f t="shared" si="0"/>
        <v>5</v>
      </c>
      <c r="I30" s="1902">
        <f t="shared" si="1"/>
        <v>5</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40</v>
      </c>
      <c r="I34" s="1902">
        <f>SUM(I11:I32)</f>
        <v>40</v>
      </c>
      <c r="J34" s="1902">
        <f>SUM(J11:J32)</f>
        <v>0</v>
      </c>
      <c r="K34" s="1902">
        <f>SUM(H34:J34)</f>
        <v>80</v>
      </c>
    </row>
    <row r="35" spans="1:11" ht="12" customHeight="1" x14ac:dyDescent="0.2">
      <c r="A35" s="1895" t="s">
        <v>1459</v>
      </c>
      <c r="B35" s="1896"/>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7"/>
      <c r="B39" s="1897"/>
      <c r="C39" s="1897"/>
      <c r="D39" s="1897"/>
      <c r="E39" s="1897"/>
      <c r="F39" s="1897"/>
    </row>
    <row r="40" spans="1:11" s="1894" customFormat="1" ht="12" customHeight="1" x14ac:dyDescent="0.25">
      <c r="A40" s="1898" t="s">
        <v>1458</v>
      </c>
      <c r="B40" s="1899"/>
      <c r="C40" s="2323"/>
      <c r="D40" s="2323"/>
      <c r="E40" s="2323"/>
      <c r="F40" s="2324"/>
      <c r="H40" s="1903"/>
      <c r="I40" s="1903"/>
      <c r="J40" s="1903"/>
      <c r="K40" s="1903"/>
    </row>
    <row r="41" spans="1:11" s="1894" customFormat="1" ht="12" customHeight="1" x14ac:dyDescent="0.25">
      <c r="A41" s="2325" t="s">
        <v>2101</v>
      </c>
      <c r="B41" s="2326"/>
      <c r="C41" s="2326"/>
      <c r="D41" s="2326"/>
      <c r="E41" s="2326"/>
      <c r="F41" s="2327"/>
      <c r="H41" s="1903"/>
      <c r="I41" s="1903"/>
      <c r="J41" s="1903"/>
      <c r="K41" s="1903"/>
    </row>
    <row r="42" spans="1:11" s="1894" customFormat="1" ht="12" customHeight="1" x14ac:dyDescent="0.25">
      <c r="A42" s="2325" t="s">
        <v>2102</v>
      </c>
      <c r="B42" s="2326"/>
      <c r="C42" s="2326"/>
      <c r="D42" s="2326"/>
      <c r="E42" s="2326"/>
      <c r="F42" s="2327"/>
      <c r="H42" s="1903"/>
      <c r="I42" s="1903"/>
      <c r="J42" s="1903"/>
      <c r="K42" s="1903"/>
    </row>
    <row r="43" spans="1:11" s="1894" customFormat="1" ht="15" x14ac:dyDescent="0.25">
      <c r="A43" s="2317"/>
      <c r="B43" s="2318"/>
      <c r="C43" s="2318"/>
      <c r="D43" s="2318"/>
      <c r="E43" s="2318"/>
      <c r="F43" s="2319"/>
      <c r="H43" s="1903"/>
      <c r="I43" s="1903"/>
      <c r="J43" s="1903"/>
      <c r="K43" s="1903"/>
    </row>
    <row r="44" spans="1:11" s="1894" customFormat="1" ht="12" hidden="1" customHeight="1" x14ac:dyDescent="0.25">
      <c r="A44" s="2317"/>
      <c r="B44" s="2318"/>
      <c r="C44" s="2318"/>
      <c r="D44" s="2318"/>
      <c r="E44" s="2318"/>
      <c r="F44" s="2319"/>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tabSelected="1" defaultGridColor="0" topLeftCell="A10" colorId="8" zoomScale="110" zoomScaleNormal="110" workbookViewId="0">
      <selection sqref="A1:F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33" t="str">
        <f>COVER!A17</f>
        <v>Fox River Grove Cons SD 3</v>
      </c>
      <c r="J6" s="2334"/>
      <c r="Q6" s="1685"/>
    </row>
    <row r="7" spans="1:17" x14ac:dyDescent="0.2">
      <c r="A7" s="2335" t="s">
        <v>924</v>
      </c>
      <c r="B7" s="2336"/>
      <c r="C7" s="2336"/>
      <c r="D7" s="2336"/>
      <c r="E7" s="2337"/>
      <c r="F7" s="1018"/>
      <c r="G7" s="1010"/>
      <c r="H7" s="1017" t="s">
        <v>390</v>
      </c>
      <c r="I7" s="2338">
        <f>COVER!A13</f>
        <v>44063003003</v>
      </c>
      <c r="J7" s="2338"/>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262203</v>
      </c>
      <c r="F12" s="1040"/>
      <c r="G12" s="1833">
        <f t="shared" ref="G12:G18" si="0">SUM(E12:F12)</f>
        <v>262203</v>
      </c>
      <c r="H12" s="1041">
        <v>274606</v>
      </c>
      <c r="I12" s="1040"/>
      <c r="J12" s="1833">
        <f t="shared" ref="J12:J18" si="1">SUM(H12:I12)</f>
        <v>274606</v>
      </c>
    </row>
    <row r="13" spans="1:17" ht="15" customHeight="1" x14ac:dyDescent="0.2">
      <c r="A13" s="1036">
        <v>2</v>
      </c>
      <c r="B13" s="1037" t="s">
        <v>44</v>
      </c>
      <c r="C13" s="1038"/>
      <c r="D13" s="1039">
        <v>2330</v>
      </c>
      <c r="E13" s="1833">
        <f>'Expenditures 15-22'!K51</f>
        <v>113110</v>
      </c>
      <c r="F13" s="1040"/>
      <c r="G13" s="1833">
        <f t="shared" si="0"/>
        <v>113110</v>
      </c>
      <c r="H13" s="1041">
        <v>115358</v>
      </c>
      <c r="I13" s="1040"/>
      <c r="J13" s="1833">
        <f t="shared" si="1"/>
        <v>115358</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6149</v>
      </c>
      <c r="F15" s="1833">
        <f>'Expenditures 15-22'!K122</f>
        <v>0</v>
      </c>
      <c r="G15" s="1833">
        <f t="shared" si="0"/>
        <v>6149</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2" t="s">
        <v>7</v>
      </c>
      <c r="C18" s="2343"/>
      <c r="D18" s="2344"/>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381462</v>
      </c>
      <c r="F19" s="1835">
        <f t="shared" si="2"/>
        <v>0</v>
      </c>
      <c r="G19" s="1835">
        <f t="shared" si="2"/>
        <v>381462</v>
      </c>
      <c r="H19" s="1835">
        <f t="shared" si="2"/>
        <v>389964</v>
      </c>
      <c r="I19" s="1835">
        <f t="shared" si="2"/>
        <v>0</v>
      </c>
      <c r="J19" s="1835">
        <f t="shared" si="2"/>
        <v>389964</v>
      </c>
    </row>
    <row r="20" spans="1:10" ht="13.5" thickTop="1" x14ac:dyDescent="0.2">
      <c r="A20" s="1036">
        <v>9</v>
      </c>
      <c r="B20" s="2345" t="s">
        <v>1703</v>
      </c>
      <c r="C20" s="2345"/>
      <c r="D20" s="2346"/>
      <c r="E20" s="1047"/>
      <c r="F20" s="1047"/>
      <c r="G20" s="1047"/>
      <c r="H20" s="1047"/>
      <c r="I20" s="1047"/>
      <c r="J20" s="1836">
        <f>IF(AND(G19&gt;0,J19&gt;0),(((J19-G19)/G19)),"Enter Budget Data")</f>
        <v>2.2287934315868948E-2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1944</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5"/>
  <sheetViews>
    <sheetView showGridLines="0" tabSelected="1" zoomScale="110" zoomScaleNormal="110" workbookViewId="0">
      <selection sqref="A1:F1"/>
    </sheetView>
  </sheetViews>
  <sheetFormatPr defaultColWidth="9.140625" defaultRowHeight="12.75" x14ac:dyDescent="0.2"/>
  <cols>
    <col min="1" max="1" width="3" style="329" customWidth="1"/>
    <col min="2" max="2" width="50.140625" style="329" customWidth="1"/>
    <col min="3" max="3" width="3.140625" style="329" customWidth="1"/>
    <col min="4" max="16384" width="9.140625" style="329"/>
  </cols>
  <sheetData>
    <row r="2" spans="1:4" x14ac:dyDescent="0.2">
      <c r="A2" s="389" t="s">
        <v>276</v>
      </c>
    </row>
    <row r="3" spans="1:4" x14ac:dyDescent="0.2">
      <c r="A3" s="329" t="s">
        <v>277</v>
      </c>
    </row>
    <row r="5" spans="1:4" x14ac:dyDescent="0.2">
      <c r="A5" s="1069">
        <v>1</v>
      </c>
      <c r="B5" s="329" t="s">
        <v>2103</v>
      </c>
      <c r="D5" s="329" t="s">
        <v>2104</v>
      </c>
    </row>
    <row r="6" spans="1:4" x14ac:dyDescent="0.2">
      <c r="A6" s="1069">
        <v>2</v>
      </c>
      <c r="B6" s="329" t="s">
        <v>2105</v>
      </c>
      <c r="D6" s="329" t="s">
        <v>2106</v>
      </c>
    </row>
    <row r="7" spans="1:4" x14ac:dyDescent="0.2">
      <c r="A7" s="1069">
        <v>3</v>
      </c>
      <c r="B7" s="329" t="s">
        <v>2117</v>
      </c>
      <c r="D7" s="329" t="s">
        <v>2107</v>
      </c>
    </row>
    <row r="8" spans="1:4" x14ac:dyDescent="0.2">
      <c r="A8" s="1069">
        <v>4</v>
      </c>
      <c r="B8" s="329" t="s">
        <v>2108</v>
      </c>
      <c r="D8" s="329" t="s">
        <v>2109</v>
      </c>
    </row>
    <row r="9" spans="1:4" x14ac:dyDescent="0.2">
      <c r="A9" s="1069">
        <v>5</v>
      </c>
      <c r="B9" s="329" t="s">
        <v>2110</v>
      </c>
      <c r="D9" s="329" t="s">
        <v>2111</v>
      </c>
    </row>
    <row r="10" spans="1:4" x14ac:dyDescent="0.2">
      <c r="A10" s="1069">
        <v>6</v>
      </c>
      <c r="B10" s="329" t="s">
        <v>2118</v>
      </c>
      <c r="D10" s="329" t="s">
        <v>2112</v>
      </c>
    </row>
    <row r="11" spans="1:4" x14ac:dyDescent="0.2">
      <c r="A11" s="1069"/>
    </row>
    <row r="12" spans="1:4" x14ac:dyDescent="0.2">
      <c r="A12" s="1069"/>
    </row>
    <row r="13" spans="1:4" x14ac:dyDescent="0.2">
      <c r="A13" s="1069"/>
    </row>
    <row r="14" spans="1:4" x14ac:dyDescent="0.2">
      <c r="A14" s="1069"/>
    </row>
    <row r="15" spans="1:4" x14ac:dyDescent="0.2">
      <c r="A15" s="1069"/>
    </row>
    <row r="16" spans="1:4"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Fox River Grove Cons SD 3</v>
      </c>
    </row>
    <row r="65" spans="2:2" x14ac:dyDescent="0.2">
      <c r="B65" s="1070">
        <f>COVER!A13</f>
        <v>44063003003</v>
      </c>
    </row>
  </sheetData>
  <phoneticPr fontId="15"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abSelected="1" topLeftCell="A49" zoomScale="110" zoomScaleNormal="11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tabSelected="1"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abSelected="1" zoomScale="110" zoomScaleNormal="110" workbookViewId="0">
      <selection sqref="A1:F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52" t="s">
        <v>1784</v>
      </c>
      <c r="B18" s="235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abSelected="1" topLeftCell="A4"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4"/>
      <c r="H2" s="1074"/>
    </row>
    <row r="3" spans="1:8" ht="57" customHeight="1" x14ac:dyDescent="0.2">
      <c r="A3" s="2366" t="s">
        <v>1786</v>
      </c>
      <c r="B3" s="2367"/>
      <c r="C3" s="2367"/>
      <c r="D3" s="2367"/>
      <c r="E3" s="2367"/>
      <c r="F3" s="2368"/>
      <c r="G3" s="1074"/>
      <c r="H3" s="1074"/>
    </row>
    <row r="4" spans="1:8" ht="14.25" customHeight="1" x14ac:dyDescent="0.2">
      <c r="A4" s="2372" t="s">
        <v>2056</v>
      </c>
      <c r="B4" s="2373"/>
      <c r="C4" s="2373"/>
      <c r="D4" s="2373"/>
      <c r="E4" s="2373"/>
      <c r="F4" s="2374"/>
      <c r="G4" s="1074"/>
      <c r="H4" s="1074"/>
    </row>
    <row r="5" spans="1:8" ht="14.25" customHeight="1" x14ac:dyDescent="0.2">
      <c r="A5" s="2375" t="s">
        <v>2057</v>
      </c>
      <c r="B5" s="2376"/>
      <c r="C5" s="2376"/>
      <c r="D5" s="2376"/>
      <c r="E5" s="2376"/>
      <c r="F5" s="2377"/>
      <c r="G5" s="1074"/>
      <c r="H5" s="1074"/>
    </row>
    <row r="6" spans="1:8" s="1075" customFormat="1" ht="41.25" customHeight="1" x14ac:dyDescent="0.2">
      <c r="A6" s="2369" t="s">
        <v>1792</v>
      </c>
      <c r="B6" s="2370"/>
      <c r="C6" s="2370"/>
      <c r="D6" s="2370"/>
      <c r="E6" s="2370"/>
      <c r="F6" s="2371"/>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5870757</v>
      </c>
      <c r="C8" s="1837">
        <f>'Acct Summary 7-8'!D8</f>
        <v>595334</v>
      </c>
      <c r="D8" s="1837">
        <f>'Acct Summary 7-8'!F8</f>
        <v>544641</v>
      </c>
      <c r="E8" s="1837">
        <f>'Acct Summary 7-8'!I8</f>
        <v>59520</v>
      </c>
      <c r="F8" s="1837">
        <f>SUM(B8:E8)</f>
        <v>7070252</v>
      </c>
    </row>
    <row r="9" spans="1:8" s="1079" customFormat="1" ht="14.25" customHeight="1" thickBot="1" x14ac:dyDescent="0.25">
      <c r="A9" s="1078" t="s">
        <v>1436</v>
      </c>
      <c r="B9" s="1838">
        <f>'Acct Summary 7-8'!C17</f>
        <v>5248263</v>
      </c>
      <c r="C9" s="1838">
        <f>'Acct Summary 7-8'!D17</f>
        <v>483839</v>
      </c>
      <c r="D9" s="1838">
        <f>'Acct Summary 7-8'!F17</f>
        <v>292859</v>
      </c>
      <c r="E9" s="1837"/>
      <c r="F9" s="1837">
        <f>SUM(B9:E9)</f>
        <v>6024961</v>
      </c>
    </row>
    <row r="10" spans="1:8" s="1079" customFormat="1" ht="14.25" thickTop="1" thickBot="1" x14ac:dyDescent="0.25">
      <c r="A10" s="1080" t="s">
        <v>1437</v>
      </c>
      <c r="B10" s="1839">
        <f>(B8-B9)</f>
        <v>622494</v>
      </c>
      <c r="C10" s="1839">
        <f>(C8-C9)</f>
        <v>111495</v>
      </c>
      <c r="D10" s="1839">
        <f>(D8-D9)</f>
        <v>251782</v>
      </c>
      <c r="E10" s="1838">
        <f>(E8-E9)</f>
        <v>59520</v>
      </c>
      <c r="F10" s="1840">
        <f>SUM(F8-F9)</f>
        <v>1045291</v>
      </c>
    </row>
    <row r="11" spans="1:8" s="1079" customFormat="1" ht="14.25" thickTop="1" thickBot="1" x14ac:dyDescent="0.25">
      <c r="A11" s="1081" t="s">
        <v>1785</v>
      </c>
      <c r="B11" s="1841">
        <f>'Acct Summary 7-8'!C81</f>
        <v>3458135</v>
      </c>
      <c r="C11" s="1841">
        <f>'Acct Summary 7-8'!D81</f>
        <v>1613568</v>
      </c>
      <c r="D11" s="1841">
        <f>'Acct Summary 7-8'!F81</f>
        <v>739718</v>
      </c>
      <c r="E11" s="1841">
        <f>'Acct Summary 7-8'!I81</f>
        <v>837333</v>
      </c>
      <c r="F11" s="1842">
        <f>SUM(B11:E11)</f>
        <v>6648754</v>
      </c>
    </row>
    <row r="12" spans="1:8" ht="16.5" customHeight="1" thickTop="1" x14ac:dyDescent="0.2">
      <c r="A12" s="1082"/>
      <c r="B12" s="1083"/>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4"/>
      <c r="B13" s="1085"/>
      <c r="C13" s="2357"/>
      <c r="D13" s="2358"/>
      <c r="E13" s="2358"/>
      <c r="F13" s="2359"/>
      <c r="H13" s="1074"/>
    </row>
    <row r="14" spans="1:8" ht="19.5" customHeight="1" x14ac:dyDescent="0.2">
      <c r="A14" s="1084"/>
      <c r="B14" s="1085"/>
      <c r="C14" s="2357"/>
      <c r="D14" s="2358"/>
      <c r="E14" s="2358"/>
      <c r="F14" s="2359"/>
      <c r="H14" s="1074"/>
    </row>
    <row r="15" spans="1:8" ht="17.25" customHeight="1" x14ac:dyDescent="0.2">
      <c r="A15" s="1084"/>
      <c r="B15" s="1085"/>
      <c r="C15" s="2360"/>
      <c r="D15" s="2361"/>
      <c r="E15" s="2361"/>
      <c r="F15" s="2362"/>
      <c r="H15" s="1074"/>
    </row>
    <row r="16" spans="1:8" s="310" customFormat="1" ht="51.75" hidden="1" customHeight="1" x14ac:dyDescent="0.2">
      <c r="A16" s="2356" t="s">
        <v>1787</v>
      </c>
      <c r="B16" s="2356"/>
      <c r="C16" s="2356"/>
      <c r="D16" s="2356"/>
      <c r="E16" s="2356"/>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1" colorId="8" zoomScale="110" zoomScaleNormal="110" workbookViewId="0">
      <selection activeCell="D33" sqref="D3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78" t="s">
        <v>686</v>
      </c>
      <c r="B3" s="2379"/>
      <c r="C3" s="2379"/>
      <c r="D3" s="2380"/>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89" t="s">
        <v>1584</v>
      </c>
      <c r="D7" s="2390"/>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393" t="s">
        <v>332</v>
      </c>
      <c r="D21" s="2394"/>
    </row>
    <row r="22" spans="1:10" ht="12.75" x14ac:dyDescent="0.2">
      <c r="A22" s="1139"/>
      <c r="B22" s="1140">
        <v>2</v>
      </c>
      <c r="C22" s="2391" t="s">
        <v>1605</v>
      </c>
      <c r="D22" s="2392"/>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395" t="s">
        <v>557</v>
      </c>
      <c r="D43" s="2396"/>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87" t="s">
        <v>817</v>
      </c>
      <c r="D56" s="2388"/>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387" t="s">
        <v>1797</v>
      </c>
      <c r="D70" s="2388"/>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44063003003</v>
      </c>
    </row>
    <row r="3" spans="1:2" x14ac:dyDescent="0.2">
      <c r="A3" t="s">
        <v>1013</v>
      </c>
      <c r="B3" s="138" t="str">
        <f>COVER!A15</f>
        <v>MCHENRY</v>
      </c>
    </row>
    <row r="4" spans="1:2" x14ac:dyDescent="0.2">
      <c r="A4" t="s">
        <v>1064</v>
      </c>
      <c r="B4" s="138" t="str">
        <f>COVER!A17</f>
        <v>Fox River Grove Cons SD 3</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060-004991</v>
      </c>
    </row>
    <row r="16" spans="1:2" x14ac:dyDescent="0.2">
      <c r="A16" t="s">
        <v>442</v>
      </c>
      <c r="B16" s="138" t="str">
        <f>COVER!T13</f>
        <v>EDER, CASELLA &amp; CO.</v>
      </c>
    </row>
    <row r="17" spans="1:2" x14ac:dyDescent="0.2">
      <c r="A17" t="s">
        <v>939</v>
      </c>
      <c r="B17" s="138" t="str">
        <f>COVER!T15</f>
        <v>JOHN ALBANESE</v>
      </c>
    </row>
    <row r="18" spans="1:2" x14ac:dyDescent="0.2">
      <c r="A18" t="s">
        <v>1212</v>
      </c>
      <c r="B18" s="138" t="str">
        <f>COVER!T17</f>
        <v>5400 WEST ELM STREET, SUITE 203</v>
      </c>
    </row>
    <row r="19" spans="1:2" x14ac:dyDescent="0.2">
      <c r="A19" t="s">
        <v>941</v>
      </c>
      <c r="B19" s="138" t="str">
        <f>COVER!T25</f>
        <v>CPAS@EDERCASELLA.COM</v>
      </c>
    </row>
    <row r="20" spans="1:2" x14ac:dyDescent="0.2">
      <c r="A20" t="s">
        <v>942</v>
      </c>
      <c r="B20" s="138" t="str">
        <f>COVER!T19</f>
        <v>MCHENRY</v>
      </c>
    </row>
    <row r="21" spans="1:2" x14ac:dyDescent="0.2">
      <c r="A21" t="s">
        <v>500</v>
      </c>
      <c r="B21" s="138" t="str">
        <f>COVER!X19</f>
        <v>IL</v>
      </c>
    </row>
    <row r="22" spans="1:2" x14ac:dyDescent="0.2">
      <c r="A22" t="s">
        <v>943</v>
      </c>
      <c r="B22" s="138">
        <f>COVER!Z19</f>
        <v>60050</v>
      </c>
    </row>
    <row r="23" spans="1:2" x14ac:dyDescent="0.2">
      <c r="A23" t="s">
        <v>1214</v>
      </c>
      <c r="B23" s="138" t="str">
        <f>COVER!T21</f>
        <v>815-344-1300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3469168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11033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11033</v>
      </c>
      <c r="C91" s="2" t="s">
        <v>594</v>
      </c>
      <c r="D91" s="2" t="str">
        <f t="shared" si="0"/>
        <v>Error?</v>
      </c>
    </row>
    <row r="92" spans="1:4" x14ac:dyDescent="0.2">
      <c r="A92" s="5">
        <v>31</v>
      </c>
      <c r="B92" s="138">
        <f>'Assets-Liab 5-6'!C39</f>
        <v>3458135</v>
      </c>
      <c r="D92" s="2" t="str">
        <f t="shared" si="0"/>
        <v>Error?</v>
      </c>
    </row>
    <row r="93" spans="1:4" x14ac:dyDescent="0.2">
      <c r="A93" s="5">
        <v>32</v>
      </c>
      <c r="B93" s="138">
        <f>'Assets-Liab 5-6'!C41</f>
        <v>3469168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1613568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1613568</v>
      </c>
      <c r="D123" s="2" t="str">
        <f t="shared" si="0"/>
        <v>Error?</v>
      </c>
    </row>
    <row r="124" spans="1:4" x14ac:dyDescent="0.2">
      <c r="A124" s="5">
        <v>63</v>
      </c>
      <c r="B124" s="138">
        <f>'Assets-Liab 5-6'!D41</f>
        <v>1613568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224335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224335</v>
      </c>
      <c r="D140" s="2" t="str">
        <f t="shared" si="1"/>
        <v>Error?</v>
      </c>
    </row>
    <row r="141" spans="1:4" x14ac:dyDescent="0.2">
      <c r="A141" s="5">
        <v>80</v>
      </c>
      <c r="B141" s="138">
        <f>'Assets-Liab 5-6'!E41</f>
        <v>224335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739718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739718</v>
      </c>
      <c r="D170" s="2" t="str">
        <f t="shared" si="1"/>
        <v>Error?</v>
      </c>
    </row>
    <row r="171" spans="1:4" x14ac:dyDescent="0.2">
      <c r="A171" s="5">
        <v>110</v>
      </c>
      <c r="B171" s="138">
        <f>'Assets-Liab 5-6'!F41</f>
        <v>739718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296538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122715</v>
      </c>
      <c r="D189" s="2" t="str">
        <f t="shared" si="1"/>
        <v>Error?</v>
      </c>
    </row>
    <row r="190" spans="1:4" x14ac:dyDescent="0.2">
      <c r="A190" s="5">
        <v>129</v>
      </c>
      <c r="B190" s="138">
        <f>'Assets-Liab 5-6'!G41</f>
        <v>296538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321274</v>
      </c>
      <c r="D273" s="2" t="str">
        <f t="shared" si="3"/>
        <v>Error?</v>
      </c>
    </row>
    <row r="274" spans="1:4" x14ac:dyDescent="0.2">
      <c r="A274" s="5">
        <v>213</v>
      </c>
      <c r="B274" s="138">
        <f>'Assets-Liab 5-6'!M17</f>
        <v>10265523</v>
      </c>
      <c r="D274" s="2" t="str">
        <f t="shared" si="3"/>
        <v>Error?</v>
      </c>
    </row>
    <row r="275" spans="1:4" x14ac:dyDescent="0.2">
      <c r="A275" s="5">
        <v>214</v>
      </c>
      <c r="B275" s="138">
        <f>'Assets-Liab 5-6'!M18</f>
        <v>280929</v>
      </c>
      <c r="D275" s="2" t="str">
        <f t="shared" si="3"/>
        <v>Error?</v>
      </c>
    </row>
    <row r="276" spans="1:4" x14ac:dyDescent="0.2">
      <c r="A276" s="5">
        <v>215</v>
      </c>
      <c r="B276" s="138">
        <f>'Assets-Liab 5-6'!M19</f>
        <v>1154372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12022098</v>
      </c>
      <c r="C279" s="2" t="s">
        <v>594</v>
      </c>
      <c r="D279" s="2" t="str">
        <f t="shared" si="3"/>
        <v>Error?</v>
      </c>
    </row>
    <row r="280" spans="1:4" x14ac:dyDescent="0.2">
      <c r="A280" s="5">
        <v>219</v>
      </c>
      <c r="B280" s="138">
        <f>'Assets-Liab 5-6'!M40</f>
        <v>12022098</v>
      </c>
      <c r="D280" s="2" t="str">
        <f t="shared" si="3"/>
        <v>Error?</v>
      </c>
    </row>
    <row r="281" spans="1:4" x14ac:dyDescent="0.2">
      <c r="A281" s="5">
        <v>220</v>
      </c>
      <c r="B281" s="138">
        <f>'Assets-Liab 5-6'!M41</f>
        <v>12022098</v>
      </c>
      <c r="C281" s="2" t="s">
        <v>594</v>
      </c>
      <c r="D281" s="2" t="str">
        <f t="shared" si="3"/>
        <v>Error?</v>
      </c>
    </row>
    <row r="282" spans="1:4" x14ac:dyDescent="0.2">
      <c r="A282" s="5">
        <v>221</v>
      </c>
      <c r="B282" s="138">
        <f>'Assets-Liab 5-6'!N21</f>
        <v>224335</v>
      </c>
      <c r="D282" s="2" t="str">
        <f t="shared" si="3"/>
        <v>Error?</v>
      </c>
    </row>
    <row r="283" spans="1:4" x14ac:dyDescent="0.2">
      <c r="A283" s="5">
        <v>222</v>
      </c>
      <c r="B283" s="138">
        <f>'Assets-Liab 5-6'!N22</f>
        <v>940665</v>
      </c>
      <c r="D283" s="2" t="str">
        <f t="shared" si="3"/>
        <v>Error?</v>
      </c>
    </row>
    <row r="284" spans="1:4" x14ac:dyDescent="0.2">
      <c r="A284" s="5">
        <v>223</v>
      </c>
      <c r="B284" s="138">
        <f>'Assets-Liab 5-6'!N23</f>
        <v>1165000</v>
      </c>
      <c r="C284" s="2" t="s">
        <v>594</v>
      </c>
      <c r="D284" s="2" t="str">
        <f t="shared" si="3"/>
        <v>Error?</v>
      </c>
    </row>
    <row r="285" spans="1:4" x14ac:dyDescent="0.2">
      <c r="A285" s="5">
        <v>224</v>
      </c>
      <c r="B285" s="138">
        <f>'Assets-Liab 5-6'!N36</f>
        <v>1165000</v>
      </c>
      <c r="D285" s="2" t="str">
        <f t="shared" si="3"/>
        <v>Error?</v>
      </c>
    </row>
    <row r="286" spans="1:4" x14ac:dyDescent="0.2">
      <c r="A286" s="10">
        <v>225</v>
      </c>
      <c r="D286" s="2" t="str">
        <f t="shared" si="3"/>
        <v>OK</v>
      </c>
    </row>
    <row r="287" spans="1:4" x14ac:dyDescent="0.2">
      <c r="A287" s="5">
        <v>226</v>
      </c>
      <c r="B287" s="138">
        <f>'Assets-Liab 5-6'!N37</f>
        <v>1165000</v>
      </c>
      <c r="C287" s="2" t="s">
        <v>594</v>
      </c>
      <c r="D287" s="2" t="str">
        <f t="shared" si="3"/>
        <v>Error?</v>
      </c>
    </row>
    <row r="288" spans="1:4" x14ac:dyDescent="0.2">
      <c r="A288" s="5">
        <v>227</v>
      </c>
      <c r="B288" s="138">
        <f>'Assets-Liab 5-6'!N41</f>
        <v>1165000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1802261</v>
      </c>
      <c r="D705" s="2" t="str">
        <f t="shared" si="10"/>
        <v>Error?</v>
      </c>
    </row>
    <row r="706" spans="1:4" x14ac:dyDescent="0.2">
      <c r="A706" s="5">
        <v>645</v>
      </c>
      <c r="B706" s="138">
        <f>'Expenditures 15-22'!C16</f>
        <v>989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99275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48844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2405871</v>
      </c>
      <c r="C720" s="2" t="s">
        <v>594</v>
      </c>
      <c r="D720" s="2" t="str">
        <f t="shared" si="10"/>
        <v>Error?</v>
      </c>
    </row>
    <row r="721" spans="1:4" x14ac:dyDescent="0.2">
      <c r="A721" s="5">
        <v>660</v>
      </c>
      <c r="B721" s="138">
        <f>'Expenditures 15-22'!C36</f>
        <v>70118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68038</v>
      </c>
      <c r="D723" s="2" t="str">
        <f t="shared" si="10"/>
        <v>Error?</v>
      </c>
    </row>
    <row r="724" spans="1:4" x14ac:dyDescent="0.2">
      <c r="A724" s="5">
        <v>663</v>
      </c>
      <c r="B724" s="138">
        <f>'Expenditures 15-22'!C39</f>
        <v>36431</v>
      </c>
      <c r="D724" s="2" t="str">
        <f t="shared" si="10"/>
        <v>Error?</v>
      </c>
    </row>
    <row r="725" spans="1:4" x14ac:dyDescent="0.2">
      <c r="A725" s="5">
        <v>664</v>
      </c>
      <c r="B725" s="138">
        <f>'Expenditures 15-22'!C40</f>
        <v>46999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221586</v>
      </c>
      <c r="C727" s="2" t="s">
        <v>594</v>
      </c>
      <c r="D727" s="2" t="str">
        <f t="shared" si="10"/>
        <v>Error?</v>
      </c>
    </row>
    <row r="728" spans="1:4" x14ac:dyDescent="0.2">
      <c r="A728" s="5">
        <v>667</v>
      </c>
      <c r="B728" s="138">
        <f>'Expenditures 15-22'!C44</f>
        <v>18468</v>
      </c>
      <c r="D728" s="2" t="str">
        <f t="shared" si="10"/>
        <v>Error?</v>
      </c>
    </row>
    <row r="729" spans="1:4" x14ac:dyDescent="0.2">
      <c r="A729" s="5">
        <v>668</v>
      </c>
      <c r="B729" s="138">
        <f>'Expenditures 15-22'!C45</f>
        <v>33540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52008</v>
      </c>
      <c r="C731" s="2" t="s">
        <v>594</v>
      </c>
      <c r="D731" s="2" t="str">
        <f t="shared" si="10"/>
        <v>Error?</v>
      </c>
    </row>
    <row r="732" spans="1:4" x14ac:dyDescent="0.2">
      <c r="A732" s="5">
        <v>671</v>
      </c>
      <c r="B732" s="138">
        <f>'Expenditures 15-22'!C49</f>
        <v>35030</v>
      </c>
      <c r="D732" s="2" t="str">
        <f t="shared" si="10"/>
        <v>Error?</v>
      </c>
    </row>
    <row r="733" spans="1:4" x14ac:dyDescent="0.2">
      <c r="A733" s="5">
        <v>672</v>
      </c>
      <c r="B733" s="138">
        <f>'Expenditures 15-22'!C50</f>
        <v>198228</v>
      </c>
      <c r="D733" s="2" t="str">
        <f t="shared" si="10"/>
        <v>Error?</v>
      </c>
    </row>
    <row r="734" spans="1:4" x14ac:dyDescent="0.2">
      <c r="A734" s="5">
        <v>673</v>
      </c>
      <c r="B734" s="138">
        <f>'Expenditures 15-22'!C53</f>
        <v>309258</v>
      </c>
      <c r="C734" s="2" t="s">
        <v>594</v>
      </c>
      <c r="D734" s="2" t="str">
        <f t="shared" si="10"/>
        <v>Error?</v>
      </c>
    </row>
    <row r="735" spans="1:4" x14ac:dyDescent="0.2">
      <c r="A735" s="5">
        <v>674</v>
      </c>
      <c r="B735" s="138">
        <f>'Expenditures 15-22'!C55</f>
        <v>286068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286068</v>
      </c>
      <c r="C737" s="2" t="s">
        <v>594</v>
      </c>
      <c r="D737" s="2" t="str">
        <f t="shared" si="10"/>
        <v>Error?</v>
      </c>
    </row>
    <row r="738" spans="1:4" x14ac:dyDescent="0.2">
      <c r="A738" s="5">
        <v>677</v>
      </c>
      <c r="B738" s="138">
        <f>'Expenditures 15-22'!C59</f>
        <v>6149</v>
      </c>
      <c r="D738" s="2" t="str">
        <f t="shared" si="10"/>
        <v>Error?</v>
      </c>
    </row>
    <row r="739" spans="1:4" x14ac:dyDescent="0.2">
      <c r="A739" s="5">
        <v>678</v>
      </c>
      <c r="B739" s="138">
        <f>'Expenditures 15-22'!C60</f>
        <v>64106</v>
      </c>
      <c r="D739" s="2" t="str">
        <f t="shared" si="10"/>
        <v>Error?</v>
      </c>
    </row>
    <row r="740" spans="1:4" x14ac:dyDescent="0.2">
      <c r="A740" s="5">
        <v>679</v>
      </c>
      <c r="B740" s="138">
        <f>'Expenditures 15-22'!C61</f>
        <v>206010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57074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333339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1202259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3608130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202067</v>
      </c>
      <c r="D763" s="2" t="str">
        <f t="shared" si="10"/>
        <v>Error?</v>
      </c>
    </row>
    <row r="764" spans="1:4" x14ac:dyDescent="0.2">
      <c r="A764" s="5">
        <v>703</v>
      </c>
      <c r="B764" s="138">
        <f>'Expenditures 15-22'!D16</f>
        <v>14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21550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540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360576</v>
      </c>
      <c r="C778" s="2" t="s">
        <v>594</v>
      </c>
      <c r="D778" s="2" t="str">
        <f t="shared" si="11"/>
        <v>Error?</v>
      </c>
    </row>
    <row r="779" spans="1:4" x14ac:dyDescent="0.2">
      <c r="A779" s="5">
        <v>718</v>
      </c>
      <c r="B779" s="138">
        <f>'Expenditures 15-22'!D36</f>
        <v>7171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10705</v>
      </c>
      <c r="D781" s="2" t="str">
        <f t="shared" si="11"/>
        <v>Error?</v>
      </c>
    </row>
    <row r="782" spans="1:4" x14ac:dyDescent="0.2">
      <c r="A782" s="5">
        <v>721</v>
      </c>
      <c r="B782" s="138">
        <f>'Expenditures 15-22'!D39</f>
        <v>9120</v>
      </c>
      <c r="D782" s="2" t="str">
        <f t="shared" si="11"/>
        <v>Error?</v>
      </c>
    </row>
    <row r="783" spans="1:4" x14ac:dyDescent="0.2">
      <c r="A783" s="5">
        <v>722</v>
      </c>
      <c r="B783" s="138">
        <f>'Expenditures 15-22'!D40</f>
        <v>8648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35644</v>
      </c>
      <c r="C785" s="2" t="s">
        <v>594</v>
      </c>
      <c r="D785" s="2" t="str">
        <f t="shared" si="11"/>
        <v>Error?</v>
      </c>
    </row>
    <row r="786" spans="1:4" x14ac:dyDescent="0.2">
      <c r="A786" s="5">
        <v>725</v>
      </c>
      <c r="B786" s="138">
        <f>'Expenditures 15-22'!D44</f>
        <v>13996</v>
      </c>
      <c r="D786" s="2" t="str">
        <f t="shared" si="11"/>
        <v>Error?</v>
      </c>
    </row>
    <row r="787" spans="1:4" x14ac:dyDescent="0.2">
      <c r="A787" s="5">
        <v>726</v>
      </c>
      <c r="B787" s="138">
        <f>'Expenditures 15-22'!D45</f>
        <v>10724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24720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51189</v>
      </c>
      <c r="D791" s="2" t="str">
        <f t="shared" si="11"/>
        <v>Error?</v>
      </c>
    </row>
    <row r="792" spans="1:4" x14ac:dyDescent="0.2">
      <c r="A792" s="5">
        <v>731</v>
      </c>
      <c r="B792" s="138">
        <f>'Expenditures 15-22'!D53</f>
        <v>82357</v>
      </c>
      <c r="C792" s="2" t="s">
        <v>594</v>
      </c>
      <c r="D792" s="2" t="str">
        <f t="shared" si="11"/>
        <v>Error?</v>
      </c>
    </row>
    <row r="793" spans="1:4" x14ac:dyDescent="0.2">
      <c r="A793" s="5">
        <v>732</v>
      </c>
      <c r="B793" s="138">
        <f>'Expenditures 15-22'!D55</f>
        <v>88656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88656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10705</v>
      </c>
      <c r="D797" s="2" t="str">
        <f t="shared" si="11"/>
        <v>Error?</v>
      </c>
    </row>
    <row r="798" spans="1:4" x14ac:dyDescent="0.2">
      <c r="A798" s="5">
        <v>737</v>
      </c>
      <c r="B798" s="138">
        <f>'Expenditures 15-22'!D61</f>
        <v>53517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64251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295628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656204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120404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6972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128200</v>
      </c>
      <c r="C836" s="2" t="s">
        <v>594</v>
      </c>
      <c r="D836" s="2" t="str">
        <f t="shared" si="12"/>
        <v>Error?</v>
      </c>
    </row>
    <row r="837" spans="1:4" x14ac:dyDescent="0.2">
      <c r="A837" s="5">
        <v>776</v>
      </c>
      <c r="B837" s="138">
        <f>'Expenditures 15-22'!E36</f>
        <v>1260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193</v>
      </c>
      <c r="D839" s="2" t="str">
        <f t="shared" si="12"/>
        <v>Error?</v>
      </c>
    </row>
    <row r="840" spans="1:4" x14ac:dyDescent="0.2">
      <c r="A840" s="5">
        <v>779</v>
      </c>
      <c r="B840" s="138">
        <f>'Expenditures 15-22'!E39</f>
        <v>47</v>
      </c>
      <c r="D840" s="2" t="str">
        <f t="shared" si="12"/>
        <v>Error?</v>
      </c>
    </row>
    <row r="841" spans="1:4" x14ac:dyDescent="0.2">
      <c r="A841" s="5">
        <v>780</v>
      </c>
      <c r="B841" s="138">
        <f>'Expenditures 15-22'!E40</f>
        <v>90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1590</v>
      </c>
      <c r="C843" s="2" t="s">
        <v>594</v>
      </c>
      <c r="D843" s="2" t="str">
        <f t="shared" si="12"/>
        <v>Error?</v>
      </c>
    </row>
    <row r="844" spans="1:4" x14ac:dyDescent="0.2">
      <c r="A844" s="5">
        <v>783</v>
      </c>
      <c r="B844" s="138">
        <f>'Expenditures 15-22'!E44</f>
        <v>9378</v>
      </c>
      <c r="D844" s="2" t="str">
        <f t="shared" si="12"/>
        <v>Error?</v>
      </c>
    </row>
    <row r="845" spans="1:4" x14ac:dyDescent="0.2">
      <c r="A845" s="5">
        <v>784</v>
      </c>
      <c r="B845" s="138">
        <f>'Expenditures 15-22'!E45</f>
        <v>2071</v>
      </c>
      <c r="D845" s="2" t="str">
        <f t="shared" si="12"/>
        <v>Error?</v>
      </c>
    </row>
    <row r="846" spans="1:4" x14ac:dyDescent="0.2">
      <c r="A846" s="5">
        <v>785</v>
      </c>
      <c r="B846" s="138">
        <f>'Expenditures 15-22'!E46</f>
        <v>8328</v>
      </c>
      <c r="D846" s="2" t="str">
        <f t="shared" si="12"/>
        <v>Error?</v>
      </c>
    </row>
    <row r="847" spans="1:4" x14ac:dyDescent="0.2">
      <c r="A847" s="5">
        <v>786</v>
      </c>
      <c r="B847" s="138">
        <f>'Expenditures 15-22'!E47</f>
        <v>19777</v>
      </c>
      <c r="C847" s="2" t="s">
        <v>594</v>
      </c>
      <c r="D847" s="2" t="str">
        <f t="shared" si="12"/>
        <v>Error?</v>
      </c>
    </row>
    <row r="848" spans="1:4" x14ac:dyDescent="0.2">
      <c r="A848" s="5">
        <v>787</v>
      </c>
      <c r="B848" s="138">
        <f>'Expenditures 15-22'!E49</f>
        <v>33826</v>
      </c>
      <c r="D848" s="2" t="str">
        <f t="shared" si="12"/>
        <v>Error?</v>
      </c>
    </row>
    <row r="849" spans="1:4" x14ac:dyDescent="0.2">
      <c r="A849" s="5">
        <v>788</v>
      </c>
      <c r="B849" s="138">
        <f>'Expenditures 15-22'!E50</f>
        <v>6991</v>
      </c>
      <c r="D849" s="2" t="str">
        <f t="shared" si="12"/>
        <v>Error?</v>
      </c>
    </row>
    <row r="850" spans="1:4" x14ac:dyDescent="0.2">
      <c r="A850" s="5">
        <v>789</v>
      </c>
      <c r="B850" s="138">
        <f>'Expenditures 15-22'!E53</f>
        <v>42041</v>
      </c>
      <c r="C850" s="2" t="s">
        <v>594</v>
      </c>
      <c r="D850" s="2" t="str">
        <f t="shared" si="12"/>
        <v>Error?</v>
      </c>
    </row>
    <row r="851" spans="1:4" x14ac:dyDescent="0.2">
      <c r="A851" s="5">
        <v>790</v>
      </c>
      <c r="B851" s="138">
        <f>'Expenditures 15-22'!E55</f>
        <v>2337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2337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9870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8699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18569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68328</v>
      </c>
      <c r="D867" s="2" t="str">
        <f t="shared" si="12"/>
        <v>Error?</v>
      </c>
    </row>
    <row r="868" spans="1:4" x14ac:dyDescent="0.2">
      <c r="A868" s="10">
        <v>807</v>
      </c>
      <c r="D868" s="2" t="str">
        <f t="shared" si="12"/>
        <v>OK</v>
      </c>
    </row>
    <row r="869" spans="1:4" x14ac:dyDescent="0.2">
      <c r="A869" s="5">
        <v>808</v>
      </c>
      <c r="B869" s="138">
        <f>'Expenditures 15-22'!E72</f>
        <v>68328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152642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342393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108685</v>
      </c>
      <c r="D879" s="2" t="str">
        <f t="shared" si="12"/>
        <v>Error?</v>
      </c>
    </row>
    <row r="880" spans="1:4" x14ac:dyDescent="0.2">
      <c r="A880" s="5">
        <v>819</v>
      </c>
      <c r="B880" s="138">
        <f>'Expenditures 15-22'!F16</f>
        <v>97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618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7924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120883</v>
      </c>
      <c r="C894" s="2" t="s">
        <v>594</v>
      </c>
      <c r="D894" s="2" t="str">
        <f t="shared" si="12"/>
        <v>Error?</v>
      </c>
    </row>
    <row r="895" spans="1:4" x14ac:dyDescent="0.2">
      <c r="A895" s="5">
        <v>834</v>
      </c>
      <c r="B895" s="138">
        <f>'Expenditures 15-22'!F36</f>
        <v>39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1208</v>
      </c>
      <c r="D897" s="2" t="str">
        <f t="shared" si="13"/>
        <v>Error?</v>
      </c>
    </row>
    <row r="898" spans="1:4" x14ac:dyDescent="0.2">
      <c r="A898" s="5">
        <v>837</v>
      </c>
      <c r="B898" s="138">
        <f>'Expenditures 15-22'!F39</f>
        <v>2467</v>
      </c>
      <c r="D898" s="2" t="str">
        <f t="shared" si="13"/>
        <v>Error?</v>
      </c>
    </row>
    <row r="899" spans="1:4" x14ac:dyDescent="0.2">
      <c r="A899" s="5">
        <v>838</v>
      </c>
      <c r="B899" s="138">
        <f>'Expenditures 15-22'!F40</f>
        <v>489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4203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8167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8167</v>
      </c>
      <c r="C905" s="2" t="s">
        <v>594</v>
      </c>
      <c r="D905" s="2" t="str">
        <f t="shared" si="13"/>
        <v>Error?</v>
      </c>
    </row>
    <row r="906" spans="1:4" x14ac:dyDescent="0.2">
      <c r="A906" s="5">
        <v>845</v>
      </c>
      <c r="B906" s="138">
        <f>'Expenditures 15-22'!F49</f>
        <v>2025</v>
      </c>
      <c r="D906" s="2" t="str">
        <f t="shared" si="13"/>
        <v>Error?</v>
      </c>
    </row>
    <row r="907" spans="1:4" x14ac:dyDescent="0.2">
      <c r="A907" s="5">
        <v>846</v>
      </c>
      <c r="B907" s="138">
        <f>'Expenditures 15-22'!F50</f>
        <v>2012</v>
      </c>
      <c r="D907" s="2" t="str">
        <f t="shared" si="13"/>
        <v>Error?</v>
      </c>
    </row>
    <row r="908" spans="1:4" x14ac:dyDescent="0.2">
      <c r="A908" s="5">
        <v>847</v>
      </c>
      <c r="B908" s="138">
        <f>'Expenditures 15-22'!F53</f>
        <v>7258</v>
      </c>
      <c r="C908" s="2" t="s">
        <v>594</v>
      </c>
      <c r="D908" s="2" t="str">
        <f t="shared" si="13"/>
        <v>Error?</v>
      </c>
    </row>
    <row r="909" spans="1:4" x14ac:dyDescent="0.2">
      <c r="A909" s="5">
        <v>848</v>
      </c>
      <c r="B909" s="138">
        <f>'Expenditures 15-22'!F55</f>
        <v>1083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1083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513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29725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30238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50949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171832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32281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32281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32281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1026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1026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161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288</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449</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3839</v>
      </c>
      <c r="D1022" s="2" t="str">
        <f t="shared" si="14"/>
        <v>Error?</v>
      </c>
    </row>
    <row r="1023" spans="1:4" x14ac:dyDescent="0.2">
      <c r="A1023" s="5">
        <v>962</v>
      </c>
      <c r="B1023" s="138">
        <f>'Expenditures 15-22'!H50</f>
        <v>1600</v>
      </c>
      <c r="D1023" s="2" t="str">
        <f t="shared" ref="D1023:D1086" si="15">IF(ISBLANK(B1023),"OK",IF(A1023-B1023=0,"OK","Error?"))</f>
        <v>Error?</v>
      </c>
    </row>
    <row r="1024" spans="1:4" x14ac:dyDescent="0.2">
      <c r="A1024" s="5">
        <v>963</v>
      </c>
      <c r="B1024" s="138">
        <f>'Expenditures 15-22'!H53</f>
        <v>5439</v>
      </c>
      <c r="C1024" s="2" t="s">
        <v>594</v>
      </c>
      <c r="D1024" s="2" t="str">
        <f t="shared" si="15"/>
        <v>Error?</v>
      </c>
    </row>
    <row r="1025" spans="1:4" x14ac:dyDescent="0.2">
      <c r="A1025" s="5">
        <v>964</v>
      </c>
      <c r="B1025" s="138">
        <f>'Expenditures 15-22'!H55</f>
        <v>1266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1266</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288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288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7442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419918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428386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2265878</v>
      </c>
      <c r="C1093" s="2" t="s">
        <v>594</v>
      </c>
      <c r="D1093" s="2" t="str">
        <f t="shared" si="16"/>
        <v>Error?</v>
      </c>
    </row>
    <row r="1094" spans="1:4" x14ac:dyDescent="0.2">
      <c r="A1094" s="5">
        <v>1033</v>
      </c>
      <c r="B1094" s="138">
        <f>'Expenditures 15-22'!K16</f>
        <v>1100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121500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65306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3052166</v>
      </c>
      <c r="C1108" s="2" t="s">
        <v>594</v>
      </c>
      <c r="D1108" s="2" t="str">
        <f t="shared" si="16"/>
        <v>Error?</v>
      </c>
    </row>
    <row r="1109" spans="1:4" x14ac:dyDescent="0.2">
      <c r="A1109" s="5">
        <v>1048</v>
      </c>
      <c r="B1109" s="138">
        <f>'Expenditures 15-22'!K36</f>
        <v>78588</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80305</v>
      </c>
      <c r="C1111" s="2" t="s">
        <v>594</v>
      </c>
      <c r="D1111" s="2" t="str">
        <f t="shared" si="16"/>
        <v>Error?</v>
      </c>
    </row>
    <row r="1112" spans="1:4" x14ac:dyDescent="0.2">
      <c r="A1112" s="5">
        <v>1051</v>
      </c>
      <c r="B1112" s="138">
        <f>'Expenditures 15-22'!K39</f>
        <v>48065</v>
      </c>
      <c r="C1112" s="2" t="s">
        <v>594</v>
      </c>
      <c r="D1112" s="2" t="str">
        <f t="shared" si="16"/>
        <v>Error?</v>
      </c>
    </row>
    <row r="1113" spans="1:4" x14ac:dyDescent="0.2">
      <c r="A1113" s="5">
        <v>1052</v>
      </c>
      <c r="B1113" s="138">
        <f>'Expenditures 15-22'!K40</f>
        <v>56514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263472</v>
      </c>
      <c r="C1115" s="2" t="s">
        <v>594</v>
      </c>
      <c r="D1115" s="2" t="str">
        <f t="shared" si="16"/>
        <v>Error?</v>
      </c>
    </row>
    <row r="1116" spans="1:4" x14ac:dyDescent="0.2">
      <c r="A1116" s="5">
        <v>1055</v>
      </c>
      <c r="B1116" s="138">
        <f>'Expenditures 15-22'!K44</f>
        <v>41842</v>
      </c>
      <c r="C1116" s="2" t="s">
        <v>594</v>
      </c>
      <c r="D1116" s="2" t="str">
        <f t="shared" si="16"/>
        <v>Error?</v>
      </c>
    </row>
    <row r="1117" spans="1:4" x14ac:dyDescent="0.2">
      <c r="A1117" s="5">
        <v>1056</v>
      </c>
      <c r="B1117" s="138">
        <f>'Expenditures 15-22'!K45</f>
        <v>54502</v>
      </c>
      <c r="C1117" s="2" t="s">
        <v>594</v>
      </c>
      <c r="D1117" s="2" t="str">
        <f t="shared" si="16"/>
        <v>Error?</v>
      </c>
    </row>
    <row r="1118" spans="1:4" x14ac:dyDescent="0.2">
      <c r="A1118" s="5">
        <v>1057</v>
      </c>
      <c r="B1118" s="138">
        <f>'Expenditures 15-22'!K46</f>
        <v>8328</v>
      </c>
      <c r="C1118" s="2" t="s">
        <v>594</v>
      </c>
      <c r="D1118" s="2" t="str">
        <f t="shared" si="16"/>
        <v>Error?</v>
      </c>
    </row>
    <row r="1119" spans="1:4" x14ac:dyDescent="0.2">
      <c r="A1119" s="5">
        <v>1058</v>
      </c>
      <c r="B1119" s="138">
        <f>'Expenditures 15-22'!K47</f>
        <v>104672</v>
      </c>
      <c r="C1119" s="2" t="s">
        <v>594</v>
      </c>
      <c r="D1119" s="2" t="str">
        <f t="shared" si="16"/>
        <v>Error?</v>
      </c>
    </row>
    <row r="1120" spans="1:4" x14ac:dyDescent="0.2">
      <c r="A1120" s="5">
        <v>1059</v>
      </c>
      <c r="B1120" s="138">
        <f>'Expenditures 15-22'!K49</f>
        <v>74720</v>
      </c>
      <c r="C1120" s="2" t="s">
        <v>594</v>
      </c>
      <c r="D1120" s="2" t="str">
        <f t="shared" si="16"/>
        <v>Error?</v>
      </c>
    </row>
    <row r="1121" spans="1:4" x14ac:dyDescent="0.2">
      <c r="A1121" s="5">
        <v>1060</v>
      </c>
      <c r="B1121" s="138">
        <f>'Expenditures 15-22'!K50</f>
        <v>262203</v>
      </c>
      <c r="C1121" s="2" t="s">
        <v>594</v>
      </c>
      <c r="D1121" s="2" t="str">
        <f t="shared" si="16"/>
        <v>Error?</v>
      </c>
    </row>
    <row r="1122" spans="1:4" x14ac:dyDescent="0.2">
      <c r="A1122" s="5">
        <v>1061</v>
      </c>
      <c r="B1122" s="138">
        <f>'Expenditures 15-22'!K53</f>
        <v>450033</v>
      </c>
      <c r="C1122" s="2" t="s">
        <v>594</v>
      </c>
      <c r="D1122" s="2" t="str">
        <f t="shared" si="16"/>
        <v>Error?</v>
      </c>
    </row>
    <row r="1123" spans="1:4" x14ac:dyDescent="0.2">
      <c r="A1123" s="5">
        <v>1062</v>
      </c>
      <c r="B1123" s="138">
        <f>'Expenditures 15-22'!K55</f>
        <v>380540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380540</v>
      </c>
      <c r="C1125" s="2" t="s">
        <v>594</v>
      </c>
      <c r="D1125" s="2" t="str">
        <f t="shared" si="16"/>
        <v>Error?</v>
      </c>
    </row>
    <row r="1126" spans="1:4" x14ac:dyDescent="0.2">
      <c r="A1126" s="5">
        <v>1065</v>
      </c>
      <c r="B1126" s="138">
        <f>'Expenditures 15-22'!K59</f>
        <v>6149</v>
      </c>
      <c r="C1126" s="2" t="s">
        <v>594</v>
      </c>
      <c r="D1126" s="2" t="str">
        <f t="shared" si="16"/>
        <v>Error?</v>
      </c>
    </row>
    <row r="1127" spans="1:4" x14ac:dyDescent="0.2">
      <c r="A1127" s="5">
        <v>1066</v>
      </c>
      <c r="B1127" s="138">
        <f>'Expenditures 15-22'!K60</f>
        <v>86092</v>
      </c>
      <c r="C1127" s="2" t="s">
        <v>594</v>
      </c>
      <c r="D1127" s="2" t="str">
        <f t="shared" si="16"/>
        <v>Error?</v>
      </c>
    </row>
    <row r="1128" spans="1:4" x14ac:dyDescent="0.2">
      <c r="A1128" s="5">
        <v>1067</v>
      </c>
      <c r="B1128" s="138">
        <f>'Expenditures 15-22'!K61</f>
        <v>259527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95815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447583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68328</v>
      </c>
      <c r="C1139" s="2" t="s">
        <v>594</v>
      </c>
      <c r="D1139" s="2" t="str">
        <f t="shared" si="16"/>
        <v>Error?</v>
      </c>
    </row>
    <row r="1140" spans="1:4" x14ac:dyDescent="0.2">
      <c r="A1140" s="10">
        <v>1079</v>
      </c>
      <c r="D1140" s="2" t="str">
        <f t="shared" si="16"/>
        <v>OK</v>
      </c>
    </row>
    <row r="1141" spans="1:4" x14ac:dyDescent="0.2">
      <c r="A1141" s="5">
        <v>1080</v>
      </c>
      <c r="B1141" s="138">
        <f>'Expenditures 15-22'!K72</f>
        <v>68328</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1714628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481469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5248263</v>
      </c>
      <c r="C1152" s="2" t="s">
        <v>594</v>
      </c>
      <c r="D1152" s="2" t="str">
        <f t="shared" si="17"/>
        <v>Error?</v>
      </c>
    </row>
    <row r="1153" spans="1:4" x14ac:dyDescent="0.2">
      <c r="A1153" s="5">
        <v>1092</v>
      </c>
      <c r="B1153" s="138">
        <f>'Expenditures 15-22'!K115</f>
        <v>622494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61641</v>
      </c>
      <c r="D1221" s="2" t="str">
        <f t="shared" si="18"/>
        <v>Error?</v>
      </c>
    </row>
    <row r="1222" spans="1:4" x14ac:dyDescent="0.2">
      <c r="A1222" s="10">
        <v>1161</v>
      </c>
      <c r="D1222" s="2" t="str">
        <f t="shared" si="18"/>
        <v>OK</v>
      </c>
    </row>
    <row r="1223" spans="1:4" x14ac:dyDescent="0.2">
      <c r="A1223" s="5">
        <v>1162</v>
      </c>
      <c r="B1223" s="138">
        <f>'Expenditures 15-22'!C127</f>
        <v>61641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61641</v>
      </c>
      <c r="C1225" s="2" t="s">
        <v>594</v>
      </c>
      <c r="D1225" s="2" t="str">
        <f t="shared" si="18"/>
        <v>Error?</v>
      </c>
    </row>
    <row r="1226" spans="1:4" x14ac:dyDescent="0.2">
      <c r="A1226" s="5">
        <v>1165</v>
      </c>
      <c r="B1226" s="138">
        <f>'Expenditures 15-22'!C151</f>
        <v>61641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8832</v>
      </c>
      <c r="D1229" s="2" t="str">
        <f t="shared" si="18"/>
        <v>Error?</v>
      </c>
    </row>
    <row r="1230" spans="1:4" x14ac:dyDescent="0.2">
      <c r="A1230" s="10">
        <v>1169</v>
      </c>
      <c r="D1230" s="2" t="str">
        <f t="shared" si="18"/>
        <v>OK</v>
      </c>
    </row>
    <row r="1231" spans="1:4" x14ac:dyDescent="0.2">
      <c r="A1231" s="5">
        <v>1170</v>
      </c>
      <c r="B1231" s="138">
        <f>'Expenditures 15-22'!D127</f>
        <v>8832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8832</v>
      </c>
      <c r="C1233" s="2" t="s">
        <v>594</v>
      </c>
      <c r="D1233" s="2" t="str">
        <f t="shared" si="18"/>
        <v>Error?</v>
      </c>
    </row>
    <row r="1234" spans="1:4" x14ac:dyDescent="0.2">
      <c r="A1234" s="5">
        <v>1173</v>
      </c>
      <c r="B1234" s="138">
        <f>'Expenditures 15-22'!D151</f>
        <v>8832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86797</v>
      </c>
      <c r="D1237" s="2" t="str">
        <f t="shared" si="18"/>
        <v>Error?</v>
      </c>
    </row>
    <row r="1238" spans="1:4" x14ac:dyDescent="0.2">
      <c r="A1238" s="10">
        <v>1177</v>
      </c>
      <c r="D1238" s="2" t="str">
        <f t="shared" si="18"/>
        <v>OK</v>
      </c>
    </row>
    <row r="1239" spans="1:4" x14ac:dyDescent="0.2">
      <c r="A1239" s="5">
        <v>1178</v>
      </c>
      <c r="B1239" s="138">
        <f>'Expenditures 15-22'!E127</f>
        <v>86797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86797</v>
      </c>
      <c r="C1241" s="2" t="s">
        <v>594</v>
      </c>
      <c r="D1241" s="2" t="str">
        <f t="shared" si="18"/>
        <v>Error?</v>
      </c>
    </row>
    <row r="1242" spans="1:4" x14ac:dyDescent="0.2">
      <c r="A1242" s="5">
        <v>1181</v>
      </c>
      <c r="B1242" s="138">
        <f>'Expenditures 15-22'!E151</f>
        <v>86797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121433</v>
      </c>
      <c r="D1245" s="2" t="str">
        <f t="shared" si="18"/>
        <v>Error?</v>
      </c>
    </row>
    <row r="1246" spans="1:4" x14ac:dyDescent="0.2">
      <c r="A1246" s="10">
        <v>1185</v>
      </c>
      <c r="D1246" s="2" t="str">
        <f t="shared" si="18"/>
        <v>OK</v>
      </c>
    </row>
    <row r="1247" spans="1:4" x14ac:dyDescent="0.2">
      <c r="A1247" s="5">
        <v>1186</v>
      </c>
      <c r="B1247" s="138">
        <f>'Expenditures 15-22'!F127</f>
        <v>121433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121433</v>
      </c>
      <c r="C1249" s="2" t="s">
        <v>594</v>
      </c>
      <c r="D1249" s="2" t="str">
        <f t="shared" si="18"/>
        <v>Error?</v>
      </c>
    </row>
    <row r="1250" spans="1:4" x14ac:dyDescent="0.2">
      <c r="A1250" s="5">
        <v>1189</v>
      </c>
      <c r="B1250" s="138">
        <f>'Expenditures 15-22'!F151</f>
        <v>121433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204058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204058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204058</v>
      </c>
      <c r="C1258" s="2" t="s">
        <v>594</v>
      </c>
      <c r="D1258" s="2" t="str">
        <f t="shared" si="18"/>
        <v>Error?</v>
      </c>
    </row>
    <row r="1259" spans="1:4" x14ac:dyDescent="0.2">
      <c r="A1259" s="5">
        <v>1198</v>
      </c>
      <c r="B1259" s="138">
        <f>'Expenditures 15-22'!G151</f>
        <v>204058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483839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483839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483839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483839</v>
      </c>
      <c r="C1288" s="2" t="s">
        <v>594</v>
      </c>
      <c r="D1288" s="2" t="str">
        <f t="shared" si="19"/>
        <v>Error?</v>
      </c>
    </row>
    <row r="1289" spans="1:4" x14ac:dyDescent="0.2">
      <c r="A1289" s="5">
        <v>1228</v>
      </c>
      <c r="B1289" s="138">
        <f>'Expenditures 15-22'!K152</f>
        <v>111495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40895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455000</v>
      </c>
      <c r="D1315" s="2" t="str">
        <f t="shared" si="19"/>
        <v>Error?</v>
      </c>
    </row>
    <row r="1316" spans="1:4" x14ac:dyDescent="0.2">
      <c r="A1316" s="5">
        <v>1255</v>
      </c>
      <c r="B1316" s="138">
        <f>'Expenditures 15-22'!H171</f>
        <v>1250</v>
      </c>
      <c r="D1316" s="2" t="str">
        <f t="shared" si="19"/>
        <v>Error?</v>
      </c>
    </row>
    <row r="1317" spans="1:4" x14ac:dyDescent="0.2">
      <c r="A1317" s="5">
        <v>1256</v>
      </c>
      <c r="B1317" s="138">
        <f>'Expenditures 15-22'!H172</f>
        <v>497145</v>
      </c>
      <c r="C1317" s="2" t="s">
        <v>594</v>
      </c>
      <c r="D1317" s="2" t="str">
        <f t="shared" si="19"/>
        <v>Error?</v>
      </c>
    </row>
    <row r="1318" spans="1:4" x14ac:dyDescent="0.2">
      <c r="A1318" s="5">
        <v>1257</v>
      </c>
      <c r="B1318" s="138">
        <f>'Expenditures 15-22'!H174</f>
        <v>497145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40895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455000</v>
      </c>
      <c r="C1329" s="2" t="s">
        <v>594</v>
      </c>
      <c r="D1329" s="2" t="str">
        <f t="shared" si="19"/>
        <v>Error?</v>
      </c>
    </row>
    <row r="1330" spans="1:4" x14ac:dyDescent="0.2">
      <c r="A1330" s="5">
        <v>1269</v>
      </c>
      <c r="B1330" s="138">
        <f>'Expenditures 15-22'!K171</f>
        <v>1250</v>
      </c>
      <c r="C1330" s="2" t="s">
        <v>594</v>
      </c>
      <c r="D1330" s="2" t="str">
        <f t="shared" si="19"/>
        <v>Error?</v>
      </c>
    </row>
    <row r="1331" spans="1:4" x14ac:dyDescent="0.2">
      <c r="A1331" s="5">
        <v>1270</v>
      </c>
      <c r="B1331" s="138">
        <f>'Expenditures 15-22'!K172</f>
        <v>497145</v>
      </c>
      <c r="C1331" s="2" t="s">
        <v>594</v>
      </c>
      <c r="D1331" s="2" t="str">
        <f t="shared" si="19"/>
        <v>Error?</v>
      </c>
    </row>
    <row r="1332" spans="1:4" x14ac:dyDescent="0.2">
      <c r="A1332" s="5">
        <v>1271</v>
      </c>
      <c r="B1332" s="138">
        <f>'Expenditures 15-22'!K174</f>
        <v>497145</v>
      </c>
      <c r="C1332" s="2" t="s">
        <v>594</v>
      </c>
      <c r="D1332" s="2" t="str">
        <f t="shared" si="19"/>
        <v>Error?</v>
      </c>
    </row>
    <row r="1333" spans="1:4" x14ac:dyDescent="0.2">
      <c r="A1333" s="5">
        <v>1272</v>
      </c>
      <c r="B1333" s="138">
        <f>'Expenditures 15-22'!K175</f>
        <v>-137693</v>
      </c>
      <c r="C1333" s="2" t="s">
        <v>594</v>
      </c>
      <c r="D1333" s="2" t="str">
        <f t="shared" si="19"/>
        <v>Error?</v>
      </c>
    </row>
    <row r="1334" spans="1:4" x14ac:dyDescent="0.2">
      <c r="A1334" s="10">
        <v>1273</v>
      </c>
      <c r="D1334" s="2" t="str">
        <f t="shared" si="19"/>
        <v>OK</v>
      </c>
    </row>
    <row r="1335" spans="1:4" x14ac:dyDescent="0.2">
      <c r="A1335" s="5">
        <v>1274</v>
      </c>
      <c r="B1335" s="138">
        <f>'Expenditures 15-22'!C182</f>
        <v>119279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119279</v>
      </c>
      <c r="C1339" s="2" t="s">
        <v>594</v>
      </c>
      <c r="D1339" s="2" t="str">
        <f t="shared" si="19"/>
        <v>Error?</v>
      </c>
    </row>
    <row r="1340" spans="1:4" x14ac:dyDescent="0.2">
      <c r="A1340" s="5">
        <v>1279</v>
      </c>
      <c r="B1340" s="138">
        <f>'Expenditures 15-22'!C210</f>
        <v>119279</v>
      </c>
      <c r="C1340" s="2" t="s">
        <v>594</v>
      </c>
      <c r="D1340" s="2" t="str">
        <f t="shared" si="19"/>
        <v>Error?</v>
      </c>
    </row>
    <row r="1341" spans="1:4" x14ac:dyDescent="0.2">
      <c r="A1341" s="5">
        <v>1280</v>
      </c>
      <c r="B1341" s="138">
        <f>'Expenditures 15-22'!D182</f>
        <v>25980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25980</v>
      </c>
      <c r="C1345" s="2" t="s">
        <v>594</v>
      </c>
      <c r="D1345" s="2" t="str">
        <f t="shared" si="20"/>
        <v>Error?</v>
      </c>
    </row>
    <row r="1346" spans="1:4" x14ac:dyDescent="0.2">
      <c r="A1346" s="5">
        <v>1285</v>
      </c>
      <c r="B1346" s="138">
        <f>'Expenditures 15-22'!D210</f>
        <v>25980</v>
      </c>
      <c r="C1346" s="2" t="s">
        <v>594</v>
      </c>
      <c r="D1346" s="2" t="str">
        <f t="shared" si="20"/>
        <v>Error?</v>
      </c>
    </row>
    <row r="1347" spans="1:4" x14ac:dyDescent="0.2">
      <c r="A1347" s="5">
        <v>1286</v>
      </c>
      <c r="B1347" s="138">
        <f>'Expenditures 15-22'!E182</f>
        <v>133064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133064</v>
      </c>
      <c r="C1351" s="2" t="s">
        <v>594</v>
      </c>
      <c r="D1351" s="2" t="str">
        <f t="shared" si="20"/>
        <v>Error?</v>
      </c>
    </row>
    <row r="1352" spans="1:4" x14ac:dyDescent="0.2">
      <c r="A1352" s="5">
        <v>1291</v>
      </c>
      <c r="B1352" s="138">
        <f>'Expenditures 15-22'!E196</f>
        <v>1573</v>
      </c>
      <c r="C1352" s="2" t="s">
        <v>594</v>
      </c>
      <c r="D1352" s="2" t="str">
        <f t="shared" si="20"/>
        <v>Error?</v>
      </c>
    </row>
    <row r="1353" spans="1:4" x14ac:dyDescent="0.2">
      <c r="A1353" s="5">
        <v>1292</v>
      </c>
      <c r="B1353" s="138">
        <f>'Expenditures 15-22'!E210</f>
        <v>134637</v>
      </c>
      <c r="C1353" s="2" t="s">
        <v>594</v>
      </c>
      <c r="D1353" s="2" t="str">
        <f t="shared" si="20"/>
        <v>Error?</v>
      </c>
    </row>
    <row r="1354" spans="1:4" x14ac:dyDescent="0.2">
      <c r="A1354" s="5">
        <v>1293</v>
      </c>
      <c r="B1354" s="138">
        <f>'Expenditures 15-22'!F182</f>
        <v>12888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12888</v>
      </c>
      <c r="C1358" s="2" t="s">
        <v>594</v>
      </c>
      <c r="D1358" s="2" t="str">
        <f t="shared" si="20"/>
        <v>Error?</v>
      </c>
    </row>
    <row r="1359" spans="1:4" x14ac:dyDescent="0.2">
      <c r="A1359" s="5">
        <v>1298</v>
      </c>
      <c r="B1359" s="138">
        <f>'Expenditures 15-22'!F210</f>
        <v>12888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75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75</v>
      </c>
      <c r="C1376" s="2" t="s">
        <v>594</v>
      </c>
      <c r="D1376" s="2" t="str">
        <f t="shared" si="20"/>
        <v>Error?</v>
      </c>
    </row>
    <row r="1377" spans="1:4" x14ac:dyDescent="0.2">
      <c r="A1377" s="5">
        <v>1316</v>
      </c>
      <c r="B1377" s="138">
        <f>'Expenditures 15-22'!K182</f>
        <v>291286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291286</v>
      </c>
      <c r="C1381" s="2" t="s">
        <v>594</v>
      </c>
      <c r="D1381" s="2" t="str">
        <f t="shared" si="20"/>
        <v>Error?</v>
      </c>
    </row>
    <row r="1382" spans="1:4" x14ac:dyDescent="0.2">
      <c r="A1382" s="5">
        <v>1321</v>
      </c>
      <c r="B1382" s="138">
        <f>'Expenditures 15-22'!K196</f>
        <v>1573</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292859</v>
      </c>
      <c r="C1388" s="2" t="s">
        <v>594</v>
      </c>
      <c r="D1388" s="2" t="str">
        <f t="shared" si="20"/>
        <v>Error?</v>
      </c>
    </row>
    <row r="1389" spans="1:4" x14ac:dyDescent="0.2">
      <c r="A1389" s="5">
        <v>1328</v>
      </c>
      <c r="B1389" s="138">
        <f>'Expenditures 15-22'!K211</f>
        <v>251782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14</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4260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2137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73162</v>
      </c>
      <c r="C1410" s="2" t="s">
        <v>594</v>
      </c>
      <c r="D1410" s="2" t="str">
        <f t="shared" si="21"/>
        <v>Error?</v>
      </c>
    </row>
    <row r="1411" spans="1:4" x14ac:dyDescent="0.2">
      <c r="A1411" s="5">
        <v>1350</v>
      </c>
      <c r="B1411" s="138">
        <f>'Expenditures 15-22'!D232</f>
        <v>1017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12245</v>
      </c>
      <c r="D1413" s="2" t="str">
        <f t="shared" si="21"/>
        <v>Error?</v>
      </c>
    </row>
    <row r="1414" spans="1:4" x14ac:dyDescent="0.2">
      <c r="A1414" s="5">
        <v>1353</v>
      </c>
      <c r="B1414" s="138">
        <f>'Expenditures 15-22'!D235</f>
        <v>461</v>
      </c>
      <c r="D1414" s="2" t="str">
        <f t="shared" si="21"/>
        <v>Error?</v>
      </c>
    </row>
    <row r="1415" spans="1:4" x14ac:dyDescent="0.2">
      <c r="A1415" s="5">
        <v>1354</v>
      </c>
      <c r="B1415" s="138">
        <f>'Expenditures 15-22'!D236</f>
        <v>653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14376</v>
      </c>
      <c r="C1417" s="2" t="s">
        <v>594</v>
      </c>
      <c r="D1417" s="2" t="str">
        <f t="shared" si="21"/>
        <v>Error?</v>
      </c>
    </row>
    <row r="1418" spans="1:4" x14ac:dyDescent="0.2">
      <c r="A1418" s="5">
        <v>1357</v>
      </c>
      <c r="B1418" s="138">
        <f>'Expenditures 15-22'!D240</f>
        <v>382</v>
      </c>
      <c r="D1418" s="2" t="str">
        <f t="shared" si="21"/>
        <v>Error?</v>
      </c>
    </row>
    <row r="1419" spans="1:4" x14ac:dyDescent="0.2">
      <c r="A1419" s="5">
        <v>1358</v>
      </c>
      <c r="B1419" s="138">
        <f>'Expenditures 15-22'!D241</f>
        <v>6142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6524</v>
      </c>
      <c r="C1421" s="2" t="s">
        <v>594</v>
      </c>
      <c r="D1421" s="2" t="str">
        <f t="shared" si="21"/>
        <v>Error?</v>
      </c>
    </row>
    <row r="1422" spans="1:4" x14ac:dyDescent="0.2">
      <c r="A1422" s="5">
        <v>1361</v>
      </c>
      <c r="B1422" s="138">
        <f>'Expenditures 15-22'!D245</f>
        <v>3219</v>
      </c>
      <c r="D1422" s="2" t="str">
        <f t="shared" si="21"/>
        <v>Error?</v>
      </c>
    </row>
    <row r="1423" spans="1:4" x14ac:dyDescent="0.2">
      <c r="A1423" s="5">
        <v>1362</v>
      </c>
      <c r="B1423" s="138">
        <f>'Expenditures 15-22'!D246</f>
        <v>10143</v>
      </c>
      <c r="D1423" s="2" t="str">
        <f t="shared" si="21"/>
        <v>Error?</v>
      </c>
    </row>
    <row r="1424" spans="1:4" x14ac:dyDescent="0.2">
      <c r="A1424" s="5">
        <v>1363</v>
      </c>
      <c r="B1424" s="138">
        <f>'Expenditures 15-22'!D257</f>
        <v>14435</v>
      </c>
      <c r="C1424" s="2" t="s">
        <v>594</v>
      </c>
      <c r="D1424" s="2" t="str">
        <f t="shared" si="21"/>
        <v>Error?</v>
      </c>
    </row>
    <row r="1425" spans="1:4" x14ac:dyDescent="0.2">
      <c r="A1425" s="5">
        <v>1364</v>
      </c>
      <c r="B1425" s="138">
        <f>'Expenditures 15-22'!D259</f>
        <v>15667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15667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11592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47616</v>
      </c>
      <c r="D1431" s="2" t="str">
        <f t="shared" si="21"/>
        <v>Error?</v>
      </c>
    </row>
    <row r="1432" spans="1:4" x14ac:dyDescent="0.2">
      <c r="A1432" s="5">
        <v>1371</v>
      </c>
      <c r="B1432" s="138">
        <f>'Expenditures 15-22'!D267</f>
        <v>20914</v>
      </c>
      <c r="D1432" s="2" t="str">
        <f t="shared" si="21"/>
        <v>Error?</v>
      </c>
    </row>
    <row r="1433" spans="1:4" x14ac:dyDescent="0.2">
      <c r="A1433" s="5">
        <v>1372</v>
      </c>
      <c r="B1433" s="138">
        <f>'Expenditures 15-22'!D268</f>
        <v>8947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89069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140071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213233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14</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4260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2137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73162</v>
      </c>
      <c r="C1474" s="2" t="s">
        <v>594</v>
      </c>
      <c r="D1474" s="2" t="str">
        <f t="shared" si="22"/>
        <v>Error?</v>
      </c>
    </row>
    <row r="1475" spans="1:4" x14ac:dyDescent="0.2">
      <c r="A1475" s="5">
        <v>1414</v>
      </c>
      <c r="B1475" s="138">
        <f>'Expenditures 15-22'!K232</f>
        <v>1017</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12245</v>
      </c>
      <c r="C1477" s="2" t="s">
        <v>594</v>
      </c>
      <c r="D1477" s="2" t="str">
        <f t="shared" si="22"/>
        <v>Error?</v>
      </c>
    </row>
    <row r="1478" spans="1:4" x14ac:dyDescent="0.2">
      <c r="A1478" s="5">
        <v>1417</v>
      </c>
      <c r="B1478" s="138">
        <f>'Expenditures 15-22'!K235</f>
        <v>461</v>
      </c>
      <c r="C1478" s="2" t="s">
        <v>594</v>
      </c>
      <c r="D1478" s="2" t="str">
        <f t="shared" si="22"/>
        <v>Error?</v>
      </c>
    </row>
    <row r="1479" spans="1:4" x14ac:dyDescent="0.2">
      <c r="A1479" s="5">
        <v>1418</v>
      </c>
      <c r="B1479" s="138">
        <f>'Expenditures 15-22'!K236</f>
        <v>653</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14376</v>
      </c>
      <c r="C1481" s="2" t="s">
        <v>594</v>
      </c>
      <c r="D1481" s="2" t="str">
        <f t="shared" si="22"/>
        <v>Error?</v>
      </c>
    </row>
    <row r="1482" spans="1:4" x14ac:dyDescent="0.2">
      <c r="A1482" s="5">
        <v>1421</v>
      </c>
      <c r="B1482" s="138">
        <f>'Expenditures 15-22'!K240</f>
        <v>382</v>
      </c>
      <c r="C1482" s="2" t="s">
        <v>594</v>
      </c>
      <c r="D1482" s="2" t="str">
        <f t="shared" si="22"/>
        <v>Error?</v>
      </c>
    </row>
    <row r="1483" spans="1:4" x14ac:dyDescent="0.2">
      <c r="A1483" s="5">
        <v>1422</v>
      </c>
      <c r="B1483" s="138">
        <f>'Expenditures 15-22'!K241</f>
        <v>6142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6524</v>
      </c>
      <c r="C1485" s="2" t="s">
        <v>594</v>
      </c>
      <c r="D1485" s="2" t="str">
        <f t="shared" si="22"/>
        <v>Error?</v>
      </c>
    </row>
    <row r="1486" spans="1:4" x14ac:dyDescent="0.2">
      <c r="A1486" s="5">
        <v>1425</v>
      </c>
      <c r="B1486" s="138">
        <f>'Expenditures 15-22'!K245</f>
        <v>3219</v>
      </c>
      <c r="C1486" s="2" t="s">
        <v>594</v>
      </c>
      <c r="D1486" s="2" t="str">
        <f t="shared" si="22"/>
        <v>Error?</v>
      </c>
    </row>
    <row r="1487" spans="1:4" x14ac:dyDescent="0.2">
      <c r="A1487" s="5">
        <v>1426</v>
      </c>
      <c r="B1487" s="138">
        <f>'Expenditures 15-22'!K246</f>
        <v>10143</v>
      </c>
      <c r="C1487" s="2" t="s">
        <v>594</v>
      </c>
      <c r="D1487" s="2" t="str">
        <f t="shared" si="22"/>
        <v>Error?</v>
      </c>
    </row>
    <row r="1488" spans="1:4" x14ac:dyDescent="0.2">
      <c r="A1488" s="5">
        <v>1427</v>
      </c>
      <c r="B1488" s="138">
        <f>'Expenditures 15-22'!K257</f>
        <v>14435</v>
      </c>
      <c r="C1488" s="2" t="s">
        <v>594</v>
      </c>
      <c r="D1488" s="2" t="str">
        <f t="shared" si="22"/>
        <v>Error?</v>
      </c>
    </row>
    <row r="1489" spans="1:4" x14ac:dyDescent="0.2">
      <c r="A1489" s="5">
        <v>1428</v>
      </c>
      <c r="B1489" s="138">
        <f>'Expenditures 15-22'!K259</f>
        <v>15667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15667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11592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47616</v>
      </c>
      <c r="C1495" s="2" t="s">
        <v>594</v>
      </c>
      <c r="D1495" s="2" t="str">
        <f t="shared" si="22"/>
        <v>Error?</v>
      </c>
    </row>
    <row r="1496" spans="1:4" x14ac:dyDescent="0.2">
      <c r="A1496" s="5">
        <v>1435</v>
      </c>
      <c r="B1496" s="138">
        <f>'Expenditures 15-22'!K267</f>
        <v>20914</v>
      </c>
      <c r="C1496" s="2" t="s">
        <v>594</v>
      </c>
      <c r="D1496" s="2" t="str">
        <f t="shared" si="22"/>
        <v>Error?</v>
      </c>
    </row>
    <row r="1497" spans="1:4" x14ac:dyDescent="0.2">
      <c r="A1497" s="5">
        <v>1436</v>
      </c>
      <c r="B1497" s="138">
        <f>'Expenditures 15-22'!K268</f>
        <v>8947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89069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140071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213233</v>
      </c>
      <c r="C1517" s="2" t="s">
        <v>594</v>
      </c>
      <c r="D1517" s="2" t="str">
        <f t="shared" si="22"/>
        <v>Error?</v>
      </c>
    </row>
    <row r="1518" spans="1:4" x14ac:dyDescent="0.2">
      <c r="A1518" s="5">
        <v>1457</v>
      </c>
      <c r="B1518" s="138">
        <f>'Expenditures 15-22'!K296</f>
        <v>33352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2985641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3458135</v>
      </c>
      <c r="C1630" s="2" t="s">
        <v>594</v>
      </c>
      <c r="D1630" s="2" t="str">
        <f t="shared" si="24"/>
        <v>Error?</v>
      </c>
    </row>
    <row r="1631" spans="1:4" x14ac:dyDescent="0.2">
      <c r="A1631" s="5">
        <v>1570</v>
      </c>
      <c r="B1631" s="138">
        <f>'Acct Summary 7-8'!D79</f>
        <v>1502073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1613568</v>
      </c>
      <c r="C1644" s="2" t="s">
        <v>594</v>
      </c>
      <c r="D1644" s="2" t="str">
        <f t="shared" si="24"/>
        <v>Error?</v>
      </c>
    </row>
    <row r="1645" spans="1:4" x14ac:dyDescent="0.2">
      <c r="A1645" s="5">
        <v>1584</v>
      </c>
      <c r="B1645" s="138">
        <f>'Acct Summary 7-8'!E79</f>
        <v>212028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224335</v>
      </c>
      <c r="C1658" s="2" t="s">
        <v>594</v>
      </c>
      <c r="D1658" s="2" t="str">
        <f t="shared" si="24"/>
        <v>Error?</v>
      </c>
    </row>
    <row r="1659" spans="1:4" x14ac:dyDescent="0.2">
      <c r="A1659" s="5">
        <v>1598</v>
      </c>
      <c r="B1659" s="138">
        <f>'Acct Summary 7-8'!F79</f>
        <v>487936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739718</v>
      </c>
      <c r="C1672" s="2" t="s">
        <v>594</v>
      </c>
      <c r="D1672" s="2" t="str">
        <f t="shared" si="25"/>
        <v>Error?</v>
      </c>
    </row>
    <row r="1673" spans="1:4" x14ac:dyDescent="0.2">
      <c r="A1673" s="5">
        <v>1612</v>
      </c>
      <c r="B1673" s="138">
        <f>'Acct Summary 7-8'!G79</f>
        <v>263186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296538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3887004</v>
      </c>
      <c r="C1744" s="2" t="s">
        <v>594</v>
      </c>
      <c r="D1744" s="2" t="str">
        <f t="shared" si="26"/>
        <v>Error?</v>
      </c>
    </row>
    <row r="1745" spans="1:5" x14ac:dyDescent="0.2">
      <c r="A1745" s="5">
        <v>1684</v>
      </c>
      <c r="B1745" s="138">
        <f>'Tax Sched 23'!B5</f>
        <v>539374</v>
      </c>
      <c r="C1745" s="2" t="s">
        <v>594</v>
      </c>
      <c r="D1745" s="2" t="str">
        <f t="shared" si="26"/>
        <v>Error?</v>
      </c>
    </row>
    <row r="1746" spans="1:5" x14ac:dyDescent="0.2">
      <c r="A1746" s="5">
        <v>1685</v>
      </c>
      <c r="B1746" s="138">
        <f>'Tax Sched 23'!B6</f>
        <v>358048</v>
      </c>
      <c r="C1746" s="2" t="s">
        <v>594</v>
      </c>
      <c r="D1746" s="2" t="str">
        <f t="shared" si="26"/>
        <v>Error?</v>
      </c>
    </row>
    <row r="1747" spans="1:5" x14ac:dyDescent="0.2">
      <c r="A1747" s="5">
        <v>1686</v>
      </c>
      <c r="B1747" s="138">
        <f>'Tax Sched 23'!B7</f>
        <v>338904</v>
      </c>
      <c r="C1747" s="2" t="s">
        <v>594</v>
      </c>
      <c r="D1747" s="2" t="str">
        <f t="shared" si="26"/>
        <v>Error?</v>
      </c>
    </row>
    <row r="1748" spans="1:5" x14ac:dyDescent="0.2">
      <c r="A1748" s="5">
        <v>1687</v>
      </c>
      <c r="B1748" s="138">
        <f>'Tax Sched 23'!B8</f>
        <v>114461</v>
      </c>
      <c r="C1748" s="2" t="s">
        <v>594</v>
      </c>
      <c r="D1748" s="2" t="str">
        <f t="shared" si="26"/>
        <v>Error?</v>
      </c>
    </row>
    <row r="1749" spans="1:5" x14ac:dyDescent="0.2">
      <c r="A1749" s="5">
        <v>1688</v>
      </c>
      <c r="B1749" s="138">
        <f>'Tax Sched 23'!B10</f>
        <v>49315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70564</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367387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5844444</v>
      </c>
      <c r="C1759" s="2" t="s">
        <v>594</v>
      </c>
      <c r="D1759" s="2" t="str">
        <f t="shared" si="26"/>
        <v>Error?</v>
      </c>
    </row>
    <row r="1760" spans="1:5" x14ac:dyDescent="0.2">
      <c r="A1760" s="5">
        <v>1699</v>
      </c>
      <c r="B1760" s="138">
        <f>'Tax Sched 23'!D4</f>
        <v>1676172</v>
      </c>
      <c r="C1760" s="2" t="s">
        <v>594</v>
      </c>
      <c r="D1760" s="2" t="str">
        <f t="shared" si="26"/>
        <v>Error?</v>
      </c>
    </row>
    <row r="1761" spans="1:5" x14ac:dyDescent="0.2">
      <c r="A1761" s="5">
        <v>1700</v>
      </c>
      <c r="B1761" s="138">
        <f>'Tax Sched 23'!D5</f>
        <v>254023</v>
      </c>
      <c r="C1761" s="2" t="s">
        <v>594</v>
      </c>
      <c r="D1761" s="2" t="str">
        <f t="shared" si="26"/>
        <v>Error?</v>
      </c>
    </row>
    <row r="1762" spans="1:5" s="8" customFormat="1" x14ac:dyDescent="0.2">
      <c r="A1762" s="5">
        <v>1701</v>
      </c>
      <c r="B1762" s="138">
        <f>'Tax Sched 23'!D6</f>
        <v>170259</v>
      </c>
      <c r="C1762" s="2" t="s">
        <v>594</v>
      </c>
      <c r="D1762" s="2" t="str">
        <f t="shared" si="26"/>
        <v>Error?</v>
      </c>
      <c r="E1762" s="9"/>
    </row>
    <row r="1763" spans="1:5" x14ac:dyDescent="0.2">
      <c r="A1763" s="5">
        <v>1702</v>
      </c>
      <c r="B1763" s="138">
        <f>'Tax Sched 23'!D7</f>
        <v>337619</v>
      </c>
      <c r="C1763" s="2" t="s">
        <v>594</v>
      </c>
      <c r="D1763" s="2" t="str">
        <f t="shared" si="26"/>
        <v>Error?</v>
      </c>
    </row>
    <row r="1764" spans="1:5" x14ac:dyDescent="0.2">
      <c r="A1764" s="5">
        <v>1703</v>
      </c>
      <c r="B1764" s="138">
        <f>'Tax Sched 23'!D8</f>
        <v>53791</v>
      </c>
      <c r="C1764" s="2" t="s">
        <v>594</v>
      </c>
      <c r="D1764" s="2" t="str">
        <f t="shared" si="26"/>
        <v>Error?</v>
      </c>
    </row>
    <row r="1765" spans="1:5" x14ac:dyDescent="0.2">
      <c r="A1765" s="5">
        <v>1704</v>
      </c>
      <c r="B1765" s="138">
        <f>'Tax Sched 23'!D10</f>
        <v>23093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33031</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174581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2778716</v>
      </c>
      <c r="C1775" s="2" t="s">
        <v>594</v>
      </c>
      <c r="D1775" s="2" t="str">
        <f t="shared" si="26"/>
        <v>Error?</v>
      </c>
    </row>
    <row r="1776" spans="1:5" x14ac:dyDescent="0.2">
      <c r="A1776" s="5">
        <v>1715</v>
      </c>
      <c r="B1776" s="138">
        <f>'Tax Sched 23'!C4</f>
        <v>2210832</v>
      </c>
      <c r="D1776" s="2" t="str">
        <f t="shared" si="26"/>
        <v>Error?</v>
      </c>
    </row>
    <row r="1777" spans="1:4" x14ac:dyDescent="0.2">
      <c r="A1777" s="5">
        <v>1716</v>
      </c>
      <c r="B1777" s="138">
        <f>'Tax Sched 23'!C5</f>
        <v>285351</v>
      </c>
      <c r="D1777" s="2" t="str">
        <f t="shared" si="26"/>
        <v>Error?</v>
      </c>
    </row>
    <row r="1778" spans="1:4" x14ac:dyDescent="0.2">
      <c r="A1778" s="5">
        <v>1717</v>
      </c>
      <c r="B1778" s="138">
        <f>'Tax Sched 23'!C6</f>
        <v>187789</v>
      </c>
      <c r="D1778" s="2" t="str">
        <f t="shared" si="26"/>
        <v>Error?</v>
      </c>
    </row>
    <row r="1779" spans="1:4" x14ac:dyDescent="0.2">
      <c r="A1779" s="5">
        <v>1718</v>
      </c>
      <c r="B1779" s="138">
        <f>'Tax Sched 23'!C7</f>
        <v>1285</v>
      </c>
      <c r="D1779" s="2" t="str">
        <f t="shared" si="26"/>
        <v>Error?</v>
      </c>
    </row>
    <row r="1780" spans="1:4" x14ac:dyDescent="0.2">
      <c r="A1780" s="5">
        <v>1719</v>
      </c>
      <c r="B1780" s="138">
        <f>'Tax Sched 23'!C8</f>
        <v>60670</v>
      </c>
      <c r="D1780" s="2" t="str">
        <f t="shared" si="26"/>
        <v>Error?</v>
      </c>
    </row>
    <row r="1781" spans="1:4" x14ac:dyDescent="0.2">
      <c r="A1781" s="5">
        <v>1720</v>
      </c>
      <c r="B1781" s="138">
        <f>'Tax Sched 23'!C10</f>
        <v>26222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37533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192806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3065728</v>
      </c>
      <c r="C1791" s="2" t="s">
        <v>594</v>
      </c>
      <c r="D1791" s="2" t="str">
        <f t="shared" ref="D1791:D1854" si="27">IF(ISBLANK(B1791),"OK",IF(A1791-B1791=0,"OK","Error?"))</f>
        <v>Error?</v>
      </c>
    </row>
    <row r="1792" spans="1:4" x14ac:dyDescent="0.2">
      <c r="A1792" s="5">
        <v>1731</v>
      </c>
      <c r="B1792" s="138">
        <f>'Tax Sched 23'!F4</f>
        <v>1975278</v>
      </c>
      <c r="C1792" s="2" t="s">
        <v>594</v>
      </c>
      <c r="D1792" s="2" t="str">
        <f t="shared" si="27"/>
        <v>Error?</v>
      </c>
    </row>
    <row r="1793" spans="1:4" x14ac:dyDescent="0.2">
      <c r="A1793" s="5">
        <v>1732</v>
      </c>
      <c r="B1793" s="138">
        <f>'Tax Sched 23'!F5</f>
        <v>254949</v>
      </c>
      <c r="C1793" s="2" t="s">
        <v>594</v>
      </c>
      <c r="D1793" s="2" t="str">
        <f t="shared" si="27"/>
        <v>Error?</v>
      </c>
    </row>
    <row r="1794" spans="1:4" x14ac:dyDescent="0.2">
      <c r="A1794" s="5">
        <v>1733</v>
      </c>
      <c r="B1794" s="138">
        <f>'Tax Sched 23'!F6</f>
        <v>167781</v>
      </c>
      <c r="C1794" s="2" t="s">
        <v>594</v>
      </c>
      <c r="D1794" s="2" t="str">
        <f t="shared" si="27"/>
        <v>Error?</v>
      </c>
    </row>
    <row r="1795" spans="1:4" x14ac:dyDescent="0.2">
      <c r="A1795" s="5">
        <v>1734</v>
      </c>
      <c r="B1795" s="138">
        <f>'Tax Sched 23'!F7</f>
        <v>1149</v>
      </c>
      <c r="C1795" s="2" t="s">
        <v>594</v>
      </c>
      <c r="D1795" s="2" t="str">
        <f t="shared" si="27"/>
        <v>Error?</v>
      </c>
    </row>
    <row r="1796" spans="1:4" x14ac:dyDescent="0.2">
      <c r="A1796" s="5">
        <v>1735</v>
      </c>
      <c r="B1796" s="138">
        <f>'Tax Sched 23'!F8</f>
        <v>54206</v>
      </c>
      <c r="C1796" s="2" t="s">
        <v>594</v>
      </c>
      <c r="D1796" s="2" t="str">
        <f t="shared" si="27"/>
        <v>Error?</v>
      </c>
    </row>
    <row r="1797" spans="1:4" x14ac:dyDescent="0.2">
      <c r="A1797" s="5">
        <v>1736</v>
      </c>
      <c r="B1797" s="138">
        <f>'Tax Sched 23'!F10</f>
        <v>23428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33534</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172263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2739090</v>
      </c>
      <c r="C1807" s="2" t="s">
        <v>594</v>
      </c>
      <c r="D1807" s="2" t="str">
        <f t="shared" si="27"/>
        <v>Error?</v>
      </c>
    </row>
    <row r="1808" spans="1:4" x14ac:dyDescent="0.2">
      <c r="A1808" s="5">
        <v>1747</v>
      </c>
      <c r="B1808" s="138">
        <f>'Tax Sched 23'!E4</f>
        <v>4186110</v>
      </c>
      <c r="D1808" s="2" t="str">
        <f t="shared" si="27"/>
        <v>Error?</v>
      </c>
    </row>
    <row r="1809" spans="1:4" x14ac:dyDescent="0.2">
      <c r="A1809" s="5">
        <v>1748</v>
      </c>
      <c r="B1809" s="138">
        <f>'Tax Sched 23'!E5</f>
        <v>540300</v>
      </c>
      <c r="D1809" s="2" t="str">
        <f t="shared" si="27"/>
        <v>Error?</v>
      </c>
    </row>
    <row r="1810" spans="1:4" x14ac:dyDescent="0.2">
      <c r="A1810" s="5">
        <v>1749</v>
      </c>
      <c r="B1810" s="138">
        <f>'Tax Sched 23'!E6</f>
        <v>355570</v>
      </c>
      <c r="D1810" s="2" t="str">
        <f t="shared" si="27"/>
        <v>Error?</v>
      </c>
    </row>
    <row r="1811" spans="1:4" x14ac:dyDescent="0.2">
      <c r="A1811" s="5">
        <v>1750</v>
      </c>
      <c r="B1811" s="138">
        <f>'Tax Sched 23'!E7</f>
        <v>2434</v>
      </c>
      <c r="D1811" s="2" t="str">
        <f t="shared" si="27"/>
        <v>Error?</v>
      </c>
    </row>
    <row r="1812" spans="1:4" x14ac:dyDescent="0.2">
      <c r="A1812" s="5">
        <v>1751</v>
      </c>
      <c r="B1812" s="138">
        <f>'Tax Sched 23'!E8</f>
        <v>114876</v>
      </c>
      <c r="D1812" s="2" t="str">
        <f t="shared" si="27"/>
        <v>Error?</v>
      </c>
    </row>
    <row r="1813" spans="1:4" x14ac:dyDescent="0.2">
      <c r="A1813" s="5">
        <v>1752</v>
      </c>
      <c r="B1813" s="138">
        <f>'Tax Sched 23'!E10</f>
        <v>49650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71067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365069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5804818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1620000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367387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367387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367387</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321274</v>
      </c>
      <c r="D2008" s="2" t="str">
        <f t="shared" si="30"/>
        <v>Error?</v>
      </c>
    </row>
    <row r="2009" spans="1:4" x14ac:dyDescent="0.2">
      <c r="A2009" s="5">
        <v>1948</v>
      </c>
      <c r="B2009" s="138">
        <f>'Cap Outlay Deprec 26'!C8</f>
        <v>10070423</v>
      </c>
      <c r="D2009" s="2" t="str">
        <f t="shared" si="30"/>
        <v>Error?</v>
      </c>
    </row>
    <row r="2010" spans="1:4" x14ac:dyDescent="0.2">
      <c r="A2010" s="5">
        <v>1949</v>
      </c>
      <c r="B2010" s="138">
        <f>'Cap Outlay Deprec 26'!C10</f>
        <v>280929</v>
      </c>
      <c r="D2010" s="2" t="str">
        <f t="shared" si="30"/>
        <v>Error?</v>
      </c>
    </row>
    <row r="2011" spans="1:4" x14ac:dyDescent="0.2">
      <c r="A2011" s="5">
        <v>1950</v>
      </c>
      <c r="B2011" s="138">
        <f>'Cap Outlay Deprec 26'!C12</f>
        <v>882378</v>
      </c>
      <c r="D2011" s="2" t="str">
        <f t="shared" si="30"/>
        <v>Error?</v>
      </c>
    </row>
    <row r="2012" spans="1:4" x14ac:dyDescent="0.2">
      <c r="A2012" s="5">
        <v>1951</v>
      </c>
      <c r="B2012" s="138">
        <f>'Cap Outlay Deprec 26'!C13</f>
        <v>230755</v>
      </c>
      <c r="D2012" s="2" t="str">
        <f t="shared" si="30"/>
        <v>Error?</v>
      </c>
    </row>
    <row r="2013" spans="1:4" x14ac:dyDescent="0.2">
      <c r="A2013" s="5">
        <v>1952</v>
      </c>
      <c r="B2013" s="138">
        <f>'Cap Outlay Deprec 26'!C16</f>
        <v>11785759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195100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32281</v>
      </c>
      <c r="D2017" s="2" t="str">
        <f t="shared" si="30"/>
        <v>Error?</v>
      </c>
    </row>
    <row r="2018" spans="1:4" x14ac:dyDescent="0.2">
      <c r="A2018" s="5">
        <v>1957</v>
      </c>
      <c r="B2018" s="138">
        <f>'Cap Outlay Deprec 26'!D13</f>
        <v>8958</v>
      </c>
      <c r="D2018" s="2" t="str">
        <f t="shared" si="30"/>
        <v>Error?</v>
      </c>
    </row>
    <row r="2019" spans="1:4" x14ac:dyDescent="0.2">
      <c r="A2019" s="5">
        <v>1958</v>
      </c>
      <c r="B2019" s="138">
        <f>'Cap Outlay Deprec 26'!D16</f>
        <v>236339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321274</v>
      </c>
      <c r="C2026" s="2" t="s">
        <v>594</v>
      </c>
      <c r="D2026" s="2" t="str">
        <f t="shared" si="30"/>
        <v>Error?</v>
      </c>
    </row>
    <row r="2027" spans="1:4" x14ac:dyDescent="0.2">
      <c r="A2027" s="5">
        <v>1966</v>
      </c>
      <c r="B2027" s="138">
        <f>'Cap Outlay Deprec 26'!F8</f>
        <v>10265523</v>
      </c>
      <c r="C2027" s="2" t="s">
        <v>594</v>
      </c>
      <c r="D2027" s="2" t="str">
        <f t="shared" si="30"/>
        <v>Error?</v>
      </c>
    </row>
    <row r="2028" spans="1:4" x14ac:dyDescent="0.2">
      <c r="A2028" s="5">
        <v>1967</v>
      </c>
      <c r="B2028" s="138">
        <f>'Cap Outlay Deprec 26'!F10</f>
        <v>280929</v>
      </c>
      <c r="C2028" s="2" t="s">
        <v>594</v>
      </c>
      <c r="D2028" s="2" t="str">
        <f t="shared" si="30"/>
        <v>Error?</v>
      </c>
    </row>
    <row r="2029" spans="1:4" x14ac:dyDescent="0.2">
      <c r="A2029" s="5">
        <v>1968</v>
      </c>
      <c r="B2029" s="138">
        <f>'Cap Outlay Deprec 26'!F12</f>
        <v>914659</v>
      </c>
      <c r="C2029" s="2" t="s">
        <v>594</v>
      </c>
      <c r="D2029" s="2" t="str">
        <f t="shared" si="30"/>
        <v>Error?</v>
      </c>
    </row>
    <row r="2030" spans="1:4" x14ac:dyDescent="0.2">
      <c r="A2030" s="5">
        <v>1969</v>
      </c>
      <c r="B2030" s="138">
        <f>'Cap Outlay Deprec 26'!F13</f>
        <v>239713</v>
      </c>
      <c r="C2030" s="2" t="s">
        <v>594</v>
      </c>
      <c r="D2030" s="2" t="str">
        <f t="shared" si="30"/>
        <v>Error?</v>
      </c>
    </row>
    <row r="2031" spans="1:4" x14ac:dyDescent="0.2">
      <c r="A2031" s="5">
        <v>1970</v>
      </c>
      <c r="B2031" s="138">
        <f>'Cap Outlay Deprec 26'!F16</f>
        <v>12022098</v>
      </c>
      <c r="C2031" s="2" t="s">
        <v>594</v>
      </c>
      <c r="D2031" s="2" t="str">
        <f t="shared" si="30"/>
        <v>Error?</v>
      </c>
    </row>
    <row r="2032" spans="1:4" x14ac:dyDescent="0.2">
      <c r="A2032" s="10">
        <v>1971</v>
      </c>
      <c r="D2032" s="2" t="str">
        <f t="shared" si="30"/>
        <v>OK</v>
      </c>
    </row>
    <row r="2033" spans="1:4" x14ac:dyDescent="0.2">
      <c r="A2033" s="5">
        <v>1972</v>
      </c>
      <c r="B2033" s="138">
        <f>'Cap Outlay Deprec 26'!H8</f>
        <v>4840545</v>
      </c>
      <c r="D2033" s="2" t="str">
        <f t="shared" si="30"/>
        <v>Error?</v>
      </c>
    </row>
    <row r="2034" spans="1:4" x14ac:dyDescent="0.2">
      <c r="A2034" s="5">
        <v>1973</v>
      </c>
      <c r="B2034" s="138">
        <f>'Cap Outlay Deprec 26'!H10</f>
        <v>167096</v>
      </c>
      <c r="D2034" s="2" t="str">
        <f t="shared" si="30"/>
        <v>Error?</v>
      </c>
    </row>
    <row r="2035" spans="1:4" x14ac:dyDescent="0.2">
      <c r="A2035" s="5">
        <v>1974</v>
      </c>
      <c r="B2035" s="138">
        <f>'Cap Outlay Deprec 26'!H12</f>
        <v>685679</v>
      </c>
      <c r="D2035" s="2" t="str">
        <f t="shared" si="30"/>
        <v>Error?</v>
      </c>
    </row>
    <row r="2036" spans="1:4" x14ac:dyDescent="0.2">
      <c r="A2036" s="5">
        <v>1975</v>
      </c>
      <c r="B2036" s="138">
        <f>'Cap Outlay Deprec 26'!H13</f>
        <v>149713</v>
      </c>
      <c r="D2036" s="2" t="str">
        <f t="shared" si="30"/>
        <v>Error?</v>
      </c>
    </row>
    <row r="2037" spans="1:4" x14ac:dyDescent="0.2">
      <c r="A2037" s="5">
        <v>1976</v>
      </c>
      <c r="B2037" s="138">
        <f>'Cap Outlay Deprec 26'!H16</f>
        <v>5843033</v>
      </c>
      <c r="C2037" s="2" t="s">
        <v>594</v>
      </c>
      <c r="D2037" s="2" t="str">
        <f t="shared" si="30"/>
        <v>Error?</v>
      </c>
    </row>
    <row r="2038" spans="1:4" x14ac:dyDescent="0.2">
      <c r="A2038" s="10">
        <v>1977</v>
      </c>
      <c r="D2038" s="2" t="str">
        <f t="shared" si="30"/>
        <v>OK</v>
      </c>
    </row>
    <row r="2039" spans="1:4" x14ac:dyDescent="0.2">
      <c r="A2039" s="5">
        <v>1978</v>
      </c>
      <c r="B2039" s="138">
        <f>'Cap Outlay Deprec 26'!I8</f>
        <v>10426</v>
      </c>
      <c r="D2039" s="2" t="str">
        <f t="shared" si="30"/>
        <v>Error?</v>
      </c>
    </row>
    <row r="2040" spans="1:4" x14ac:dyDescent="0.2">
      <c r="A2040" s="5">
        <v>1979</v>
      </c>
      <c r="B2040" s="138">
        <f>'Cap Outlay Deprec 26'!I10</f>
        <v>246854</v>
      </c>
      <c r="D2040" s="2" t="str">
        <f t="shared" si="30"/>
        <v>Error?</v>
      </c>
    </row>
    <row r="2041" spans="1:4" x14ac:dyDescent="0.2">
      <c r="A2041" s="5">
        <v>1980</v>
      </c>
      <c r="B2041" s="138">
        <f>'Cap Outlay Deprec 26'!I12</f>
        <v>40970</v>
      </c>
      <c r="D2041" s="2" t="str">
        <f t="shared" si="30"/>
        <v>Error?</v>
      </c>
    </row>
    <row r="2042" spans="1:4" x14ac:dyDescent="0.2">
      <c r="A2042" s="5">
        <v>1981</v>
      </c>
      <c r="B2042" s="138">
        <f>'Cap Outlay Deprec 26'!I13</f>
        <v>1337</v>
      </c>
      <c r="D2042" s="2" t="str">
        <f t="shared" si="30"/>
        <v>Error?</v>
      </c>
    </row>
    <row r="2043" spans="1:4" x14ac:dyDescent="0.2">
      <c r="A2043" s="5">
        <v>1982</v>
      </c>
      <c r="B2043" s="138">
        <f>'Cap Outlay Deprec 26'!I16</f>
        <v>299587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4850971</v>
      </c>
      <c r="C2051" s="2" t="s">
        <v>594</v>
      </c>
      <c r="D2051" s="2" t="str">
        <f t="shared" si="31"/>
        <v>Error?</v>
      </c>
    </row>
    <row r="2052" spans="1:4" x14ac:dyDescent="0.2">
      <c r="A2052" s="5">
        <v>1991</v>
      </c>
      <c r="B2052" s="138">
        <f>'Cap Outlay Deprec 26'!K10</f>
        <v>413950</v>
      </c>
      <c r="C2052" s="2" t="s">
        <v>594</v>
      </c>
      <c r="D2052" s="2" t="str">
        <f t="shared" si="31"/>
        <v>Error?</v>
      </c>
    </row>
    <row r="2053" spans="1:4" x14ac:dyDescent="0.2">
      <c r="A2053" s="5">
        <v>1992</v>
      </c>
      <c r="B2053" s="138">
        <f>'Cap Outlay Deprec 26'!K12</f>
        <v>726649</v>
      </c>
      <c r="C2053" s="2" t="s">
        <v>594</v>
      </c>
      <c r="D2053" s="2" t="str">
        <f t="shared" si="31"/>
        <v>Error?</v>
      </c>
    </row>
    <row r="2054" spans="1:4" x14ac:dyDescent="0.2">
      <c r="A2054" s="5">
        <v>1993</v>
      </c>
      <c r="B2054" s="138">
        <f>'Cap Outlay Deprec 26'!K13</f>
        <v>151050</v>
      </c>
      <c r="C2054" s="2" t="s">
        <v>594</v>
      </c>
      <c r="D2054" s="2" t="str">
        <f t="shared" si="31"/>
        <v>Error?</v>
      </c>
    </row>
    <row r="2055" spans="1:4" x14ac:dyDescent="0.2">
      <c r="A2055" s="5">
        <v>1994</v>
      </c>
      <c r="B2055" s="138">
        <f>'Cap Outlay Deprec 26'!K16</f>
        <v>6142620</v>
      </c>
      <c r="C2055" s="2" t="s">
        <v>594</v>
      </c>
      <c r="D2055" s="2" t="str">
        <f t="shared" si="31"/>
        <v>Error?</v>
      </c>
    </row>
    <row r="2056" spans="1:4" x14ac:dyDescent="0.2">
      <c r="A2056" s="5">
        <v>1995</v>
      </c>
      <c r="B2056" s="138">
        <f>'Cap Outlay Deprec 26'!L5</f>
        <v>321274</v>
      </c>
      <c r="C2056" s="2" t="s">
        <v>594</v>
      </c>
      <c r="D2056" s="2" t="str">
        <f t="shared" si="31"/>
        <v>Error?</v>
      </c>
    </row>
    <row r="2057" spans="1:4" x14ac:dyDescent="0.2">
      <c r="A2057" s="5">
        <v>1996</v>
      </c>
      <c r="B2057" s="138">
        <f>'Cap Outlay Deprec 26'!L8</f>
        <v>5414552</v>
      </c>
      <c r="C2057" s="2" t="s">
        <v>594</v>
      </c>
      <c r="D2057" s="2" t="str">
        <f t="shared" si="31"/>
        <v>Error?</v>
      </c>
    </row>
    <row r="2058" spans="1:4" x14ac:dyDescent="0.2">
      <c r="A2058" s="5">
        <v>1997</v>
      </c>
      <c r="B2058" s="138">
        <f>'Cap Outlay Deprec 26'!L10</f>
        <v>-133021</v>
      </c>
      <c r="C2058" s="2" t="s">
        <v>594</v>
      </c>
      <c r="D2058" s="2" t="str">
        <f t="shared" si="31"/>
        <v>Error?</v>
      </c>
    </row>
    <row r="2059" spans="1:4" x14ac:dyDescent="0.2">
      <c r="A2059" s="5">
        <v>1998</v>
      </c>
      <c r="B2059" s="138">
        <f>'Cap Outlay Deprec 26'!L12</f>
        <v>188010</v>
      </c>
      <c r="C2059" s="2" t="s">
        <v>594</v>
      </c>
      <c r="D2059" s="2" t="str">
        <f t="shared" si="31"/>
        <v>Error?</v>
      </c>
    </row>
    <row r="2060" spans="1:4" x14ac:dyDescent="0.2">
      <c r="A2060" s="5">
        <v>1999</v>
      </c>
      <c r="B2060" s="138">
        <f>'Cap Outlay Deprec 26'!L13</f>
        <v>88663</v>
      </c>
      <c r="C2060" s="2" t="s">
        <v>594</v>
      </c>
      <c r="D2060" s="2" t="str">
        <f t="shared" si="31"/>
        <v>Error?</v>
      </c>
    </row>
    <row r="2061" spans="1:4" x14ac:dyDescent="0.2">
      <c r="A2061" s="5">
        <v>2000</v>
      </c>
      <c r="B2061" s="138">
        <f>'Cap Outlay Deprec 26'!L16</f>
        <v>5879478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61551</v>
      </c>
      <c r="C2088" s="2" t="s">
        <v>594</v>
      </c>
      <c r="D2088" s="2" t="str">
        <f t="shared" si="31"/>
        <v>Error?</v>
      </c>
    </row>
    <row r="2089" spans="1:4" x14ac:dyDescent="0.2">
      <c r="A2089" s="5">
        <v>2028</v>
      </c>
      <c r="B2089" s="138">
        <f>'Expenditures 15-22'!K92</f>
        <v>419918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173823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4494794</v>
      </c>
      <c r="C2551" s="2" t="s">
        <v>594</v>
      </c>
      <c r="D2551" s="2" t="str">
        <f t="shared" si="38"/>
        <v>Error?</v>
      </c>
    </row>
    <row r="2552" spans="1:4" x14ac:dyDescent="0.2">
      <c r="A2552" s="10">
        <v>2491</v>
      </c>
      <c r="D2552" s="2" t="str">
        <f t="shared" si="38"/>
        <v>OK</v>
      </c>
    </row>
    <row r="2553" spans="1:4" x14ac:dyDescent="0.2">
      <c r="A2553" s="5">
        <v>2492</v>
      </c>
      <c r="B2553" s="138">
        <f>'Acct Summary 7-8'!C6</f>
        <v>1175779</v>
      </c>
      <c r="C2553" s="2" t="s">
        <v>594</v>
      </c>
      <c r="D2553" s="2" t="str">
        <f t="shared" si="38"/>
        <v>Error?</v>
      </c>
    </row>
    <row r="2554" spans="1:4" x14ac:dyDescent="0.2">
      <c r="A2554" s="5">
        <v>2493</v>
      </c>
      <c r="B2554" s="138">
        <f>'Acct Summary 7-8'!C7</f>
        <v>200184</v>
      </c>
      <c r="C2554" s="2" t="s">
        <v>594</v>
      </c>
      <c r="D2554" s="2" t="str">
        <f t="shared" si="38"/>
        <v>Error?</v>
      </c>
    </row>
    <row r="2555" spans="1:4" x14ac:dyDescent="0.2">
      <c r="A2555" s="5">
        <v>2494</v>
      </c>
      <c r="B2555" s="138">
        <f>'Acct Summary 7-8'!C8</f>
        <v>5870757</v>
      </c>
      <c r="C2555" s="2" t="s">
        <v>594</v>
      </c>
      <c r="D2555" s="2" t="str">
        <f t="shared" si="38"/>
        <v>Error?</v>
      </c>
    </row>
    <row r="2556" spans="1:4" x14ac:dyDescent="0.2">
      <c r="A2556" s="5">
        <v>2495</v>
      </c>
      <c r="B2556" s="138">
        <f>'Acct Summary 7-8'!C12</f>
        <v>3052166</v>
      </c>
      <c r="C2556" s="2" t="s">
        <v>594</v>
      </c>
      <c r="D2556" s="2" t="str">
        <f t="shared" si="38"/>
        <v>Error?</v>
      </c>
    </row>
    <row r="2557" spans="1:4" x14ac:dyDescent="0.2">
      <c r="A2557" s="5">
        <v>2496</v>
      </c>
      <c r="B2557" s="138">
        <f>'Acct Summary 7-8'!C13</f>
        <v>1714628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481469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5248263</v>
      </c>
      <c r="C2561" s="2" t="s">
        <v>594</v>
      </c>
      <c r="D2561" s="2" t="str">
        <f t="shared" si="39"/>
        <v>Error?</v>
      </c>
    </row>
    <row r="2562" spans="1:4" x14ac:dyDescent="0.2">
      <c r="A2562" s="5">
        <v>2501</v>
      </c>
      <c r="B2562" s="138">
        <f>'Acct Summary 7-8'!C20</f>
        <v>622494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595334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595334</v>
      </c>
      <c r="C2568" s="2" t="s">
        <v>594</v>
      </c>
      <c r="D2568" s="2" t="str">
        <f t="shared" si="39"/>
        <v>Error?</v>
      </c>
    </row>
    <row r="2569" spans="1:4" x14ac:dyDescent="0.2">
      <c r="A2569" s="5">
        <v>2508</v>
      </c>
      <c r="B2569" s="138">
        <f>'Acct Summary 7-8'!D13</f>
        <v>483839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483839</v>
      </c>
      <c r="C2573" s="2" t="s">
        <v>594</v>
      </c>
      <c r="D2573" s="2" t="str">
        <f t="shared" si="39"/>
        <v>Error?</v>
      </c>
    </row>
    <row r="2574" spans="1:4" x14ac:dyDescent="0.2">
      <c r="A2574" s="5">
        <v>2513</v>
      </c>
      <c r="B2574" s="138">
        <f>'Acct Summary 7-8'!D20</f>
        <v>111495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351059</v>
      </c>
      <c r="C2591" s="2" t="s">
        <v>594</v>
      </c>
      <c r="D2591" s="2" t="str">
        <f t="shared" si="39"/>
        <v>Error?</v>
      </c>
    </row>
    <row r="2592" spans="1:4" x14ac:dyDescent="0.2">
      <c r="A2592" s="10">
        <v>2531</v>
      </c>
      <c r="D2592" s="2" t="str">
        <f t="shared" si="39"/>
        <v>OK</v>
      </c>
    </row>
    <row r="2593" spans="1:4" x14ac:dyDescent="0.2">
      <c r="A2593" s="5">
        <v>2532</v>
      </c>
      <c r="B2593" s="138">
        <f>'Acct Summary 7-8'!F6</f>
        <v>193582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544641</v>
      </c>
      <c r="C2595" s="2" t="s">
        <v>594</v>
      </c>
      <c r="D2595" s="2" t="str">
        <f t="shared" si="39"/>
        <v>Error?</v>
      </c>
    </row>
    <row r="2596" spans="1:4" x14ac:dyDescent="0.2">
      <c r="A2596" s="5">
        <v>2535</v>
      </c>
      <c r="B2596" s="138">
        <f>'Acct Summary 7-8'!F13</f>
        <v>291286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1573</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292859</v>
      </c>
      <c r="C2600" s="2" t="s">
        <v>594</v>
      </c>
      <c r="D2600" s="2" t="str">
        <f t="shared" si="39"/>
        <v>Error?</v>
      </c>
    </row>
    <row r="2601" spans="1:4" x14ac:dyDescent="0.2">
      <c r="A2601" s="5">
        <v>2540</v>
      </c>
      <c r="B2601" s="138">
        <f>'Acct Summary 7-8'!F20</f>
        <v>251782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246585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246585</v>
      </c>
      <c r="C2606" s="2" t="s">
        <v>594</v>
      </c>
      <c r="D2606" s="2" t="str">
        <f t="shared" si="39"/>
        <v>Error?</v>
      </c>
    </row>
    <row r="2607" spans="1:4" x14ac:dyDescent="0.2">
      <c r="A2607" s="5">
        <v>2546</v>
      </c>
      <c r="B2607" s="138">
        <f>'Acct Summary 7-8'!G12</f>
        <v>73162</v>
      </c>
      <c r="C2607" s="2" t="s">
        <v>594</v>
      </c>
      <c r="D2607" s="2" t="str">
        <f t="shared" si="39"/>
        <v>Error?</v>
      </c>
    </row>
    <row r="2608" spans="1:4" x14ac:dyDescent="0.2">
      <c r="A2608" s="5">
        <v>2547</v>
      </c>
      <c r="B2608" s="138">
        <f>'Acct Summary 7-8'!G13</f>
        <v>140071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213233</v>
      </c>
      <c r="C2612" s="2" t="s">
        <v>594</v>
      </c>
      <c r="D2612" s="2" t="str">
        <f t="shared" si="39"/>
        <v>Error?</v>
      </c>
    </row>
    <row r="2613" spans="1:4" x14ac:dyDescent="0.2">
      <c r="A2613" s="5">
        <v>2552</v>
      </c>
      <c r="B2613" s="138">
        <f>'Acct Summary 7-8'!G20</f>
        <v>33352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359452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359452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497145</v>
      </c>
      <c r="C2634" s="2" t="s">
        <v>594</v>
      </c>
      <c r="D2634" s="2" t="str">
        <f t="shared" si="40"/>
        <v>Error?</v>
      </c>
    </row>
    <row r="2635" spans="1:4" x14ac:dyDescent="0.2">
      <c r="A2635" s="5">
        <v>2574</v>
      </c>
      <c r="B2635" s="138">
        <f>'Acct Summary 7-8'!E17</f>
        <v>497145</v>
      </c>
      <c r="C2635" s="2" t="s">
        <v>594</v>
      </c>
      <c r="D2635" s="2" t="str">
        <f t="shared" si="40"/>
        <v>Error?</v>
      </c>
    </row>
    <row r="2636" spans="1:4" x14ac:dyDescent="0.2">
      <c r="A2636" s="5">
        <v>2575</v>
      </c>
      <c r="B2636" s="138">
        <f>'Acct Summary 7-8'!E20</f>
        <v>-137693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76000</v>
      </c>
      <c r="D2718" s="2" t="str">
        <f t="shared" si="41"/>
        <v>Error?</v>
      </c>
    </row>
    <row r="2719" spans="1:4" x14ac:dyDescent="0.2">
      <c r="A2719" s="5">
        <v>2658</v>
      </c>
      <c r="B2719" s="138">
        <f>'Expenditures 15-22'!D51</f>
        <v>31168</v>
      </c>
      <c r="D2719" s="2" t="str">
        <f t="shared" si="41"/>
        <v>Error?</v>
      </c>
    </row>
    <row r="2720" spans="1:4" x14ac:dyDescent="0.2">
      <c r="A2720" s="5">
        <v>2659</v>
      </c>
      <c r="B2720" s="138">
        <f>'Expenditures 15-22'!E51</f>
        <v>1224</v>
      </c>
      <c r="D2720" s="2" t="str">
        <f t="shared" si="41"/>
        <v>Error?</v>
      </c>
    </row>
    <row r="2721" spans="1:4" x14ac:dyDescent="0.2">
      <c r="A2721" s="5">
        <v>2660</v>
      </c>
      <c r="B2721" s="138">
        <f>'Expenditures 15-22'!F51</f>
        <v>3221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113110</v>
      </c>
      <c r="C2724" s="2" t="s">
        <v>594</v>
      </c>
      <c r="D2724" s="2" t="str">
        <f t="shared" si="41"/>
        <v>Error?</v>
      </c>
    </row>
    <row r="2725" spans="1:4" x14ac:dyDescent="0.2">
      <c r="A2725" s="5">
        <v>2664</v>
      </c>
      <c r="B2725" s="138">
        <f>'Expenditures 15-22'!D247</f>
        <v>1073</v>
      </c>
      <c r="D2725" s="2" t="str">
        <f t="shared" si="41"/>
        <v>Error?</v>
      </c>
    </row>
    <row r="2726" spans="1:4" x14ac:dyDescent="0.2">
      <c r="A2726" s="5">
        <v>2665</v>
      </c>
      <c r="B2726" s="138">
        <f>'Expenditures 15-22'!K247</f>
        <v>1073</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61551</v>
      </c>
      <c r="C2789" s="2" t="s">
        <v>594</v>
      </c>
      <c r="D2789" s="2" t="str">
        <f t="shared" si="42"/>
        <v>Error?</v>
      </c>
    </row>
    <row r="2790" spans="1:4" x14ac:dyDescent="0.2">
      <c r="A2790" s="5">
        <v>2729</v>
      </c>
      <c r="B2790" s="138">
        <f>'Expenditures 15-22'!E102</f>
        <v>61551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1573</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1573</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837333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16162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837333</v>
      </c>
      <c r="D2912" s="2" t="str">
        <f t="shared" si="44"/>
        <v>Error?</v>
      </c>
    </row>
    <row r="2913" spans="1:4" x14ac:dyDescent="0.2">
      <c r="A2913" s="5">
        <v>2852</v>
      </c>
      <c r="B2913" s="138">
        <f>'Assets-Liab 5-6'!I41</f>
        <v>837333</v>
      </c>
      <c r="C2913" s="2" t="s">
        <v>594</v>
      </c>
      <c r="D2913" s="2" t="str">
        <f t="shared" si="44"/>
        <v>Error?</v>
      </c>
    </row>
    <row r="2914" spans="1:4" x14ac:dyDescent="0.2">
      <c r="A2914" s="5">
        <v>2853</v>
      </c>
      <c r="B2914" s="138">
        <f>'Assets-Liab 5-6'!L33</f>
        <v>16162</v>
      </c>
      <c r="D2914" s="2" t="str">
        <f t="shared" si="44"/>
        <v>Error?</v>
      </c>
    </row>
    <row r="2915" spans="1:4" x14ac:dyDescent="0.2">
      <c r="A2915" s="10">
        <v>2854</v>
      </c>
      <c r="D2915" s="2" t="str">
        <f t="shared" si="44"/>
        <v>OK</v>
      </c>
    </row>
    <row r="2916" spans="1:4" x14ac:dyDescent="0.2">
      <c r="A2916" s="5">
        <v>2855</v>
      </c>
      <c r="B2916" s="138">
        <f>'Assets-Liab 5-6'!L34</f>
        <v>16162</v>
      </c>
      <c r="C2916" s="2" t="s">
        <v>594</v>
      </c>
      <c r="D2916" s="2" t="str">
        <f t="shared" si="44"/>
        <v>Error?</v>
      </c>
    </row>
    <row r="2917" spans="1:4" x14ac:dyDescent="0.2">
      <c r="A2917" s="5">
        <v>2856</v>
      </c>
      <c r="B2917" s="138">
        <f>'Assets-Liab 5-6'!L41</f>
        <v>16162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61551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61551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1573</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1573</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82927</v>
      </c>
      <c r="D3055" s="2" t="str">
        <f t="shared" si="46"/>
        <v>Error?</v>
      </c>
    </row>
    <row r="3056" spans="1:4" x14ac:dyDescent="0.2">
      <c r="A3056" s="5">
        <v>2995</v>
      </c>
      <c r="B3056" s="138">
        <f>'Expenditures 15-22'!D10</f>
        <v>21384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492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104803</v>
      </c>
      <c r="C3062" s="2" t="s">
        <v>594</v>
      </c>
      <c r="D3062" s="2" t="str">
        <f t="shared" si="46"/>
        <v>Error?</v>
      </c>
    </row>
    <row r="3063" spans="1:4" x14ac:dyDescent="0.2">
      <c r="A3063" s="10">
        <v>3002</v>
      </c>
      <c r="D3063" s="2" t="str">
        <f t="shared" si="46"/>
        <v>OK</v>
      </c>
    </row>
    <row r="3064" spans="1:4" x14ac:dyDescent="0.2">
      <c r="A3064" s="5">
        <v>3003</v>
      </c>
      <c r="B3064" s="138">
        <f>'Expenditures 15-22'!D219</f>
        <v>4506</v>
      </c>
      <c r="D3064" s="2" t="str">
        <f t="shared" si="46"/>
        <v>Error?</v>
      </c>
    </row>
    <row r="3065" spans="1:4" x14ac:dyDescent="0.2">
      <c r="A3065" s="5">
        <v>3004</v>
      </c>
      <c r="B3065" s="138">
        <f>'Expenditures 15-22'!K219</f>
        <v>4506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59520</v>
      </c>
      <c r="C3225" s="2" t="s">
        <v>594</v>
      </c>
      <c r="D3225" s="2" t="str">
        <f t="shared" si="49"/>
        <v>Error?</v>
      </c>
    </row>
    <row r="3226" spans="1:4" x14ac:dyDescent="0.2">
      <c r="A3226" s="5">
        <v>3165</v>
      </c>
      <c r="B3226" s="138">
        <f>'Acct Summary 7-8'!I8</f>
        <v>59520</v>
      </c>
      <c r="C3226" s="2" t="s">
        <v>594</v>
      </c>
      <c r="D3226" s="2" t="str">
        <f t="shared" si="49"/>
        <v>Error?</v>
      </c>
    </row>
    <row r="3227" spans="1:4" x14ac:dyDescent="0.2">
      <c r="A3227" s="5">
        <v>3166</v>
      </c>
      <c r="B3227" s="138">
        <f>'Acct Summary 7-8'!I20</f>
        <v>59520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150000</v>
      </c>
      <c r="C3231" s="2" t="s">
        <v>594</v>
      </c>
      <c r="D3231" s="2" t="str">
        <f t="shared" si="49"/>
        <v>Error?</v>
      </c>
    </row>
    <row r="3232" spans="1:4" x14ac:dyDescent="0.2">
      <c r="A3232" s="5">
        <v>3171</v>
      </c>
      <c r="B3232" s="138">
        <f>'Acct Summary 7-8'!C77</f>
        <v>-150000</v>
      </c>
      <c r="C3232" s="2" t="s">
        <v>594</v>
      </c>
      <c r="D3232" s="2" t="str">
        <f t="shared" si="49"/>
        <v>Error?</v>
      </c>
    </row>
    <row r="3233" spans="1:4" x14ac:dyDescent="0.2">
      <c r="A3233" s="5">
        <v>3172</v>
      </c>
      <c r="B3233" s="138">
        <f>'Acct Summary 7-8'!C78</f>
        <v>472494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111495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251782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33352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150000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150000</v>
      </c>
      <c r="C3277" s="2" t="s">
        <v>594</v>
      </c>
      <c r="D3277" s="2" t="str">
        <f t="shared" si="50"/>
        <v>Error?</v>
      </c>
    </row>
    <row r="3278" spans="1:4" x14ac:dyDescent="0.2">
      <c r="A3278" s="5">
        <v>3217</v>
      </c>
      <c r="B3278" s="138">
        <f>'Acct Summary 7-8'!E78</f>
        <v>12307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59520</v>
      </c>
      <c r="C3320" s="2" t="s">
        <v>594</v>
      </c>
      <c r="D3320" s="2" t="str">
        <f t="shared" si="50"/>
        <v>Error?</v>
      </c>
    </row>
    <row r="3321" spans="1:4" x14ac:dyDescent="0.2">
      <c r="A3321" s="5">
        <v>3260</v>
      </c>
      <c r="B3321" s="138">
        <f>'Acct Summary 7-8'!I79</f>
        <v>777813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837333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371575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115021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767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3067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493579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33165</v>
      </c>
      <c r="D3387" s="2" t="str">
        <f t="shared" si="51"/>
        <v>Error?</v>
      </c>
    </row>
    <row r="3388" spans="1:4" x14ac:dyDescent="0.2">
      <c r="A3388" s="5">
        <v>3327</v>
      </c>
      <c r="B3388" s="138">
        <f>'Expenditures 15-22'!D217</f>
        <v>29080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33165</v>
      </c>
      <c r="C3390" s="2" t="s">
        <v>594</v>
      </c>
      <c r="D3390" s="2" t="str">
        <f t="shared" si="51"/>
        <v>Error?</v>
      </c>
    </row>
    <row r="3391" spans="1:4" x14ac:dyDescent="0.2">
      <c r="A3391" s="5">
        <v>3330</v>
      </c>
      <c r="B3391" s="138">
        <f>'Expenditures 15-22'!K217</f>
        <v>29080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3469168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1613568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224335</v>
      </c>
      <c r="D3417" s="2" t="str">
        <f t="shared" si="52"/>
        <v>Error?</v>
      </c>
    </row>
    <row r="3418" spans="1:4" x14ac:dyDescent="0.2">
      <c r="A3418" s="10">
        <v>3357</v>
      </c>
      <c r="D3418" s="2" t="str">
        <f t="shared" si="52"/>
        <v>OK</v>
      </c>
    </row>
    <row r="3419" spans="1:4" x14ac:dyDescent="0.2">
      <c r="A3419" s="5">
        <v>3358</v>
      </c>
      <c r="B3419" s="138">
        <f>'Assets-Liab 5-6'!F4</f>
        <v>739718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296538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837333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16162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119387</v>
      </c>
      <c r="C3446" s="2" t="s">
        <v>594</v>
      </c>
      <c r="D3446" s="2" t="str">
        <f t="shared" si="52"/>
        <v>Error?</v>
      </c>
    </row>
    <row r="3447" spans="1:4" x14ac:dyDescent="0.2">
      <c r="A3447" s="5">
        <v>3386</v>
      </c>
      <c r="B3447" s="138">
        <f>'Tax Sched 23'!D16</f>
        <v>56147</v>
      </c>
      <c r="C3447" s="2" t="s">
        <v>594</v>
      </c>
      <c r="D3447" s="2" t="str">
        <f t="shared" si="52"/>
        <v>Error?</v>
      </c>
    </row>
    <row r="3448" spans="1:4" x14ac:dyDescent="0.2">
      <c r="A3448" s="5">
        <v>3387</v>
      </c>
      <c r="B3448" s="138">
        <f>'Tax Sched 23'!C16</f>
        <v>63240</v>
      </c>
      <c r="D3448" s="2" t="str">
        <f t="shared" si="52"/>
        <v>Error?</v>
      </c>
    </row>
    <row r="3449" spans="1:4" x14ac:dyDescent="0.2">
      <c r="A3449" s="5">
        <v>3388</v>
      </c>
      <c r="B3449" s="138">
        <f>'Tax Sched 23'!F16</f>
        <v>56502</v>
      </c>
      <c r="C3449" s="2" t="s">
        <v>594</v>
      </c>
      <c r="D3449" s="2" t="str">
        <f t="shared" si="52"/>
        <v>Error?</v>
      </c>
    </row>
    <row r="3450" spans="1:4" x14ac:dyDescent="0.2">
      <c r="A3450" s="5">
        <v>3389</v>
      </c>
      <c r="B3450" s="138">
        <f>'Tax Sched 23'!E16</f>
        <v>119742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18368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2088177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7958934</v>
      </c>
      <c r="C4122" s="2" t="s">
        <v>594</v>
      </c>
      <c r="D4122" s="2" t="str">
        <f t="shared" si="63"/>
        <v>Error?</v>
      </c>
    </row>
    <row r="4123" spans="1:4" x14ac:dyDescent="0.2">
      <c r="A4123" s="5">
        <v>4062</v>
      </c>
      <c r="B4123" s="138">
        <f>'Acct Summary 7-8'!D10</f>
        <v>595334</v>
      </c>
      <c r="C4123" s="2" t="s">
        <v>594</v>
      </c>
      <c r="D4123" s="2" t="str">
        <f t="shared" si="63"/>
        <v>Error?</v>
      </c>
    </row>
    <row r="4124" spans="1:4" x14ac:dyDescent="0.2">
      <c r="A4124" s="5">
        <v>4063</v>
      </c>
      <c r="B4124" s="138">
        <f>'Acct Summary 7-8'!E10</f>
        <v>359452</v>
      </c>
      <c r="C4124" s="2" t="s">
        <v>594</v>
      </c>
      <c r="D4124" s="2" t="str">
        <f t="shared" si="63"/>
        <v>Error?</v>
      </c>
    </row>
    <row r="4125" spans="1:4" x14ac:dyDescent="0.2">
      <c r="A4125" s="5">
        <v>4064</v>
      </c>
      <c r="B4125" s="138">
        <f>'Acct Summary 7-8'!F10</f>
        <v>544641</v>
      </c>
      <c r="C4125" s="2" t="s">
        <v>594</v>
      </c>
      <c r="D4125" s="2" t="str">
        <f t="shared" si="63"/>
        <v>Error?</v>
      </c>
    </row>
    <row r="4126" spans="1:4" x14ac:dyDescent="0.2">
      <c r="A4126" s="5">
        <v>4065</v>
      </c>
      <c r="B4126" s="138">
        <f>'Acct Summary 7-8'!G10</f>
        <v>246585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59520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2088177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7336440</v>
      </c>
      <c r="C4136" s="2" t="s">
        <v>594</v>
      </c>
      <c r="D4136" s="2" t="str">
        <f t="shared" si="63"/>
        <v>Error?</v>
      </c>
    </row>
    <row r="4137" spans="1:4" x14ac:dyDescent="0.2">
      <c r="A4137" s="5">
        <v>4076</v>
      </c>
      <c r="B4137" s="138">
        <f>'Acct Summary 7-8'!D19</f>
        <v>483839</v>
      </c>
      <c r="C4137" s="2" t="s">
        <v>594</v>
      </c>
      <c r="D4137" s="2" t="str">
        <f t="shared" si="63"/>
        <v>Error?</v>
      </c>
    </row>
    <row r="4138" spans="1:4" x14ac:dyDescent="0.2">
      <c r="A4138" s="5">
        <v>4077</v>
      </c>
      <c r="B4138" s="138">
        <f>'Acct Summary 7-8'!E19</f>
        <v>497145</v>
      </c>
      <c r="C4138" s="2" t="s">
        <v>594</v>
      </c>
      <c r="D4138" s="2" t="str">
        <f t="shared" si="63"/>
        <v>Error?</v>
      </c>
    </row>
    <row r="4139" spans="1:4" x14ac:dyDescent="0.2">
      <c r="A4139" s="5">
        <v>4078</v>
      </c>
      <c r="B4139" s="138">
        <f>'Acct Summary 7-8'!F19</f>
        <v>292859</v>
      </c>
      <c r="C4139" s="2" t="s">
        <v>594</v>
      </c>
      <c r="D4139" s="2" t="str">
        <f t="shared" si="63"/>
        <v>Error?</v>
      </c>
    </row>
    <row r="4140" spans="1:4" x14ac:dyDescent="0.2">
      <c r="A4140" s="5">
        <v>4079</v>
      </c>
      <c r="B4140" s="138">
        <f>'Acct Summary 7-8'!G19</f>
        <v>213233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1165000</v>
      </c>
      <c r="C4171" s="2" t="s">
        <v>594</v>
      </c>
      <c r="D4171" s="2" t="str">
        <f t="shared" si="64"/>
        <v>Error?</v>
      </c>
    </row>
    <row r="4172" spans="1:4" x14ac:dyDescent="0.2">
      <c r="A4172" s="5">
        <v>4111</v>
      </c>
      <c r="B4172" s="138">
        <f>'Short-Term Long-Term Debt 24'!J49</f>
        <v>940665</v>
      </c>
      <c r="C4172" s="2" t="s">
        <v>594</v>
      </c>
      <c r="D4172" s="2" t="str">
        <f t="shared" si="64"/>
        <v>Error?</v>
      </c>
    </row>
    <row r="4173" spans="1:4" x14ac:dyDescent="0.2">
      <c r="A4173" s="5">
        <v>4112</v>
      </c>
      <c r="B4173" s="138">
        <f>'Short-Term Long-Term Debt 24'!H49</f>
        <v>455000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4030.9119999999998</v>
      </c>
      <c r="C4265" s="2" t="s">
        <v>594</v>
      </c>
      <c r="D4265" s="2" t="str">
        <f t="shared" si="65"/>
        <v>Error?</v>
      </c>
      <c r="E4265" s="128"/>
    </row>
    <row r="4266" spans="1:5" x14ac:dyDescent="0.2">
      <c r="A4266" s="12">
        <v>4205</v>
      </c>
      <c r="B4266" s="138">
        <f>('FP Info 3'!F10)*100000</f>
        <v>520.26900000000001</v>
      </c>
      <c r="C4266" s="2" t="s">
        <v>594</v>
      </c>
      <c r="D4266" s="2" t="str">
        <f t="shared" si="65"/>
        <v>Error?</v>
      </c>
      <c r="E4266" s="128"/>
    </row>
    <row r="4267" spans="1:5" x14ac:dyDescent="0.2">
      <c r="A4267" s="12">
        <v>4206</v>
      </c>
      <c r="B4267" s="138">
        <f>('FP Info 3'!H10)*100000</f>
        <v>2.3439999999999999</v>
      </c>
      <c r="C4267" s="2" t="s">
        <v>594</v>
      </c>
      <c r="D4267" s="2" t="str">
        <f t="shared" si="65"/>
        <v>Error?</v>
      </c>
      <c r="E4267" s="128"/>
    </row>
    <row r="4268" spans="1:5" x14ac:dyDescent="0.2">
      <c r="A4268" s="12">
        <v>4207</v>
      </c>
      <c r="B4268" s="138">
        <f>('FP Info 3'!J10)*100000</f>
        <v>4554</v>
      </c>
      <c r="C4268" s="2" t="s">
        <v>594</v>
      </c>
      <c r="D4268" s="2" t="str">
        <f t="shared" si="65"/>
        <v>Error?</v>
      </c>
    </row>
    <row r="4269" spans="1:5" x14ac:dyDescent="0.2">
      <c r="A4269" s="12">
        <v>4208</v>
      </c>
      <c r="B4269" s="138">
        <f>'FP Info 3'!J16</f>
        <v>6648754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3686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10338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10792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47.809000000000005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103850201</v>
      </c>
      <c r="D4995" s="2" t="str">
        <f t="shared" si="77"/>
        <v>Error?</v>
      </c>
    </row>
    <row r="4996" spans="1:4" x14ac:dyDescent="0.2">
      <c r="A4996" s="12">
        <v>4935</v>
      </c>
      <c r="B4996" s="138">
        <f>'FP Info 3'!H31</f>
        <v>7165663.8690000009</v>
      </c>
      <c r="D4996" s="2" t="str">
        <f t="shared" si="77"/>
        <v>Error?</v>
      </c>
    </row>
    <row r="4997" spans="1:4" x14ac:dyDescent="0.2">
      <c r="A4997" s="12">
        <v>4936</v>
      </c>
      <c r="B4997" s="138">
        <f>'FP Info 3'!H37</f>
        <v>1165000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3887004</v>
      </c>
      <c r="D5061" s="2" t="str">
        <f t="shared" si="78"/>
        <v>Error?</v>
      </c>
    </row>
    <row r="5062" spans="1:4" x14ac:dyDescent="0.2">
      <c r="A5062" s="10">
        <v>5001</v>
      </c>
      <c r="D5062" s="2" t="str">
        <f t="shared" si="78"/>
        <v>OK</v>
      </c>
    </row>
    <row r="5063" spans="1:4" x14ac:dyDescent="0.2">
      <c r="A5063" s="5">
        <v>5002</v>
      </c>
      <c r="B5063" s="138">
        <f>'Revenues 9-14'!C7</f>
        <v>367387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4254391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38367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38367</v>
      </c>
      <c r="C5071" s="2" t="s">
        <v>594</v>
      </c>
      <c r="D5071" s="2" t="str">
        <f t="shared" si="78"/>
        <v>Error?</v>
      </c>
    </row>
    <row r="5072" spans="1:4" x14ac:dyDescent="0.2">
      <c r="A5072" s="5">
        <v>5011</v>
      </c>
      <c r="B5072" s="138">
        <f>'Revenues 9-14'!C20</f>
        <v>6872</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6872</v>
      </c>
      <c r="C5087" s="2" t="s">
        <v>594</v>
      </c>
      <c r="D5087" s="2" t="str">
        <f t="shared" si="78"/>
        <v>Error?</v>
      </c>
    </row>
    <row r="5088" spans="1:4" x14ac:dyDescent="0.2">
      <c r="A5088" s="5">
        <v>5027</v>
      </c>
      <c r="B5088" s="138">
        <f>'Revenues 9-14'!C65</f>
        <v>32267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32267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10646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1121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50672</v>
      </c>
      <c r="C5096" s="2" t="s">
        <v>594</v>
      </c>
      <c r="D5096" s="2" t="str">
        <f t="shared" si="78"/>
        <v>Error?</v>
      </c>
    </row>
    <row r="5097" spans="1:4" x14ac:dyDescent="0.2">
      <c r="A5097" s="5">
        <v>5036</v>
      </c>
      <c r="B5097" s="138">
        <f>'Revenues 9-14'!C77</f>
        <v>2272</v>
      </c>
      <c r="D5097" s="2" t="str">
        <f t="shared" si="78"/>
        <v>Error?</v>
      </c>
    </row>
    <row r="5098" spans="1:4" x14ac:dyDescent="0.2">
      <c r="A5098" s="5">
        <v>5037</v>
      </c>
      <c r="B5098" s="138">
        <f>'Revenues 9-14'!C78</f>
        <v>3843</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19110</v>
      </c>
      <c r="D5101" s="2" t="str">
        <f t="shared" si="78"/>
        <v>Error?</v>
      </c>
    </row>
    <row r="5102" spans="1:4" x14ac:dyDescent="0.2">
      <c r="A5102" s="5">
        <v>5041</v>
      </c>
      <c r="B5102" s="138">
        <f>'Revenues 9-14'!C82</f>
        <v>25225</v>
      </c>
      <c r="C5102" s="2" t="s">
        <v>594</v>
      </c>
      <c r="D5102" s="2" t="str">
        <f t="shared" si="78"/>
        <v>Error?</v>
      </c>
    </row>
    <row r="5103" spans="1:4" x14ac:dyDescent="0.2">
      <c r="A5103" s="5">
        <v>5042</v>
      </c>
      <c r="B5103" s="138">
        <f>'Revenues 9-14'!C84</f>
        <v>60375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60375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18212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5174</v>
      </c>
      <c r="D5118" s="2" t="str">
        <f t="shared" si="78"/>
        <v>Error?</v>
      </c>
    </row>
    <row r="5119" spans="1:4" x14ac:dyDescent="0.2">
      <c r="A5119" s="5">
        <v>5058</v>
      </c>
      <c r="B5119" s="138">
        <f>'Revenues 9-14'!C107</f>
        <v>3239</v>
      </c>
      <c r="D5119" s="2" t="str">
        <f t="shared" ref="D5119:D5182" si="79">IF(ISBLANK(B5119),"OK",IF(A5119-B5119=0,"OK","Error?"))</f>
        <v>Error?</v>
      </c>
    </row>
    <row r="5120" spans="1:4" x14ac:dyDescent="0.2">
      <c r="A5120" s="5">
        <v>5059</v>
      </c>
      <c r="B5120" s="138">
        <f>'Revenues 9-14'!C108</f>
        <v>26625</v>
      </c>
      <c r="C5120" s="2" t="s">
        <v>594</v>
      </c>
      <c r="D5120" s="2" t="str">
        <f t="shared" si="79"/>
        <v>Error?</v>
      </c>
    </row>
    <row r="5121" spans="1:4" x14ac:dyDescent="0.2">
      <c r="A5121" s="5">
        <v>5060</v>
      </c>
      <c r="B5121" s="138">
        <f>'Revenues 9-14'!C109</f>
        <v>4494794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1041751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1041751</v>
      </c>
      <c r="C5132" s="2" t="s">
        <v>594</v>
      </c>
      <c r="D5132" s="2" t="str">
        <f t="shared" si="79"/>
        <v>Error?</v>
      </c>
    </row>
    <row r="5133" spans="1:4" x14ac:dyDescent="0.2">
      <c r="A5133" s="5">
        <v>5072</v>
      </c>
      <c r="B5133" s="138">
        <f>'Revenues 9-14'!C124</f>
        <v>36825</v>
      </c>
      <c r="D5133" s="2" t="str">
        <f t="shared" si="79"/>
        <v>Error?</v>
      </c>
    </row>
    <row r="5134" spans="1:4" x14ac:dyDescent="0.2">
      <c r="A5134" s="5">
        <v>5073</v>
      </c>
      <c r="B5134" s="138">
        <f>'Revenues 9-14'!C125</f>
        <v>30409</v>
      </c>
      <c r="D5134" s="2" t="str">
        <f t="shared" si="79"/>
        <v>Error?</v>
      </c>
    </row>
    <row r="5135" spans="1:4" x14ac:dyDescent="0.2">
      <c r="A5135" s="5">
        <v>5074</v>
      </c>
      <c r="B5135" s="138">
        <f>'Revenues 9-14'!C126</f>
        <v>57389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1879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126502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6542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6542</v>
      </c>
      <c r="C5165" s="2" t="s">
        <v>594</v>
      </c>
      <c r="D5165" s="2" t="str">
        <f t="shared" si="79"/>
        <v>Error?</v>
      </c>
    </row>
    <row r="5166" spans="1:4" x14ac:dyDescent="0.2">
      <c r="A5166" s="10">
        <v>5105</v>
      </c>
      <c r="D5166" s="2" t="str">
        <f t="shared" si="79"/>
        <v>OK</v>
      </c>
    </row>
    <row r="5167" spans="1:4" x14ac:dyDescent="0.2">
      <c r="A5167" s="5">
        <v>5106</v>
      </c>
      <c r="B5167" s="138">
        <f>'Revenues 9-14'!C145</f>
        <v>234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134028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1175779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27365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27365</v>
      </c>
      <c r="C5246" s="2" t="s">
        <v>594</v>
      </c>
      <c r="D5246" s="2" t="str">
        <f t="shared" si="80"/>
        <v>Error?</v>
      </c>
    </row>
    <row r="5247" spans="1:4" x14ac:dyDescent="0.2">
      <c r="A5247" s="5">
        <v>5186</v>
      </c>
      <c r="B5247" s="138">
        <f>'Revenues 9-14'!C203</f>
        <v>39873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39873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3399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103169</v>
      </c>
      <c r="D5278" s="2" t="str">
        <f t="shared" si="81"/>
        <v>Error?</v>
      </c>
    </row>
    <row r="5279" spans="1:4" x14ac:dyDescent="0.2">
      <c r="A5279" s="5">
        <v>5218</v>
      </c>
      <c r="B5279" s="138">
        <f>'Revenues 9-14'!C221</f>
        <v>1562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108130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200184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200184</v>
      </c>
      <c r="C5326" s="2" t="s">
        <v>594</v>
      </c>
      <c r="D5326" s="2" t="str">
        <f t="shared" si="82"/>
        <v>Error?</v>
      </c>
    </row>
    <row r="5327" spans="1:4" x14ac:dyDescent="0.2">
      <c r="A5327" s="5">
        <v>5266</v>
      </c>
      <c r="B5327" s="138">
        <f>'Revenues 9-14'!C275</f>
        <v>5870757</v>
      </c>
      <c r="C5327" s="2" t="s">
        <v>594</v>
      </c>
      <c r="D5327" s="2" t="str">
        <f t="shared" si="82"/>
        <v>Error?</v>
      </c>
    </row>
    <row r="5328" spans="1:4" x14ac:dyDescent="0.2">
      <c r="A5328" s="5">
        <v>5267</v>
      </c>
      <c r="B5328" s="138">
        <f>'Revenues 9-14'!D5</f>
        <v>539374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539374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17807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17807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13719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24434</v>
      </c>
      <c r="D5354" s="2" t="str">
        <f t="shared" si="82"/>
        <v>Error?</v>
      </c>
    </row>
    <row r="5355" spans="1:4" x14ac:dyDescent="0.2">
      <c r="A5355" s="5">
        <v>5294</v>
      </c>
      <c r="B5355" s="138">
        <f>'Revenues 9-14'!D108</f>
        <v>38153</v>
      </c>
      <c r="C5355" s="2" t="s">
        <v>594</v>
      </c>
      <c r="D5355" s="2" t="str">
        <f t="shared" si="82"/>
        <v>Error?</v>
      </c>
    </row>
    <row r="5356" spans="1:4" x14ac:dyDescent="0.2">
      <c r="A5356" s="5">
        <v>5295</v>
      </c>
      <c r="B5356" s="138">
        <f>'Revenues 9-14'!D109</f>
        <v>595334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595334</v>
      </c>
      <c r="C5508" s="2" t="s">
        <v>594</v>
      </c>
      <c r="D5508" s="2" t="str">
        <f t="shared" si="85"/>
        <v>Error?</v>
      </c>
    </row>
    <row r="5509" spans="1:4" x14ac:dyDescent="0.2">
      <c r="A5509" s="5">
        <v>5448</v>
      </c>
      <c r="B5509" s="138">
        <f>'Revenues 9-14'!E5</f>
        <v>358048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358048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1404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1404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359452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359452</v>
      </c>
      <c r="C5552" s="2" t="s">
        <v>594</v>
      </c>
      <c r="D5552" s="2" t="str">
        <f t="shared" si="85"/>
        <v>Error?</v>
      </c>
    </row>
    <row r="5553" spans="1:4" x14ac:dyDescent="0.2">
      <c r="A5553" s="5">
        <v>5492</v>
      </c>
      <c r="B5553" s="138">
        <f>'Revenues 9-14'!F5</f>
        <v>338904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338904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3380</v>
      </c>
      <c r="D5563" s="2" t="str">
        <f t="shared" si="85"/>
        <v>Error?</v>
      </c>
    </row>
    <row r="5564" spans="1:4" x14ac:dyDescent="0.2">
      <c r="A5564" s="5">
        <v>5503</v>
      </c>
      <c r="B5564" s="138">
        <f>'Revenues 9-14'!F43</f>
        <v>83</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3463</v>
      </c>
      <c r="C5579" s="2" t="s">
        <v>594</v>
      </c>
      <c r="D5579" s="2" t="str">
        <f t="shared" si="86"/>
        <v>Error?</v>
      </c>
    </row>
    <row r="5580" spans="1:4" x14ac:dyDescent="0.2">
      <c r="A5580" s="5">
        <v>5519</v>
      </c>
      <c r="B5580" s="138">
        <f>'Revenues 9-14'!F65</f>
        <v>8692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8692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351059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3790</v>
      </c>
      <c r="D5615" s="2" t="str">
        <f t="shared" si="86"/>
        <v>Error?</v>
      </c>
    </row>
    <row r="5616" spans="1:4" x14ac:dyDescent="0.2">
      <c r="A5616" s="10">
        <v>5555</v>
      </c>
      <c r="D5616" s="2" t="str">
        <f t="shared" si="86"/>
        <v>OK</v>
      </c>
    </row>
    <row r="5617" spans="1:4" x14ac:dyDescent="0.2">
      <c r="A5617" s="5">
        <v>5556</v>
      </c>
      <c r="B5617" s="138">
        <f>'Revenues 9-14'!F152</f>
        <v>189792</v>
      </c>
      <c r="D5617" s="2" t="str">
        <f t="shared" si="86"/>
        <v>Error?</v>
      </c>
    </row>
    <row r="5618" spans="1:4" x14ac:dyDescent="0.2">
      <c r="A5618" s="5">
        <v>5557</v>
      </c>
      <c r="B5618" s="138">
        <f>'Revenues 9-14'!F154</f>
        <v>193582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193582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193582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544641</v>
      </c>
      <c r="C5720" s="2" t="s">
        <v>594</v>
      </c>
      <c r="D5720" s="2" t="str">
        <f t="shared" si="88"/>
        <v>Error?</v>
      </c>
    </row>
    <row r="5721" spans="1:4" x14ac:dyDescent="0.2">
      <c r="A5721" s="5">
        <v>5660</v>
      </c>
      <c r="B5721" s="138">
        <f>'Revenues 9-14'!G5</f>
        <v>114461</v>
      </c>
      <c r="D5721" s="2" t="str">
        <f t="shared" si="88"/>
        <v>Error?</v>
      </c>
    </row>
    <row r="5722" spans="1:4" x14ac:dyDescent="0.2">
      <c r="A5722" s="5">
        <v>5661</v>
      </c>
      <c r="B5722" s="138">
        <f>'Revenues 9-14'!G7</f>
        <v>0</v>
      </c>
      <c r="D5722" s="2" t="str">
        <f t="shared" si="88"/>
        <v>Error?</v>
      </c>
    </row>
    <row r="5723" spans="1:4" x14ac:dyDescent="0.2">
      <c r="A5723" s="5">
        <v>5662</v>
      </c>
      <c r="B5723" s="138">
        <f>'Revenues 9-14'!G8</f>
        <v>119387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233848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9527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9527</v>
      </c>
      <c r="C5730" s="2" t="s">
        <v>594</v>
      </c>
      <c r="D5730" s="2" t="str">
        <f t="shared" si="88"/>
        <v>Error?</v>
      </c>
    </row>
    <row r="5731" spans="1:4" x14ac:dyDescent="0.2">
      <c r="A5731" s="5">
        <v>5670</v>
      </c>
      <c r="B5731" s="138">
        <f>'Revenues 9-14'!G65</f>
        <v>3210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3210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246585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49315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49315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10205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10205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59520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246585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59520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38905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8922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409.11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151505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151505</v>
      </c>
      <c r="D6215" s="2" t="str">
        <f t="shared" si="96"/>
        <v>Error?</v>
      </c>
      <c r="E6215" s="2" t="s">
        <v>199</v>
      </c>
    </row>
    <row r="6216" spans="1:5" x14ac:dyDescent="0.2">
      <c r="A6216">
        <v>6155</v>
      </c>
      <c r="B6216" s="138">
        <f>'Assets-Liab 5-6'!J41</f>
        <v>151505</v>
      </c>
      <c r="D6216" s="2" t="str">
        <f t="shared" si="96"/>
        <v>Error?</v>
      </c>
      <c r="E6216" s="2" t="s">
        <v>199</v>
      </c>
    </row>
    <row r="6217" spans="1:5" x14ac:dyDescent="0.2">
      <c r="A6217">
        <v>6156</v>
      </c>
      <c r="B6217" s="138">
        <f>'Assets-Liab 5-6'!J4</f>
        <v>151505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77252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77252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77252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71162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71162</v>
      </c>
      <c r="D6229" s="2" t="str">
        <f t="shared" si="96"/>
        <v>Error?</v>
      </c>
      <c r="E6229" s="2" t="s">
        <v>199</v>
      </c>
    </row>
    <row r="6230" spans="1:5" x14ac:dyDescent="0.2">
      <c r="A6230">
        <v>6169</v>
      </c>
      <c r="B6230" s="138">
        <f>'Acct Summary 7-8'!J20</f>
        <v>6090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6090</v>
      </c>
      <c r="D6263" s="2" t="str">
        <f t="shared" si="96"/>
        <v>Error?</v>
      </c>
      <c r="E6263" s="2" t="s">
        <v>199</v>
      </c>
    </row>
    <row r="6264" spans="1:5" x14ac:dyDescent="0.2">
      <c r="A6264">
        <v>6203</v>
      </c>
      <c r="B6264" s="138">
        <f>'Acct Summary 7-8'!J79</f>
        <v>145415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151505</v>
      </c>
      <c r="D6266" s="2" t="str">
        <f t="shared" si="96"/>
        <v>Error?</v>
      </c>
      <c r="E6266" s="2" t="s">
        <v>199</v>
      </c>
    </row>
    <row r="6267" spans="1:5" x14ac:dyDescent="0.2">
      <c r="A6267">
        <v>6206</v>
      </c>
      <c r="B6267" s="138">
        <f>'Acct Summary 7-8'!C82</f>
        <v>472494</v>
      </c>
      <c r="D6267" s="2" t="str">
        <f t="shared" si="96"/>
        <v>Error?</v>
      </c>
      <c r="E6267" s="2" t="s">
        <v>199</v>
      </c>
    </row>
    <row r="6268" spans="1:5" x14ac:dyDescent="0.2">
      <c r="A6268">
        <v>6207</v>
      </c>
      <c r="B6268" s="138">
        <f>'Acct Summary 7-8'!D82</f>
        <v>111495</v>
      </c>
      <c r="D6268" s="2" t="str">
        <f t="shared" si="96"/>
        <v>Error?</v>
      </c>
      <c r="E6268" s="2" t="s">
        <v>199</v>
      </c>
    </row>
    <row r="6269" spans="1:5" x14ac:dyDescent="0.2">
      <c r="A6269">
        <v>6208</v>
      </c>
      <c r="B6269" s="138">
        <f>'Acct Summary 7-8'!E82</f>
        <v>12307</v>
      </c>
      <c r="D6269" s="2" t="str">
        <f t="shared" si="96"/>
        <v>Error?</v>
      </c>
      <c r="E6269" s="2" t="s">
        <v>199</v>
      </c>
    </row>
    <row r="6270" spans="1:5" x14ac:dyDescent="0.2">
      <c r="A6270">
        <v>6209</v>
      </c>
      <c r="B6270" s="138">
        <f>'Acct Summary 7-8'!F82</f>
        <v>251782</v>
      </c>
      <c r="D6270" s="2" t="str">
        <f t="shared" si="96"/>
        <v>Error?</v>
      </c>
      <c r="E6270" s="2" t="s">
        <v>199</v>
      </c>
    </row>
    <row r="6271" spans="1:5" x14ac:dyDescent="0.2">
      <c r="A6271">
        <v>6210</v>
      </c>
      <c r="B6271" s="138">
        <f>'Acct Summary 7-8'!G82</f>
        <v>33352</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59520</v>
      </c>
      <c r="D6273" s="2" t="str">
        <f t="shared" si="97"/>
        <v>Error?</v>
      </c>
      <c r="E6273" s="2" t="s">
        <v>199</v>
      </c>
    </row>
    <row r="6274" spans="1:5" x14ac:dyDescent="0.2">
      <c r="A6274">
        <v>6213</v>
      </c>
      <c r="B6274" s="138">
        <f>'Acct Summary 7-8'!J82</f>
        <v>6090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0.13663260688203324</v>
      </c>
      <c r="D6276" s="2" t="str">
        <f t="shared" si="97"/>
        <v>Error?</v>
      </c>
      <c r="E6276" s="2" t="s">
        <v>199</v>
      </c>
    </row>
    <row r="6277" spans="1:5" x14ac:dyDescent="0.2">
      <c r="A6277">
        <v>6216</v>
      </c>
      <c r="B6277" s="138">
        <f>'Acct Summary 7-8'!D83</f>
        <v>6.9098420395049973E-2</v>
      </c>
      <c r="D6277" s="2" t="str">
        <f t="shared" si="97"/>
        <v>Error?</v>
      </c>
      <c r="E6277" s="2" t="s">
        <v>199</v>
      </c>
    </row>
    <row r="6278" spans="1:5" x14ac:dyDescent="0.2">
      <c r="A6278">
        <v>6217</v>
      </c>
      <c r="B6278" s="138">
        <f>'Acct Summary 7-8'!E83</f>
        <v>5.4859919317092741E-2</v>
      </c>
      <c r="D6278" s="2" t="str">
        <f t="shared" si="97"/>
        <v>Error?</v>
      </c>
      <c r="E6278" s="2" t="s">
        <v>199</v>
      </c>
    </row>
    <row r="6279" spans="1:5" x14ac:dyDescent="0.2">
      <c r="A6279">
        <v>6218</v>
      </c>
      <c r="B6279" s="138">
        <f>'Acct Summary 7-8'!F83</f>
        <v>0.34037565666916314</v>
      </c>
      <c r="D6279" s="2" t="str">
        <f t="shared" si="97"/>
        <v>Error?</v>
      </c>
      <c r="E6279" s="2" t="s">
        <v>199</v>
      </c>
    </row>
    <row r="6280" spans="1:5" x14ac:dyDescent="0.2">
      <c r="A6280">
        <v>6219</v>
      </c>
      <c r="B6280" s="138">
        <f>'Acct Summary 7-8'!G83</f>
        <v>0.11247125157652645</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7.1082830845075967E-2</v>
      </c>
      <c r="D6282" s="2" t="str">
        <f t="shared" si="97"/>
        <v>Error?</v>
      </c>
      <c r="E6282" s="2" t="s">
        <v>199</v>
      </c>
    </row>
    <row r="6283" spans="1:5" x14ac:dyDescent="0.2">
      <c r="A6283">
        <v>6222</v>
      </c>
      <c r="B6283" s="138">
        <f>'Acct Summary 7-8'!J83</f>
        <v>4.0196693178442953E-2</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135000</v>
      </c>
      <c r="D6287" s="2" t="str">
        <f t="shared" si="97"/>
        <v>Error?</v>
      </c>
      <c r="E6287" s="2" t="s">
        <v>199</v>
      </c>
    </row>
    <row r="6288" spans="1:5" x14ac:dyDescent="0.2">
      <c r="A6288">
        <v>6227</v>
      </c>
      <c r="B6288" s="138">
        <f>'Acct Summary 7-8'!E40</f>
        <v>15000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70564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70564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1377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1377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5311</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5311</v>
      </c>
      <c r="D6351" s="2" t="str">
        <f t="shared" si="98"/>
        <v>Error?</v>
      </c>
      <c r="E6351" s="2" t="s">
        <v>199</v>
      </c>
    </row>
    <row r="6352" spans="1:5" x14ac:dyDescent="0.2">
      <c r="A6352">
        <v>6291</v>
      </c>
      <c r="B6352" s="138">
        <f>'Revenues 9-14'!J109</f>
        <v>77252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180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3149</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3329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2183</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1497</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3680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1130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1130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898</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898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5708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419918</v>
      </c>
      <c r="D6983" s="2" t="str">
        <f t="shared" si="108"/>
        <v>Error?</v>
      </c>
    </row>
    <row r="6984" spans="1:4" x14ac:dyDescent="0.2">
      <c r="A6984">
        <v>6923</v>
      </c>
      <c r="B6984" s="138">
        <f>'Expenditures 15-22'!K86</f>
        <v>419918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419918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9037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1078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1078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1078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71162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1078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77252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41438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41438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29724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29724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71162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71162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71162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71162</v>
      </c>
      <c r="D7224" s="2" t="str">
        <f t="shared" si="111"/>
        <v>Error?</v>
      </c>
    </row>
    <row r="7225" spans="1:4" x14ac:dyDescent="0.2">
      <c r="A7225">
        <v>7164</v>
      </c>
      <c r="B7225" s="138">
        <f>'Expenditures 15-22'!K343</f>
        <v>6090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10115</v>
      </c>
      <c r="D7624" s="2" t="str">
        <f t="shared" si="124"/>
        <v>Error?</v>
      </c>
      <c r="E7624" s="2" t="s">
        <v>19</v>
      </c>
    </row>
    <row r="7625" spans="1:5" x14ac:dyDescent="0.2">
      <c r="A7625">
        <f t="shared" si="123"/>
        <v>7564</v>
      </c>
      <c r="B7625" s="138">
        <f>'Cap Outlay Deprec 26'!I17</f>
        <v>1011.5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300598.5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135000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15000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367387</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79947</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42056</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7" t="s">
        <v>1253</v>
      </c>
      <c r="B2" s="2397"/>
      <c r="C2" s="2397"/>
      <c r="D2" s="2397"/>
      <c r="E2" s="2397"/>
      <c r="F2" s="2397"/>
      <c r="G2" s="2397"/>
      <c r="H2" s="2397"/>
      <c r="I2" s="2397"/>
      <c r="J2" s="2397"/>
      <c r="K2" s="2397"/>
      <c r="L2" s="2397"/>
    </row>
    <row r="3" spans="1:29" ht="13.5" customHeight="1" x14ac:dyDescent="0.2">
      <c r="A3" s="2428" t="s">
        <v>1252</v>
      </c>
      <c r="B3" s="2428"/>
      <c r="C3" s="2428"/>
      <c r="D3" s="2428"/>
      <c r="E3" s="2428"/>
      <c r="F3" s="2428"/>
      <c r="G3" s="2428"/>
      <c r="H3" s="2428"/>
      <c r="I3" s="2428"/>
      <c r="J3" s="2428"/>
      <c r="K3" s="2428"/>
      <c r="L3" s="2428"/>
    </row>
    <row r="4" spans="1:29" ht="13.5" customHeight="1" x14ac:dyDescent="0.2">
      <c r="A4" s="2397" t="s">
        <v>1799</v>
      </c>
      <c r="B4" s="2418"/>
      <c r="C4" s="2418"/>
      <c r="D4" s="2418"/>
      <c r="E4" s="2418"/>
      <c r="F4" s="2418"/>
      <c r="G4" s="2418"/>
      <c r="H4" s="2418"/>
      <c r="I4" s="2418"/>
      <c r="J4" s="2418"/>
      <c r="K4" s="2418"/>
      <c r="L4" s="241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19" t="str">
        <f>COVER!A17</f>
        <v>Fox River Grove Cons SD 3</v>
      </c>
      <c r="B7" s="2420"/>
      <c r="C7" s="2420"/>
      <c r="D7" s="2421"/>
      <c r="E7" s="2422">
        <f>COVER!A13</f>
        <v>44063003003</v>
      </c>
      <c r="F7" s="2423"/>
      <c r="G7" s="2429" t="str">
        <f>COVER!T23</f>
        <v>060-004991</v>
      </c>
      <c r="H7" s="2430"/>
      <c r="I7" s="2430"/>
      <c r="J7" s="2430"/>
      <c r="K7" s="2430"/>
      <c r="L7" s="2431"/>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32"/>
      <c r="B9" s="2433"/>
      <c r="C9" s="2433"/>
      <c r="D9" s="2433"/>
      <c r="E9" s="2433"/>
      <c r="F9" s="2434"/>
      <c r="G9" s="2403" t="str">
        <f>COVER!T13</f>
        <v>EDER, CASELLA &amp; CO.</v>
      </c>
      <c r="H9" s="2435"/>
      <c r="I9" s="2435"/>
      <c r="J9" s="2435"/>
      <c r="K9" s="2435"/>
      <c r="L9" s="2436"/>
    </row>
    <row r="10" spans="1:29" ht="13.5" customHeight="1" x14ac:dyDescent="0.2">
      <c r="A10" s="2409">
        <f>COVER!A38</f>
        <v>0</v>
      </c>
      <c r="B10" s="2410"/>
      <c r="C10" s="2410"/>
      <c r="D10" s="2410"/>
      <c r="E10" s="2410"/>
      <c r="F10" s="2411"/>
      <c r="G10" s="2403" t="str">
        <f>COVER!T17</f>
        <v>5400 WEST ELM STREET, SUITE 203</v>
      </c>
      <c r="H10" s="2404"/>
      <c r="I10" s="2404"/>
      <c r="J10" s="2404"/>
      <c r="K10" s="2404"/>
      <c r="L10" s="2405"/>
    </row>
    <row r="11" spans="1:29" ht="13.5" customHeight="1" x14ac:dyDescent="0.2">
      <c r="A11" s="1184" t="s">
        <v>1599</v>
      </c>
      <c r="B11" s="1185"/>
      <c r="C11" s="1186"/>
      <c r="D11" s="1191"/>
      <c r="E11" s="1186"/>
      <c r="F11" s="1190"/>
      <c r="G11" s="2403" t="str">
        <f>COVER!T19</f>
        <v>MCHENRY</v>
      </c>
      <c r="H11" s="2404"/>
      <c r="I11" s="2404"/>
      <c r="J11" s="2404"/>
      <c r="K11" s="2404"/>
      <c r="L11" s="2405"/>
    </row>
    <row r="12" spans="1:29" ht="13.5" customHeight="1" x14ac:dyDescent="0.2">
      <c r="A12" s="2412" t="s">
        <v>1598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1600</v>
      </c>
      <c r="H13" s="2399"/>
      <c r="I13" s="2415" t="str">
        <f>COVER!T25</f>
        <v>CPAS@EDERCASELLA.COM</v>
      </c>
      <c r="J13" s="2416"/>
      <c r="K13" s="2416"/>
      <c r="L13" s="2417"/>
    </row>
    <row r="14" spans="1:29" ht="13.5" customHeight="1" x14ac:dyDescent="0.2">
      <c r="A14" s="2403" t="str">
        <f>COVER!A19</f>
        <v>403 ORCHARD STREET</v>
      </c>
      <c r="B14" s="2404"/>
      <c r="C14" s="2404"/>
      <c r="D14" s="2404"/>
      <c r="E14" s="2404"/>
      <c r="F14" s="2405"/>
      <c r="G14" s="1195" t="s">
        <v>1247</v>
      </c>
      <c r="H14" s="1193"/>
      <c r="I14" s="1193"/>
      <c r="J14" s="1193"/>
      <c r="K14" s="1193"/>
      <c r="L14" s="1194"/>
    </row>
    <row r="15" spans="1:29" ht="13.5" customHeight="1" x14ac:dyDescent="0.2">
      <c r="A15" s="2403" t="str">
        <f>COVER!A21</f>
        <v>FOX RIVER GROVE</v>
      </c>
      <c r="B15" s="2404"/>
      <c r="C15" s="2404"/>
      <c r="D15" s="2404"/>
      <c r="E15" s="2404"/>
      <c r="F15" s="2405"/>
      <c r="G15" s="2400" t="str">
        <f>COVER!T15</f>
        <v>JOHN ALBANESE</v>
      </c>
      <c r="H15" s="2401"/>
      <c r="I15" s="2401"/>
      <c r="J15" s="2401"/>
      <c r="K15" s="2401"/>
      <c r="L15" s="2402"/>
    </row>
    <row r="16" spans="1:29" ht="12.2" customHeight="1" x14ac:dyDescent="0.2">
      <c r="A16" s="2425">
        <f>COVER!A25</f>
        <v>60021</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5" t="s">
        <v>1246</v>
      </c>
      <c r="H17" s="1193"/>
      <c r="I17" s="1193"/>
      <c r="J17" s="1193"/>
      <c r="K17" s="1197" t="s">
        <v>1245</v>
      </c>
      <c r="L17" s="1190"/>
      <c r="M17" s="1183"/>
    </row>
    <row r="18" spans="1:13" ht="12.2" customHeight="1" x14ac:dyDescent="0.2">
      <c r="A18" s="2409"/>
      <c r="B18" s="2410"/>
      <c r="C18" s="2410"/>
      <c r="D18" s="2410"/>
      <c r="E18" s="2410"/>
      <c r="F18" s="2411"/>
      <c r="G18" s="2419" t="str">
        <f>COVER!T21</f>
        <v>815-344-1300</v>
      </c>
      <c r="H18" s="2420"/>
      <c r="I18" s="2420"/>
      <c r="J18" s="2420"/>
      <c r="K18" s="2419" t="str">
        <f>COVER!X21</f>
        <v>815-344-1320</v>
      </c>
      <c r="L18" s="242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48" sqref="D48"/>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1" t="str">
        <f>'Single Audit Cover'!A7</f>
        <v>Fox River Grove Cons SD 3</v>
      </c>
      <c r="B1" s="2418"/>
      <c r="C1" s="2418"/>
      <c r="D1" s="2418"/>
    </row>
    <row r="2" spans="1:11" s="1214" customFormat="1" ht="12.75" x14ac:dyDescent="0.2">
      <c r="A2" s="2442">
        <f>'Single Audit Cover'!E7</f>
        <v>44063003003</v>
      </c>
      <c r="B2" s="2443"/>
      <c r="C2" s="2443"/>
      <c r="D2" s="2443"/>
    </row>
    <row r="3" spans="1:11" s="1214" customFormat="1" ht="12.75" x14ac:dyDescent="0.2">
      <c r="A3" s="2441" t="s">
        <v>1593</v>
      </c>
      <c r="B3" s="2418"/>
      <c r="C3" s="2418"/>
      <c r="D3" s="2418"/>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abSelected="1" zoomScale="110" zoomScaleNormal="110" zoomScaleSheetLayoutView="100" workbookViewId="0">
      <selection sqref="A1:F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45" t="str">
        <f>'Single Audit Cover'!A7</f>
        <v>Fox River Grove Cons SD 3</v>
      </c>
      <c r="B1" s="2445"/>
      <c r="C1" s="2445"/>
      <c r="D1" s="2445"/>
      <c r="E1" s="2445"/>
    </row>
    <row r="2" spans="1:5" x14ac:dyDescent="0.2">
      <c r="A2" s="2446">
        <f>'Single Audit Cover'!E7</f>
        <v>44063003003</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59" t="s">
        <v>1305</v>
      </c>
    </row>
    <row r="10" spans="1:5" x14ac:dyDescent="0.2">
      <c r="A10" s="1260" t="s">
        <v>1304</v>
      </c>
      <c r="B10" s="1261" t="s">
        <v>1303</v>
      </c>
      <c r="C10" s="1261"/>
      <c r="D10" s="1262">
        <f>SUM('Acct Summary 7-8'!C7:K7)</f>
        <v>200184</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8922</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-10338</v>
      </c>
    </row>
    <row r="19" spans="1:4" ht="13.5" thickBot="1" x14ac:dyDescent="0.25">
      <c r="A19" s="1264" t="s">
        <v>1297</v>
      </c>
      <c r="D19" s="1265">
        <f>SUM(D10:D17)</f>
        <v>198768</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47"/>
      <c r="B24" s="2447"/>
      <c r="D24" s="1267"/>
    </row>
    <row r="25" spans="1:4" x14ac:dyDescent="0.2">
      <c r="A25" s="2444"/>
      <c r="B25" s="2444"/>
      <c r="D25" s="1267"/>
    </row>
    <row r="26" spans="1:4" x14ac:dyDescent="0.2">
      <c r="A26" s="2444"/>
      <c r="B26" s="2444"/>
      <c r="D26" s="1267"/>
    </row>
    <row r="27" spans="1:4" x14ac:dyDescent="0.2">
      <c r="A27" s="2444"/>
      <c r="B27" s="2444"/>
      <c r="D27" s="1267"/>
    </row>
    <row r="28" spans="1:4" x14ac:dyDescent="0.2">
      <c r="A28" s="2444"/>
      <c r="B28" s="2444"/>
      <c r="D28" s="1267"/>
    </row>
    <row r="29" spans="1:4" x14ac:dyDescent="0.2">
      <c r="A29" s="2444"/>
      <c r="B29" s="2444"/>
      <c r="D29" s="1267"/>
    </row>
    <row r="30" spans="1:4" x14ac:dyDescent="0.2">
      <c r="A30" s="2444"/>
      <c r="B30" s="2444"/>
      <c r="D30" s="1267"/>
    </row>
    <row r="32" spans="1:4" x14ac:dyDescent="0.2">
      <c r="A32" s="1259" t="s">
        <v>1295</v>
      </c>
      <c r="D32" s="1262">
        <f>SUM(D19:D30)</f>
        <v>198768</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44"/>
      <c r="B40" s="2444"/>
      <c r="D40" s="1267"/>
    </row>
    <row r="41" spans="1:4" x14ac:dyDescent="0.2">
      <c r="A41" s="2444"/>
      <c r="B41" s="2444"/>
      <c r="D41" s="1270"/>
    </row>
    <row r="42" spans="1:4" x14ac:dyDescent="0.2">
      <c r="A42" s="2444"/>
      <c r="B42" s="2444"/>
      <c r="D42" s="1270"/>
    </row>
    <row r="43" spans="1:4" x14ac:dyDescent="0.2">
      <c r="A43" s="2444"/>
      <c r="B43" s="2444"/>
      <c r="D43" s="1270"/>
    </row>
    <row r="44" spans="1:4" x14ac:dyDescent="0.2">
      <c r="A44" s="2444"/>
      <c r="B44" s="2444"/>
      <c r="D44" s="1270"/>
    </row>
    <row r="45" spans="1:4" x14ac:dyDescent="0.2">
      <c r="A45" s="2444"/>
      <c r="B45" s="2444"/>
      <c r="D45" s="1270"/>
    </row>
    <row r="47" spans="1:4" x14ac:dyDescent="0.2">
      <c r="B47" s="1271" t="s">
        <v>1289</v>
      </c>
      <c r="C47" s="1271"/>
      <c r="D47" s="1272">
        <f>SUM(D35:D45)</f>
        <v>0</v>
      </c>
    </row>
    <row r="49" spans="2:4" x14ac:dyDescent="0.2">
      <c r="B49" s="1271" t="s">
        <v>1288</v>
      </c>
      <c r="C49" s="1271"/>
      <c r="D49" s="1272">
        <f>D32-D47</f>
        <v>198768</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H22" sqref="H22"/>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Fox River Grove Cons SD 3</v>
      </c>
      <c r="B1" s="2458"/>
      <c r="C1" s="2458"/>
      <c r="D1" s="2458"/>
      <c r="E1" s="2458"/>
      <c r="F1" s="2458"/>
    </row>
    <row r="2" spans="1:7" ht="13.5" customHeight="1" x14ac:dyDescent="0.2">
      <c r="A2" s="2459">
        <f>'Single Audit Cover'!E7</f>
        <v>44063003003</v>
      </c>
      <c r="B2" s="2459"/>
      <c r="C2" s="2459"/>
      <c r="D2" s="2459"/>
      <c r="E2" s="2459"/>
      <c r="F2" s="2459"/>
      <c r="G2" s="1274"/>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5" t="s">
        <v>1831</v>
      </c>
      <c r="C6" s="317"/>
      <c r="D6" s="317"/>
    </row>
    <row r="7" spans="1:7" ht="60.95" customHeight="1" x14ac:dyDescent="0.2">
      <c r="A7" s="2457" t="s">
        <v>1832</v>
      </c>
      <c r="B7" s="2457"/>
      <c r="C7" s="2457"/>
      <c r="D7" s="2457"/>
      <c r="E7" s="2457"/>
      <c r="F7" s="2457"/>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57" t="s">
        <v>1834</v>
      </c>
      <c r="B13" s="2457"/>
      <c r="C13" s="2457"/>
      <c r="D13" s="2457"/>
      <c r="E13" s="2457"/>
      <c r="F13" s="2457"/>
    </row>
    <row r="14" spans="1:7" ht="9.75" customHeight="1" x14ac:dyDescent="0.2">
      <c r="C14" s="1259"/>
      <c r="D14" s="1259"/>
    </row>
    <row r="15" spans="1:7" ht="13.5" customHeight="1" x14ac:dyDescent="0.2">
      <c r="C15" s="1870" t="s">
        <v>1332</v>
      </c>
      <c r="D15" s="2455" t="s">
        <v>1331</v>
      </c>
      <c r="E15" s="2455"/>
      <c r="F15" s="2455"/>
    </row>
    <row r="16" spans="1:7" ht="13.5" customHeight="1" x14ac:dyDescent="0.2">
      <c r="A16" s="1281"/>
      <c r="B16" s="1275" t="s">
        <v>1330</v>
      </c>
      <c r="C16" s="1870" t="s">
        <v>1329</v>
      </c>
      <c r="D16" s="2456" t="s">
        <v>1670</v>
      </c>
      <c r="E16" s="2456"/>
      <c r="F16" s="2456"/>
    </row>
    <row r="17" spans="1:6" ht="20.45" customHeight="1" x14ac:dyDescent="0.2">
      <c r="A17" s="1282"/>
      <c r="B17" s="1283"/>
      <c r="C17" s="1284"/>
      <c r="D17" s="2450"/>
      <c r="E17" s="2450"/>
      <c r="F17" s="2450"/>
    </row>
    <row r="18" spans="1:6" ht="20.65" customHeight="1" x14ac:dyDescent="0.2">
      <c r="A18" s="1282"/>
      <c r="B18" s="1283"/>
      <c r="C18" s="1284"/>
      <c r="D18" s="2450"/>
      <c r="E18" s="2450"/>
      <c r="F18" s="2450"/>
    </row>
    <row r="19" spans="1:6" ht="20.65" customHeight="1" x14ac:dyDescent="0.2">
      <c r="A19" s="1282"/>
      <c r="B19" s="1283"/>
      <c r="C19" s="1284"/>
      <c r="D19" s="2450"/>
      <c r="E19" s="2450"/>
      <c r="F19" s="2450"/>
    </row>
    <row r="20" spans="1:6" ht="20.65" customHeight="1" x14ac:dyDescent="0.2">
      <c r="A20" s="1282"/>
      <c r="B20" s="1283"/>
      <c r="C20" s="1284"/>
      <c r="D20" s="2450"/>
      <c r="E20" s="2450"/>
      <c r="F20" s="2450"/>
    </row>
    <row r="21" spans="1:6" ht="20.65" customHeight="1" x14ac:dyDescent="0.2">
      <c r="A21" s="1282"/>
      <c r="B21" s="1283"/>
      <c r="C21" s="1284"/>
      <c r="D21" s="2450"/>
      <c r="E21" s="2450"/>
      <c r="F21" s="2450"/>
    </row>
    <row r="22" spans="1:6" ht="20.65" customHeight="1" x14ac:dyDescent="0.2">
      <c r="A22" s="1282"/>
      <c r="B22" s="1283"/>
      <c r="C22" s="1284"/>
      <c r="D22" s="2450"/>
      <c r="E22" s="2450"/>
      <c r="F22" s="2450"/>
    </row>
    <row r="23" spans="1:6" ht="20.65" customHeight="1" x14ac:dyDescent="0.2">
      <c r="A23" s="1282"/>
      <c r="B23" s="1283"/>
      <c r="C23" s="1284"/>
      <c r="D23" s="2450"/>
      <c r="E23" s="2450"/>
      <c r="F23" s="2450"/>
    </row>
    <row r="24" spans="1:6" ht="20.65" customHeight="1" x14ac:dyDescent="0.2">
      <c r="A24" s="1282"/>
      <c r="B24" s="1283"/>
      <c r="C24" s="1284"/>
      <c r="D24" s="2450"/>
      <c r="E24" s="2450"/>
      <c r="F24" s="2450"/>
    </row>
    <row r="25" spans="1:6" ht="20.65" customHeight="1" x14ac:dyDescent="0.2">
      <c r="A25" s="1282"/>
      <c r="B25" s="1283"/>
      <c r="C25" s="1284"/>
      <c r="D25" s="2450"/>
      <c r="E25" s="2450"/>
      <c r="F25" s="2450"/>
    </row>
    <row r="26" spans="1:6" ht="20.65" customHeight="1" x14ac:dyDescent="0.2">
      <c r="A26" s="1282"/>
      <c r="B26" s="1283"/>
      <c r="C26" s="1284"/>
      <c r="D26" s="2450"/>
      <c r="E26" s="2450"/>
      <c r="F26" s="2450"/>
    </row>
    <row r="27" spans="1:6" ht="20.65" customHeight="1" x14ac:dyDescent="0.2">
      <c r="A27" s="1282"/>
      <c r="B27" s="1283"/>
      <c r="C27" s="1284"/>
      <c r="D27" s="2450"/>
      <c r="E27" s="2450"/>
      <c r="F27" s="2450"/>
    </row>
    <row r="28" spans="1:6" ht="20.65" customHeight="1" x14ac:dyDescent="0.2">
      <c r="A28" s="1282"/>
      <c r="B28" s="1283"/>
      <c r="C28" s="1284"/>
      <c r="D28" s="2450"/>
      <c r="E28" s="2450"/>
      <c r="F28" s="2450"/>
    </row>
    <row r="29" spans="1:6" ht="20.65" customHeight="1" x14ac:dyDescent="0.2">
      <c r="A29" s="1282"/>
      <c r="B29" s="1283"/>
      <c r="C29" s="1284"/>
      <c r="D29" s="2450"/>
      <c r="E29" s="2450"/>
      <c r="F29" s="2450"/>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51" t="s">
        <v>1835</v>
      </c>
      <c r="B32" s="2451"/>
      <c r="C32" s="2451"/>
      <c r="D32" s="2451"/>
      <c r="E32" s="2451"/>
      <c r="F32" s="2451"/>
    </row>
    <row r="33" spans="1:6" ht="13.5" customHeight="1" x14ac:dyDescent="0.2">
      <c r="A33" s="328" t="s">
        <v>1509</v>
      </c>
      <c r="B33" s="328"/>
      <c r="C33" s="1287">
        <v>0</v>
      </c>
      <c r="D33" s="1927"/>
      <c r="E33" s="1285"/>
    </row>
    <row r="34" spans="1:6" ht="13.5" customHeight="1" x14ac:dyDescent="0.2">
      <c r="A34" s="328" t="s">
        <v>1949</v>
      </c>
      <c r="B34" s="328"/>
      <c r="C34" s="1288">
        <v>0</v>
      </c>
      <c r="D34" s="1927" t="s">
        <v>1671</v>
      </c>
      <c r="E34" s="2452">
        <f>+C33+C34</f>
        <v>0</v>
      </c>
      <c r="F34" s="2453"/>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54" t="s">
        <v>1672</v>
      </c>
      <c r="C49" s="2454"/>
      <c r="D49" s="2454"/>
      <c r="E49" s="1398"/>
    </row>
    <row r="50" spans="1:5" s="1299" customFormat="1" ht="3.75" customHeight="1" x14ac:dyDescent="0.2">
      <c r="A50" s="1298"/>
      <c r="B50" s="1869"/>
      <c r="C50" s="1869"/>
      <c r="D50" s="1869"/>
      <c r="E50" s="1398"/>
    </row>
    <row r="51" spans="1:5" s="1299" customFormat="1" ht="20.25" customHeight="1" x14ac:dyDescent="0.2">
      <c r="A51" s="1300">
        <v>6</v>
      </c>
      <c r="B51" s="2449" t="s">
        <v>1632</v>
      </c>
      <c r="C51" s="2449"/>
      <c r="D51" s="2449"/>
    </row>
    <row r="52" spans="1:5" ht="14.25" customHeight="1" x14ac:dyDescent="0.2">
      <c r="A52" s="1300"/>
      <c r="B52" s="2449"/>
      <c r="C52" s="2449"/>
      <c r="D52" s="244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28" t="str">
        <f>'Single Audit Cover'!A7</f>
        <v>Fox River Grove Cons SD 3</v>
      </c>
      <c r="C1" s="2462"/>
      <c r="D1" s="2462"/>
      <c r="E1" s="2462"/>
      <c r="F1" s="2462"/>
      <c r="G1" s="2462"/>
      <c r="H1" s="2462"/>
      <c r="I1" s="2462"/>
      <c r="J1" s="2462"/>
      <c r="K1" s="2462"/>
      <c r="L1" s="2462"/>
      <c r="M1" s="2462"/>
    </row>
    <row r="2" spans="2:14" ht="15" x14ac:dyDescent="0.2">
      <c r="B2" s="2459">
        <f>'Single Audit Cover'!E7</f>
        <v>44063003003</v>
      </c>
      <c r="C2" s="2459"/>
      <c r="D2" s="2459"/>
      <c r="E2" s="2459"/>
      <c r="F2" s="2459"/>
      <c r="G2" s="2459"/>
      <c r="H2" s="2459"/>
      <c r="I2" s="2459"/>
      <c r="J2" s="2459"/>
      <c r="K2" s="2459"/>
      <c r="L2" s="2459"/>
      <c r="M2" s="2459"/>
      <c r="N2" s="1301"/>
    </row>
    <row r="3" spans="2:14" ht="15" x14ac:dyDescent="0.2">
      <c r="B3" s="2463" t="s">
        <v>1281</v>
      </c>
      <c r="C3" s="2463"/>
      <c r="D3" s="2463"/>
      <c r="E3" s="2463"/>
      <c r="F3" s="2463"/>
      <c r="G3" s="2463"/>
      <c r="H3" s="2463"/>
      <c r="I3" s="2463"/>
      <c r="J3" s="2463"/>
      <c r="K3" s="2463"/>
      <c r="L3" s="2463"/>
      <c r="M3" s="2463"/>
      <c r="N3" s="1301"/>
    </row>
    <row r="4" spans="2:14" ht="15" x14ac:dyDescent="0.2">
      <c r="B4" s="2464" t="str">
        <f>'Single Audit Cover'!A4</f>
        <v>Year Ending June 30, 2018</v>
      </c>
      <c r="C4" s="2464"/>
      <c r="D4" s="2464"/>
      <c r="E4" s="2464"/>
      <c r="F4" s="2464"/>
      <c r="G4" s="2464"/>
      <c r="H4" s="2464"/>
      <c r="I4" s="2464"/>
      <c r="J4" s="2464"/>
      <c r="K4" s="2464"/>
      <c r="L4" s="2464"/>
      <c r="M4" s="2464"/>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1951</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tabSelected="1" defaultGridColor="0" topLeftCell="A98" colorId="8" zoomScale="110" zoomScaleNormal="110" workbookViewId="0">
      <selection sqref="A1:F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2082</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Fox River Grove Cons SD 3</v>
      </c>
      <c r="C1" s="2477"/>
      <c r="D1" s="2477"/>
      <c r="E1" s="2477"/>
      <c r="F1" s="2477"/>
      <c r="G1" s="2477"/>
      <c r="H1" s="2477"/>
      <c r="I1" s="2477"/>
      <c r="J1" s="1421"/>
    </row>
    <row r="2" spans="2:10" s="317" customFormat="1" ht="12.75" customHeight="1" x14ac:dyDescent="0.2">
      <c r="B2" s="2478">
        <f>'Single Audit Cover'!E7</f>
        <v>44063003003</v>
      </c>
      <c r="C2" s="2479"/>
      <c r="D2" s="2479"/>
      <c r="E2" s="2479"/>
      <c r="F2" s="2479"/>
      <c r="G2" s="2479"/>
      <c r="H2" s="2479"/>
      <c r="I2" s="2479"/>
      <c r="J2" s="1421"/>
    </row>
    <row r="3" spans="2:10" s="317" customFormat="1" ht="12.75" customHeight="1" x14ac:dyDescent="0.2">
      <c r="B3" s="2480" t="s">
        <v>1347</v>
      </c>
      <c r="C3" s="2481"/>
      <c r="D3" s="2481"/>
      <c r="E3" s="2481"/>
      <c r="F3" s="2481"/>
      <c r="G3" s="2481"/>
      <c r="H3" s="2481"/>
      <c r="I3" s="2481"/>
      <c r="J3" s="1422"/>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0" t="s">
        <v>1346</v>
      </c>
      <c r="C7" s="2481"/>
      <c r="D7" s="2481"/>
      <c r="E7" s="2481"/>
      <c r="F7" s="2481"/>
      <c r="G7" s="2481"/>
      <c r="H7" s="2481"/>
      <c r="I7" s="2481"/>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2"/>
      <c r="D11" s="2482"/>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3"/>
      <c r="E29" s="2483"/>
      <c r="F29" s="2483"/>
      <c r="G29" s="2483"/>
      <c r="H29" s="2483"/>
      <c r="I29" s="2483"/>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84" t="s">
        <v>1854</v>
      </c>
      <c r="D37" s="2485"/>
      <c r="E37" s="2485"/>
      <c r="F37" s="2486"/>
      <c r="G37" s="2484" t="s">
        <v>1674</v>
      </c>
      <c r="H37" s="2485"/>
      <c r="I37" s="2486"/>
    </row>
    <row r="38" spans="2:9" ht="16.5" customHeight="1" x14ac:dyDescent="0.2">
      <c r="B38" s="1443"/>
      <c r="C38" s="2472"/>
      <c r="D38" s="2473"/>
      <c r="E38" s="2473"/>
      <c r="F38" s="2474"/>
      <c r="G38" s="2487"/>
      <c r="H38" s="2488"/>
      <c r="I38" s="2489"/>
    </row>
    <row r="39" spans="2:9" ht="16.5" customHeight="1" x14ac:dyDescent="0.2">
      <c r="B39" s="1443"/>
      <c r="C39" s="2472"/>
      <c r="D39" s="2473"/>
      <c r="E39" s="2473"/>
      <c r="F39" s="2474"/>
      <c r="G39" s="2475"/>
      <c r="H39" s="2475"/>
      <c r="I39" s="2475"/>
    </row>
    <row r="40" spans="2:9" ht="16.5" customHeight="1" x14ac:dyDescent="0.2">
      <c r="B40" s="1443"/>
      <c r="C40" s="2472"/>
      <c r="D40" s="2473"/>
      <c r="E40" s="2473"/>
      <c r="F40" s="2474"/>
      <c r="G40" s="2475"/>
      <c r="H40" s="2475"/>
      <c r="I40" s="2475"/>
    </row>
    <row r="41" spans="2:9" ht="16.5" customHeight="1" x14ac:dyDescent="0.2">
      <c r="B41" s="1443"/>
      <c r="C41" s="2472"/>
      <c r="D41" s="2473"/>
      <c r="E41" s="2473"/>
      <c r="F41" s="2474"/>
      <c r="G41" s="2475"/>
      <c r="H41" s="2475"/>
      <c r="I41" s="2475"/>
    </row>
    <row r="42" spans="2:9" ht="16.5" customHeight="1" x14ac:dyDescent="0.2">
      <c r="B42" s="1443"/>
      <c r="C42" s="2472"/>
      <c r="D42" s="2473"/>
      <c r="E42" s="2473"/>
      <c r="F42" s="2474"/>
      <c r="G42" s="2475"/>
      <c r="H42" s="2475"/>
      <c r="I42" s="2475"/>
    </row>
    <row r="43" spans="2:9" ht="16.5" customHeight="1" x14ac:dyDescent="0.2">
      <c r="B43" s="1443"/>
      <c r="C43" s="2465" t="s">
        <v>1675</v>
      </c>
      <c r="D43" s="2466"/>
      <c r="E43" s="2466"/>
      <c r="F43" s="2467"/>
      <c r="G43" s="2468">
        <f>SUM(G38:I42)</f>
        <v>0</v>
      </c>
      <c r="H43" s="2468"/>
      <c r="I43" s="2468"/>
    </row>
    <row r="44" spans="2:9" ht="12.75" customHeight="1" x14ac:dyDescent="0.2"/>
    <row r="45" spans="2:9" ht="12.75" customHeight="1" x14ac:dyDescent="0.2">
      <c r="B45" s="1434" t="s">
        <v>1952</v>
      </c>
      <c r="D45" s="2469">
        <v>0</v>
      </c>
      <c r="E45" s="2470"/>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71"/>
      <c r="F49" s="2471"/>
      <c r="G49" s="2471"/>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Fox River Grove Cons SD 3</v>
      </c>
      <c r="C1" s="2476"/>
      <c r="D1" s="2476"/>
      <c r="E1" s="2476"/>
      <c r="F1" s="2476"/>
      <c r="G1" s="2476"/>
      <c r="H1" s="2476"/>
      <c r="I1" s="2476"/>
      <c r="J1" s="2476"/>
      <c r="K1" s="2476"/>
      <c r="L1" s="1373"/>
      <c r="M1" s="1373"/>
    </row>
    <row r="2" spans="1:13" ht="12" customHeight="1" x14ac:dyDescent="0.2">
      <c r="B2" s="2478">
        <f>'Single Audit Cover'!E7</f>
        <v>44063003003</v>
      </c>
      <c r="C2" s="2478"/>
      <c r="D2" s="2478"/>
      <c r="E2" s="2478"/>
      <c r="F2" s="2478"/>
      <c r="G2" s="2478"/>
      <c r="H2" s="2478"/>
      <c r="I2" s="2478"/>
      <c r="J2" s="2478"/>
      <c r="K2" s="2478"/>
      <c r="L2" s="1374"/>
      <c r="M2" s="1375"/>
    </row>
    <row r="3" spans="1:13" ht="10.35" customHeight="1" x14ac:dyDescent="0.2">
      <c r="B3" s="2492" t="s">
        <v>1347</v>
      </c>
      <c r="C3" s="2492"/>
      <c r="D3" s="2492"/>
      <c r="E3" s="2492"/>
      <c r="F3" s="2492"/>
      <c r="G3" s="2492"/>
      <c r="H3" s="2492"/>
      <c r="I3" s="2492"/>
      <c r="J3" s="2492"/>
      <c r="K3" s="2492"/>
      <c r="L3" s="1376"/>
      <c r="M3" s="1376"/>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3" t="s">
        <v>1363</v>
      </c>
      <c r="C7" s="2493"/>
      <c r="D7" s="2494"/>
      <c r="E7" s="2494"/>
      <c r="F7" s="2494"/>
      <c r="G7" s="2494"/>
      <c r="H7" s="2494"/>
      <c r="I7" s="2494"/>
      <c r="J7" s="2494"/>
      <c r="K7" s="2494"/>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1"/>
      <c r="C14" s="2491"/>
      <c r="D14" s="2491"/>
      <c r="E14" s="2491"/>
      <c r="F14" s="2491"/>
      <c r="G14" s="2491"/>
      <c r="H14" s="2491"/>
      <c r="I14" s="2491"/>
      <c r="J14" s="2491"/>
      <c r="K14" s="2491"/>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1"/>
      <c r="C17" s="2491"/>
      <c r="D17" s="2491"/>
      <c r="E17" s="2491"/>
      <c r="F17" s="2491"/>
      <c r="G17" s="2491"/>
      <c r="H17" s="2491"/>
      <c r="I17" s="2491"/>
      <c r="J17" s="2491"/>
      <c r="K17" s="2491"/>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495"/>
      <c r="C20" s="2495"/>
      <c r="D20" s="2491"/>
      <c r="E20" s="2491"/>
      <c r="F20" s="2491"/>
      <c r="G20" s="2491"/>
      <c r="H20" s="2491"/>
      <c r="I20" s="2491"/>
      <c r="J20" s="2491"/>
      <c r="K20" s="2491"/>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1"/>
      <c r="C23" s="2491"/>
      <c r="D23" s="2491"/>
      <c r="E23" s="2491"/>
      <c r="F23" s="2491"/>
      <c r="G23" s="2491"/>
      <c r="H23" s="2491"/>
      <c r="I23" s="2491"/>
      <c r="J23" s="2491"/>
      <c r="K23" s="2491"/>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1"/>
      <c r="C26" s="2491"/>
      <c r="D26" s="2491"/>
      <c r="E26" s="2491"/>
      <c r="F26" s="2491"/>
      <c r="G26" s="2491"/>
      <c r="H26" s="2491"/>
      <c r="I26" s="2491"/>
      <c r="J26" s="2491"/>
      <c r="K26" s="2491"/>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0"/>
      <c r="C29" s="2490"/>
      <c r="D29" s="2491"/>
      <c r="E29" s="2491"/>
      <c r="F29" s="2491"/>
      <c r="G29" s="2491"/>
      <c r="H29" s="2491"/>
      <c r="I29" s="2491"/>
      <c r="J29" s="2491"/>
      <c r="K29" s="2491"/>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0"/>
      <c r="C32" s="2490"/>
      <c r="D32" s="2491"/>
      <c r="E32" s="2491"/>
      <c r="F32" s="2491"/>
      <c r="G32" s="2491"/>
      <c r="H32" s="2491"/>
      <c r="I32" s="2491"/>
      <c r="J32" s="2491"/>
      <c r="K32" s="2491"/>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Fox River Grove Cons SD 3</v>
      </c>
      <c r="C1" s="2499"/>
      <c r="D1" s="2499"/>
      <c r="E1" s="2499"/>
      <c r="F1" s="2499"/>
      <c r="G1" s="2499"/>
      <c r="H1" s="2499"/>
      <c r="I1" s="2499"/>
      <c r="J1" s="2499"/>
      <c r="K1" s="2499"/>
      <c r="L1" s="1464"/>
    </row>
    <row r="2" spans="1:12" ht="12.75" customHeight="1" x14ac:dyDescent="0.2">
      <c r="B2" s="2500">
        <f>'Single Audit Cover'!E7</f>
        <v>44063003003</v>
      </c>
      <c r="C2" s="2500"/>
      <c r="D2" s="2500"/>
      <c r="E2" s="2500"/>
      <c r="F2" s="2500"/>
      <c r="G2" s="2500"/>
      <c r="H2" s="2500"/>
      <c r="I2" s="2500"/>
      <c r="J2" s="2500"/>
      <c r="K2" s="2500"/>
      <c r="L2" s="1465"/>
    </row>
    <row r="3" spans="1:12" ht="12.75" customHeight="1" x14ac:dyDescent="0.2">
      <c r="B3" s="2492" t="s">
        <v>1347</v>
      </c>
      <c r="C3" s="2492"/>
      <c r="D3" s="2492"/>
      <c r="E3" s="2492"/>
      <c r="F3" s="2492"/>
      <c r="G3" s="2492"/>
      <c r="H3" s="2492"/>
      <c r="I3" s="2492"/>
      <c r="J3" s="2492"/>
      <c r="K3" s="2492"/>
      <c r="L3" s="1376"/>
    </row>
    <row r="4" spans="1:12" ht="12.75" customHeight="1" x14ac:dyDescent="0.2">
      <c r="B4" s="2492" t="str">
        <f>'Single Audit Cover'!A4</f>
        <v>Year Ending June 30, 2018</v>
      </c>
      <c r="C4" s="2492"/>
      <c r="D4" s="2492"/>
      <c r="E4" s="2492"/>
      <c r="F4" s="2492"/>
      <c r="G4" s="2492"/>
      <c r="H4" s="2492"/>
      <c r="I4" s="2492"/>
      <c r="J4" s="2492"/>
      <c r="K4" s="2492"/>
      <c r="L4" s="1376"/>
    </row>
    <row r="5" spans="1:12" ht="5.25" customHeight="1" x14ac:dyDescent="0.2">
      <c r="B5" s="1259" t="s">
        <v>1231</v>
      </c>
      <c r="C5" s="1259"/>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3"/>
      <c r="G12" s="2483"/>
      <c r="H12" s="2483"/>
      <c r="I12" s="2483"/>
      <c r="J12" s="2483"/>
      <c r="K12" s="2483"/>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496"/>
      <c r="E14" s="2496"/>
      <c r="F14" s="2496"/>
      <c r="H14" s="1474" t="s">
        <v>1370</v>
      </c>
      <c r="I14" s="2497"/>
      <c r="J14" s="2497"/>
      <c r="K14" s="2497"/>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497"/>
      <c r="E16" s="2497"/>
      <c r="F16" s="2497"/>
      <c r="G16" s="2497"/>
      <c r="H16" s="2497"/>
      <c r="I16" s="2497"/>
      <c r="J16" s="2497"/>
      <c r="K16" s="2497"/>
      <c r="L16" s="322"/>
    </row>
    <row r="17" spans="2:12" ht="13.5" customHeight="1" x14ac:dyDescent="0.2">
      <c r="B17" s="1386" t="s">
        <v>1368</v>
      </c>
      <c r="C17" s="1386"/>
      <c r="D17" s="2498"/>
      <c r="E17" s="2498"/>
      <c r="F17" s="2498"/>
      <c r="G17" s="2498"/>
      <c r="H17" s="2498"/>
      <c r="I17" s="2498"/>
      <c r="J17" s="2498"/>
      <c r="K17" s="2498"/>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91"/>
      <c r="C20" s="2491"/>
      <c r="D20" s="2491"/>
      <c r="E20" s="2491"/>
      <c r="F20" s="2491"/>
      <c r="G20" s="2491"/>
      <c r="H20" s="2491"/>
      <c r="I20" s="2491"/>
      <c r="J20" s="2491"/>
      <c r="K20" s="2491"/>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1"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6" t="str">
        <f>'Single Audit Cover'!A7</f>
        <v>Fox River Grove Cons SD 3</v>
      </c>
      <c r="C1" s="2476"/>
      <c r="D1" s="2476"/>
      <c r="E1" s="1490"/>
    </row>
    <row r="2" spans="2:5" s="1281" customFormat="1" ht="12.75" customHeight="1" x14ac:dyDescent="0.2">
      <c r="B2" s="2478">
        <f>'Single Audit Cover'!E7</f>
        <v>44063003003</v>
      </c>
      <c r="C2" s="2478"/>
      <c r="D2" s="2478"/>
      <c r="E2" s="1491"/>
    </row>
    <row r="3" spans="2:5" ht="12.75" customHeight="1" x14ac:dyDescent="0.2">
      <c r="B3" s="2492" t="s">
        <v>1869</v>
      </c>
      <c r="C3" s="2492"/>
      <c r="D3" s="2492"/>
      <c r="E3" s="1273"/>
    </row>
    <row r="4" spans="2:5" s="1281" customFormat="1" ht="12.75" customHeight="1" x14ac:dyDescent="0.2">
      <c r="B4" s="2502" t="str">
        <f>'Single Audit Cover'!A4</f>
        <v>Year Ending June 30, 2018</v>
      </c>
      <c r="C4" s="2502"/>
      <c r="D4" s="2502"/>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tabSelected="1" defaultGridColor="0" colorId="8" zoomScale="110" zoomScaleNormal="110" workbookViewId="0">
      <selection sqref="A1:F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103850201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4.0309119999999997E-2</v>
      </c>
      <c r="E10" s="356" t="s">
        <v>1062</v>
      </c>
      <c r="F10" s="355">
        <v>5.2026900000000003E-3</v>
      </c>
      <c r="G10" s="356" t="s">
        <v>1062</v>
      </c>
      <c r="H10" s="355">
        <v>2.3439999999999999E-5</v>
      </c>
      <c r="I10" s="356" t="s">
        <v>1063</v>
      </c>
      <c r="J10" s="1753">
        <f>ROUND(D10+F10+H10,5)</f>
        <v>4.5539999999999997E-2</v>
      </c>
      <c r="K10" s="222"/>
      <c r="L10" s="355">
        <v>4.7809000000000003E-4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7070252</v>
      </c>
      <c r="E16" s="356"/>
      <c r="F16" s="1754">
        <f>SUM('Acct Summary 7-8'!C17,'Acct Summary 7-8'!D17,'Acct Summary 7-8'!F17)</f>
        <v>6024961</v>
      </c>
      <c r="G16" s="356"/>
      <c r="H16" s="1754">
        <f>SUM(D16-F16)</f>
        <v>1045291</v>
      </c>
      <c r="I16" s="222"/>
      <c r="J16" s="1754">
        <f>SUM('Acct Summary 7-8'!C81,'Acct Summary 7-8'!D81,'Acct Summary 7-8'!F81,'Acct Summary 7-8'!I81)</f>
        <v>6648754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6">
        <f>IF(B31="X",(J7*0.069),IF(B32="X",(J7*0.138),"Enter x in a.or b."))</f>
        <v>7165663.8690000009</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1165000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abSelected="1" topLeftCell="A19" zoomScale="110" zoomScaleNormal="11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Fox River Grove Cons SD 3</v>
      </c>
      <c r="E7" s="391"/>
      <c r="G7" s="252"/>
      <c r="H7" s="387"/>
      <c r="I7" s="387"/>
      <c r="J7" s="387"/>
      <c r="K7" s="387"/>
      <c r="L7" s="329"/>
      <c r="M7" s="329"/>
      <c r="N7" s="329"/>
      <c r="O7" s="329"/>
      <c r="P7" s="329"/>
    </row>
    <row r="8" spans="1:18" ht="12.75" x14ac:dyDescent="0.2">
      <c r="A8" s="329"/>
      <c r="B8" s="329"/>
      <c r="C8" s="389" t="s">
        <v>1187</v>
      </c>
      <c r="D8" s="392">
        <f>COVER!A13</f>
        <v>44063003003</v>
      </c>
      <c r="E8" s="393"/>
      <c r="G8" s="329"/>
      <c r="H8" s="329"/>
      <c r="I8" s="329"/>
      <c r="J8" s="329"/>
      <c r="K8" s="329"/>
      <c r="L8" s="329"/>
      <c r="M8" s="329"/>
      <c r="N8" s="329"/>
      <c r="O8" s="329"/>
      <c r="P8" s="329"/>
    </row>
    <row r="9" spans="1:18" ht="12.75" x14ac:dyDescent="0.2">
      <c r="A9" s="329"/>
      <c r="B9" s="329"/>
      <c r="C9" s="389" t="s">
        <v>737</v>
      </c>
      <c r="D9" s="394" t="str">
        <f>COVER!A15</f>
        <v>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6648754</v>
      </c>
      <c r="I12" s="404"/>
      <c r="J12" s="404"/>
      <c r="K12" s="405">
        <f>TRUNC((H12/H13*100000),5)/100000</f>
        <v>0.96076761360000007</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6920252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-150000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6024961</v>
      </c>
      <c r="I17" s="404"/>
      <c r="J17" s="416"/>
      <c r="K17" s="405">
        <f>TRUNC((H17/H18*100000),5)/100000</f>
        <v>0.87062739910000009</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6920252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-150000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6659787</v>
      </c>
      <c r="I24" s="422"/>
      <c r="J24" s="422"/>
      <c r="K24" s="423">
        <f>TRUNC(((H24/H25*100000)/100000),2)</f>
        <v>397.93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16736.002779999999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4019937.4305099999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1165000</v>
      </c>
      <c r="I32" s="420"/>
      <c r="J32" s="420"/>
      <c r="K32" s="423">
        <f>TRUNC(100-((((H32/H33*100))*100)/100),2)</f>
        <v>83.74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7165663.8690000009</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tabSelected="1" defaultGridColor="0" topLeftCell="B1" colorId="8" zoomScale="110" zoomScaleNormal="110" workbookViewId="0">
      <pane ySplit="2" topLeftCell="A27" activePane="bottomLeft" state="frozen"/>
      <selection sqref="A1:F1"/>
      <selection pane="bottomLeft" sqref="A1:F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0"/>
      <c r="D3" s="1581"/>
      <c r="E3" s="1581"/>
      <c r="F3" s="1581"/>
      <c r="G3" s="1581"/>
      <c r="H3" s="1581"/>
      <c r="I3" s="1581"/>
      <c r="J3" s="1581"/>
      <c r="K3" s="1581"/>
      <c r="L3" s="1581"/>
      <c r="M3" s="1582"/>
      <c r="N3" s="1583"/>
    </row>
    <row r="4" spans="1:14" ht="13.5" customHeight="1" x14ac:dyDescent="0.2">
      <c r="A4" s="463" t="s">
        <v>1750</v>
      </c>
      <c r="B4" s="464"/>
      <c r="C4" s="465">
        <v>3469168</v>
      </c>
      <c r="D4" s="466">
        <v>1613568</v>
      </c>
      <c r="E4" s="466">
        <v>224335</v>
      </c>
      <c r="F4" s="466">
        <v>739718</v>
      </c>
      <c r="G4" s="466">
        <v>296538</v>
      </c>
      <c r="H4" s="466">
        <v>0</v>
      </c>
      <c r="I4" s="466">
        <v>837333</v>
      </c>
      <c r="J4" s="467">
        <v>151505</v>
      </c>
      <c r="K4" s="466">
        <v>0</v>
      </c>
      <c r="L4" s="466">
        <v>16162</v>
      </c>
      <c r="M4" s="468"/>
      <c r="N4" s="469"/>
    </row>
    <row r="5" spans="1:14" x14ac:dyDescent="0.2">
      <c r="A5" s="463" t="s">
        <v>1049</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7" t="s">
        <v>665</v>
      </c>
      <c r="B13" s="1730"/>
      <c r="C13" s="1758">
        <f>SUM(C4:C12)</f>
        <v>3469168</v>
      </c>
      <c r="D13" s="1758">
        <f t="shared" ref="D13:L13" si="0">SUM(D4:D12)</f>
        <v>1613568</v>
      </c>
      <c r="E13" s="1758">
        <f t="shared" si="0"/>
        <v>224335</v>
      </c>
      <c r="F13" s="1758">
        <f t="shared" si="0"/>
        <v>739718</v>
      </c>
      <c r="G13" s="1758">
        <f t="shared" si="0"/>
        <v>296538</v>
      </c>
      <c r="H13" s="1758">
        <f t="shared" si="0"/>
        <v>0</v>
      </c>
      <c r="I13" s="1758">
        <f t="shared" si="0"/>
        <v>837333</v>
      </c>
      <c r="J13" s="1758">
        <f t="shared" si="0"/>
        <v>151505</v>
      </c>
      <c r="K13" s="1758">
        <f t="shared" si="0"/>
        <v>0</v>
      </c>
      <c r="L13" s="1758">
        <f t="shared" si="0"/>
        <v>16162</v>
      </c>
      <c r="M13" s="468"/>
      <c r="N13" s="469"/>
    </row>
    <row r="14" spans="1:14" ht="18" customHeight="1" thickTop="1" x14ac:dyDescent="0.2">
      <c r="A14" s="2126" t="s">
        <v>149</v>
      </c>
      <c r="B14" s="2127"/>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321274</v>
      </c>
      <c r="N16" s="484"/>
    </row>
    <row r="17" spans="1:14" s="485" customFormat="1" ht="12.75" customHeight="1" x14ac:dyDescent="0.2">
      <c r="A17" s="482" t="s">
        <v>1470</v>
      </c>
      <c r="B17" s="483">
        <v>230</v>
      </c>
      <c r="C17" s="477"/>
      <c r="D17" s="477"/>
      <c r="E17" s="477"/>
      <c r="F17" s="477"/>
      <c r="G17" s="477"/>
      <c r="H17" s="477"/>
      <c r="I17" s="477"/>
      <c r="J17" s="477"/>
      <c r="K17" s="477"/>
      <c r="L17" s="477"/>
      <c r="M17" s="467">
        <v>10265523</v>
      </c>
      <c r="N17" s="484"/>
    </row>
    <row r="18" spans="1:14" s="485" customFormat="1" ht="12.75" customHeight="1" x14ac:dyDescent="0.2">
      <c r="A18" s="482" t="s">
        <v>1471</v>
      </c>
      <c r="B18" s="483">
        <v>240</v>
      </c>
      <c r="C18" s="477"/>
      <c r="D18" s="477"/>
      <c r="E18" s="477"/>
      <c r="F18" s="477"/>
      <c r="G18" s="477"/>
      <c r="H18" s="477"/>
      <c r="I18" s="477"/>
      <c r="J18" s="477"/>
      <c r="K18" s="477"/>
      <c r="L18" s="477"/>
      <c r="M18" s="467">
        <v>280929</v>
      </c>
      <c r="N18" s="484"/>
    </row>
    <row r="19" spans="1:14" s="485" customFormat="1" ht="12.75" customHeight="1" x14ac:dyDescent="0.2">
      <c r="A19" s="482" t="s">
        <v>1472</v>
      </c>
      <c r="B19" s="483">
        <v>250</v>
      </c>
      <c r="C19" s="477"/>
      <c r="D19" s="477"/>
      <c r="E19" s="477"/>
      <c r="F19" s="477"/>
      <c r="G19" s="477"/>
      <c r="H19" s="477"/>
      <c r="I19" s="477"/>
      <c r="J19" s="477"/>
      <c r="K19" s="477"/>
      <c r="L19" s="477"/>
      <c r="M19" s="467">
        <v>1154372</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224335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940665</v>
      </c>
    </row>
    <row r="23" spans="1:14" ht="13.5" customHeight="1" thickBot="1" x14ac:dyDescent="0.25">
      <c r="A23" s="1757" t="s">
        <v>664</v>
      </c>
      <c r="B23" s="1762"/>
      <c r="C23" s="468"/>
      <c r="D23" s="468"/>
      <c r="E23" s="468"/>
      <c r="F23" s="468"/>
      <c r="G23" s="468"/>
      <c r="H23" s="468"/>
      <c r="I23" s="468"/>
      <c r="J23" s="468"/>
      <c r="K23" s="468"/>
      <c r="L23" s="468"/>
      <c r="M23" s="1709">
        <f>SUM(M15:M22)</f>
        <v>12022098</v>
      </c>
      <c r="N23" s="1709">
        <f>SUM(N21:N22)</f>
        <v>1165000</v>
      </c>
    </row>
    <row r="24" spans="1:14" ht="18" customHeight="1" thickTop="1" x14ac:dyDescent="0.2">
      <c r="A24" s="2128" t="s">
        <v>619</v>
      </c>
      <c r="B24" s="2129"/>
      <c r="C24" s="1589"/>
      <c r="D24" s="1586"/>
      <c r="E24" s="1586"/>
      <c r="F24" s="1586"/>
      <c r="G24" s="1586"/>
      <c r="H24" s="1586"/>
      <c r="I24" s="1586"/>
      <c r="J24" s="1586"/>
      <c r="K24" s="1586"/>
      <c r="L24" s="1586"/>
      <c r="M24" s="1585"/>
      <c r="N24" s="1590"/>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11033</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16162</v>
      </c>
      <c r="M33" s="468"/>
      <c r="N33" s="469"/>
    </row>
    <row r="34" spans="1:14" ht="13.5" customHeight="1" thickBot="1" x14ac:dyDescent="0.25">
      <c r="A34" s="1759" t="s">
        <v>675</v>
      </c>
      <c r="B34" s="1760"/>
      <c r="C34" s="1761">
        <f>SUM(C25:C33)</f>
        <v>11033</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16162</v>
      </c>
      <c r="M34" s="468"/>
      <c r="N34" s="480"/>
    </row>
    <row r="35" spans="1:14" ht="18" customHeight="1" thickTop="1" x14ac:dyDescent="0.2">
      <c r="A35" s="2130" t="s">
        <v>550</v>
      </c>
      <c r="B35" s="2131"/>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1165000</v>
      </c>
    </row>
    <row r="37" spans="1:14" ht="13.5" thickBot="1" x14ac:dyDescent="0.25">
      <c r="A37" s="1757" t="s">
        <v>674</v>
      </c>
      <c r="B37" s="1762"/>
      <c r="C37" s="477"/>
      <c r="D37" s="477"/>
      <c r="E37" s="477"/>
      <c r="F37" s="477"/>
      <c r="G37" s="477"/>
      <c r="H37" s="477"/>
      <c r="I37" s="477"/>
      <c r="J37" s="477"/>
      <c r="K37" s="477"/>
      <c r="L37" s="480"/>
      <c r="M37" s="468"/>
      <c r="N37" s="1709">
        <f>SUM(N36:N36)</f>
        <v>1165000</v>
      </c>
    </row>
    <row r="38" spans="1:14" s="329" customFormat="1" ht="13.5" customHeight="1" thickTop="1" x14ac:dyDescent="0.2">
      <c r="A38" s="496" t="s">
        <v>440</v>
      </c>
      <c r="B38" s="483">
        <v>714</v>
      </c>
      <c r="C38" s="466"/>
      <c r="D38" s="466"/>
      <c r="E38" s="466"/>
      <c r="F38" s="466"/>
      <c r="G38" s="466">
        <v>173823</v>
      </c>
      <c r="H38" s="466"/>
      <c r="I38" s="466"/>
      <c r="J38" s="467"/>
      <c r="K38" s="466"/>
      <c r="L38" s="481"/>
      <c r="M38" s="497"/>
      <c r="N38" s="497"/>
    </row>
    <row r="39" spans="1:14" s="329" customFormat="1" ht="13.5" customHeight="1" x14ac:dyDescent="0.2">
      <c r="A39" s="496" t="s">
        <v>360</v>
      </c>
      <c r="B39" s="483">
        <v>730</v>
      </c>
      <c r="C39" s="466">
        <v>3458135</v>
      </c>
      <c r="D39" s="466">
        <v>1613568</v>
      </c>
      <c r="E39" s="466">
        <v>224335</v>
      </c>
      <c r="F39" s="466">
        <v>739718</v>
      </c>
      <c r="G39" s="466">
        <v>122715</v>
      </c>
      <c r="H39" s="466">
        <v>0</v>
      </c>
      <c r="I39" s="466">
        <v>837333</v>
      </c>
      <c r="J39" s="467">
        <v>151505</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12022098</v>
      </c>
      <c r="N40" s="497"/>
    </row>
    <row r="41" spans="1:14" ht="13.5" customHeight="1" thickBot="1" x14ac:dyDescent="0.25">
      <c r="A41" s="1757" t="s">
        <v>676</v>
      </c>
      <c r="B41" s="1727"/>
      <c r="C41" s="1709">
        <f>(SUM(C34,C37,C38,C39))</f>
        <v>3469168</v>
      </c>
      <c r="D41" s="1709">
        <f t="shared" ref="D41:L41" si="2">SUM(D34,D37,D38:D39)</f>
        <v>1613568</v>
      </c>
      <c r="E41" s="1709">
        <f t="shared" si="2"/>
        <v>224335</v>
      </c>
      <c r="F41" s="1709">
        <f t="shared" si="2"/>
        <v>739718</v>
      </c>
      <c r="G41" s="1709">
        <f t="shared" si="2"/>
        <v>296538</v>
      </c>
      <c r="H41" s="1709">
        <f t="shared" si="2"/>
        <v>0</v>
      </c>
      <c r="I41" s="1709">
        <f t="shared" si="2"/>
        <v>837333</v>
      </c>
      <c r="J41" s="1709">
        <f t="shared" si="2"/>
        <v>151505</v>
      </c>
      <c r="K41" s="1709">
        <f t="shared" si="2"/>
        <v>0</v>
      </c>
      <c r="L41" s="1709">
        <f t="shared" si="2"/>
        <v>16162</v>
      </c>
      <c r="M41" s="1709">
        <f>SUM(M40)</f>
        <v>12022098</v>
      </c>
      <c r="N41" s="1709">
        <f>SUM(N37)</f>
        <v>1165000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tabSelected="1" defaultGridColor="0" colorId="8" zoomScale="110" zoomScaleNormal="110" zoomScaleSheetLayoutView="100" workbookViewId="0">
      <pane ySplit="2" topLeftCell="A72" activePane="bottomLeft" state="frozenSplit"/>
      <selection sqref="A1:F1"/>
      <selection pane="bottomLeft" sqref="A1:F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4"/>
      <c r="D3" s="1595"/>
      <c r="E3" s="1595"/>
      <c r="F3" s="1595"/>
      <c r="G3" s="1595"/>
      <c r="H3" s="1595"/>
      <c r="I3" s="1595"/>
      <c r="J3" s="1595"/>
      <c r="K3" s="1596"/>
      <c r="L3" s="506"/>
    </row>
    <row r="4" spans="1:13" ht="15.75" customHeight="1" x14ac:dyDescent="0.2">
      <c r="A4" s="1953" t="s">
        <v>1579</v>
      </c>
      <c r="B4" s="1954">
        <v>1000</v>
      </c>
      <c r="C4" s="1763">
        <f>'Revenues 9-14'!C109</f>
        <v>4494794</v>
      </c>
      <c r="D4" s="1763">
        <f>'Revenues 9-14'!D109</f>
        <v>595334</v>
      </c>
      <c r="E4" s="1763">
        <f>'Revenues 9-14'!E109</f>
        <v>359452</v>
      </c>
      <c r="F4" s="1763">
        <f>'Revenues 9-14'!F109</f>
        <v>351059</v>
      </c>
      <c r="G4" s="1763">
        <f>'Revenues 9-14'!G109</f>
        <v>246585</v>
      </c>
      <c r="H4" s="1763">
        <f>'Revenues 9-14'!H109</f>
        <v>0</v>
      </c>
      <c r="I4" s="1763">
        <f>'Revenues 9-14'!I109</f>
        <v>59520</v>
      </c>
      <c r="J4" s="1763">
        <f>'Revenues 9-14'!J109</f>
        <v>77252</v>
      </c>
      <c r="K4" s="1763">
        <f>'Revenues 9-14'!K109</f>
        <v>0</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1175779</v>
      </c>
      <c r="D6" s="1764">
        <f>'Revenues 9-14'!D173</f>
        <v>0</v>
      </c>
      <c r="E6" s="1764">
        <f>'Revenues 9-14'!E173</f>
        <v>0</v>
      </c>
      <c r="F6" s="1764">
        <f>'Revenues 9-14'!F173</f>
        <v>193582</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200184</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5870757</v>
      </c>
      <c r="D8" s="1709">
        <f t="shared" ref="D8:K8" si="0">SUM(D4:D7)</f>
        <v>595334</v>
      </c>
      <c r="E8" s="1709">
        <f t="shared" si="0"/>
        <v>359452</v>
      </c>
      <c r="F8" s="1709">
        <f t="shared" si="0"/>
        <v>544641</v>
      </c>
      <c r="G8" s="1709">
        <f t="shared" si="0"/>
        <v>246585</v>
      </c>
      <c r="H8" s="1709">
        <f t="shared" si="0"/>
        <v>0</v>
      </c>
      <c r="I8" s="1709">
        <f t="shared" si="0"/>
        <v>59520</v>
      </c>
      <c r="J8" s="1709">
        <f t="shared" si="0"/>
        <v>77252</v>
      </c>
      <c r="K8" s="1709">
        <f t="shared" si="0"/>
        <v>0</v>
      </c>
      <c r="L8" s="347"/>
    </row>
    <row r="9" spans="1:13" ht="15.75" thickTop="1" x14ac:dyDescent="0.2">
      <c r="A9" s="514" t="s">
        <v>1752</v>
      </c>
      <c r="B9" s="515">
        <v>3998</v>
      </c>
      <c r="C9" s="481">
        <v>2088177</v>
      </c>
      <c r="D9" s="516">
        <v>0</v>
      </c>
      <c r="E9" s="481">
        <v>0</v>
      </c>
      <c r="F9" s="481">
        <v>0</v>
      </c>
      <c r="G9" s="517">
        <v>0</v>
      </c>
      <c r="H9" s="481">
        <v>0</v>
      </c>
      <c r="I9" s="509" t="s">
        <v>1231</v>
      </c>
      <c r="J9" s="478">
        <v>0</v>
      </c>
      <c r="K9" s="481">
        <v>0</v>
      </c>
      <c r="L9" s="347"/>
    </row>
    <row r="10" spans="1:13" s="519" customFormat="1" ht="13.5" thickBot="1" x14ac:dyDescent="0.25">
      <c r="A10" s="1757" t="s">
        <v>1235</v>
      </c>
      <c r="B10" s="1730"/>
      <c r="C10" s="1709">
        <f>SUM(C8:C9)</f>
        <v>7958934</v>
      </c>
      <c r="D10" s="1709">
        <f t="shared" ref="D10:K10" si="1">SUM(D8:D9)</f>
        <v>595334</v>
      </c>
      <c r="E10" s="1709">
        <f t="shared" si="1"/>
        <v>359452</v>
      </c>
      <c r="F10" s="1709">
        <f t="shared" si="1"/>
        <v>544641</v>
      </c>
      <c r="G10" s="1709">
        <f t="shared" si="1"/>
        <v>246585</v>
      </c>
      <c r="H10" s="1709">
        <f t="shared" si="1"/>
        <v>0</v>
      </c>
      <c r="I10" s="1709">
        <f t="shared" si="1"/>
        <v>59520</v>
      </c>
      <c r="J10" s="1709">
        <f t="shared" si="1"/>
        <v>77252</v>
      </c>
      <c r="K10" s="1709">
        <f t="shared" si="1"/>
        <v>0</v>
      </c>
      <c r="L10" s="518"/>
    </row>
    <row r="11" spans="1:13" s="519" customFormat="1" ht="16.7" customHeight="1" thickTop="1" x14ac:dyDescent="0.2">
      <c r="A11" s="2126" t="s">
        <v>1238</v>
      </c>
      <c r="B11" s="2127"/>
      <c r="C11" s="1591"/>
      <c r="D11" s="1592"/>
      <c r="E11" s="1592"/>
      <c r="F11" s="1592"/>
      <c r="G11" s="1592"/>
      <c r="H11" s="1592"/>
      <c r="I11" s="1592"/>
      <c r="J11" s="1592"/>
      <c r="K11" s="1593"/>
      <c r="L11" s="518"/>
    </row>
    <row r="12" spans="1:13" ht="15.75" customHeight="1" x14ac:dyDescent="0.2">
      <c r="A12" s="1597" t="s">
        <v>476</v>
      </c>
      <c r="B12" s="1599">
        <v>1000</v>
      </c>
      <c r="C12" s="1763">
        <f>'Expenditures 15-22'!K33</f>
        <v>3052166</v>
      </c>
      <c r="D12" s="520" t="s">
        <v>1231</v>
      </c>
      <c r="E12" s="468" t="s">
        <v>1231</v>
      </c>
      <c r="F12" s="468" t="s">
        <v>1231</v>
      </c>
      <c r="G12" s="1763">
        <f>'Expenditures 15-22'!K229</f>
        <v>73162</v>
      </c>
      <c r="H12" s="521"/>
      <c r="I12" s="468" t="s">
        <v>1231</v>
      </c>
      <c r="J12" s="468" t="s">
        <v>1231</v>
      </c>
      <c r="K12" s="521" t="s">
        <v>1231</v>
      </c>
      <c r="L12" s="347"/>
    </row>
    <row r="13" spans="1:13" ht="15.75" customHeight="1" x14ac:dyDescent="0.2">
      <c r="A13" s="1597" t="s">
        <v>477</v>
      </c>
      <c r="B13" s="1599">
        <v>2000</v>
      </c>
      <c r="C13" s="1764">
        <f>'Expenditures 15-22'!K74</f>
        <v>1714628</v>
      </c>
      <c r="D13" s="1764">
        <f>'Expenditures 15-22'!K129</f>
        <v>483839</v>
      </c>
      <c r="E13" s="469" t="s">
        <v>1231</v>
      </c>
      <c r="F13" s="1764">
        <f>'Expenditures 15-22'!K184</f>
        <v>291286</v>
      </c>
      <c r="G13" s="1764">
        <f>'Expenditures 15-22'!K279</f>
        <v>140071</v>
      </c>
      <c r="H13" s="1764">
        <f>'Expenditures 15-22'!K303</f>
        <v>0</v>
      </c>
      <c r="I13" s="468" t="s">
        <v>1231</v>
      </c>
      <c r="J13" s="1764">
        <f>'Expenditures 15-22'!K330</f>
        <v>71162</v>
      </c>
      <c r="K13" s="1768">
        <f>'Expenditures 15-22'!K352</f>
        <v>0</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481469</v>
      </c>
      <c r="D15" s="1764">
        <f>'Expenditures 15-22'!K139</f>
        <v>0</v>
      </c>
      <c r="E15" s="1764">
        <f>'Expenditures 15-22'!K160</f>
        <v>0</v>
      </c>
      <c r="F15" s="1764">
        <f>'Expenditures 15-22'!K196</f>
        <v>1573</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497145</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5248263</v>
      </c>
      <c r="D17" s="1709">
        <f t="shared" si="2"/>
        <v>483839</v>
      </c>
      <c r="E17" s="1709">
        <f t="shared" si="2"/>
        <v>497145</v>
      </c>
      <c r="F17" s="1709">
        <f t="shared" si="2"/>
        <v>292859</v>
      </c>
      <c r="G17" s="1709">
        <f t="shared" si="2"/>
        <v>213233</v>
      </c>
      <c r="H17" s="1709">
        <f t="shared" si="2"/>
        <v>0</v>
      </c>
      <c r="I17" s="468"/>
      <c r="J17" s="1709">
        <f>SUM(J12:J16)</f>
        <v>71162</v>
      </c>
      <c r="K17" s="1709">
        <f>SUM(K12:K16)</f>
        <v>0</v>
      </c>
      <c r="L17" s="347"/>
    </row>
    <row r="18" spans="1:12" ht="15" customHeight="1" thickTop="1" x14ac:dyDescent="0.2">
      <c r="A18" s="1765" t="s">
        <v>1753</v>
      </c>
      <c r="B18" s="1766">
        <v>4180</v>
      </c>
      <c r="C18" s="1763">
        <f t="shared" ref="C18:H18" si="3">C9</f>
        <v>2088177</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7336440</v>
      </c>
      <c r="D19" s="1709">
        <f t="shared" si="4"/>
        <v>483839</v>
      </c>
      <c r="E19" s="1709">
        <f t="shared" si="4"/>
        <v>497145</v>
      </c>
      <c r="F19" s="1709">
        <f t="shared" si="4"/>
        <v>292859</v>
      </c>
      <c r="G19" s="1709">
        <f t="shared" si="4"/>
        <v>213233</v>
      </c>
      <c r="H19" s="1709">
        <f t="shared" si="4"/>
        <v>0</v>
      </c>
      <c r="I19" s="468"/>
      <c r="J19" s="1709">
        <f>SUM(J17:J18)</f>
        <v>71162</v>
      </c>
      <c r="K19" s="1709">
        <f>SUM(K17:K18)</f>
        <v>0</v>
      </c>
      <c r="L19" s="347"/>
    </row>
    <row r="20" spans="1:12" ht="16.5" thickTop="1" thickBot="1" x14ac:dyDescent="0.25">
      <c r="A20" s="2142" t="s">
        <v>1754</v>
      </c>
      <c r="B20" s="2143"/>
      <c r="C20" s="1767">
        <f>C8-C17</f>
        <v>622494</v>
      </c>
      <c r="D20" s="1767">
        <f t="shared" ref="D20:K20" si="5">D8-D17</f>
        <v>111495</v>
      </c>
      <c r="E20" s="1767">
        <f t="shared" si="5"/>
        <v>-137693</v>
      </c>
      <c r="F20" s="1767">
        <f t="shared" si="5"/>
        <v>251782</v>
      </c>
      <c r="G20" s="1767">
        <f t="shared" si="5"/>
        <v>33352</v>
      </c>
      <c r="H20" s="1767">
        <f t="shared" si="5"/>
        <v>0</v>
      </c>
      <c r="I20" s="1767">
        <f t="shared" si="5"/>
        <v>59520</v>
      </c>
      <c r="J20" s="1767">
        <f t="shared" si="5"/>
        <v>6090</v>
      </c>
      <c r="K20" s="1767">
        <f t="shared" si="5"/>
        <v>0</v>
      </c>
      <c r="L20" s="347"/>
    </row>
    <row r="21" spans="1:12" ht="16.7" customHeight="1" thickTop="1" x14ac:dyDescent="0.2">
      <c r="A21" s="2154" t="s">
        <v>616</v>
      </c>
      <c r="B21" s="2155"/>
      <c r="C21" s="1591"/>
      <c r="D21" s="1592"/>
      <c r="E21" s="1592"/>
      <c r="F21" s="1592"/>
      <c r="G21" s="1592"/>
      <c r="H21" s="1592"/>
      <c r="I21" s="1592"/>
      <c r="J21" s="1592"/>
      <c r="K21" s="1593"/>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0"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0" t="s">
        <v>194</v>
      </c>
      <c r="B27" s="483">
        <v>7130</v>
      </c>
      <c r="C27" s="467">
        <v>0</v>
      </c>
      <c r="D27" s="467">
        <v>0</v>
      </c>
      <c r="E27" s="526"/>
      <c r="F27" s="467">
        <v>0</v>
      </c>
      <c r="G27" s="480"/>
      <c r="H27" s="480"/>
      <c r="I27" s="480"/>
      <c r="J27" s="480"/>
      <c r="K27" s="480"/>
      <c r="L27" s="524"/>
    </row>
    <row r="28" spans="1:12" s="485" customFormat="1" ht="13.5" customHeight="1" x14ac:dyDescent="0.2">
      <c r="A28" s="1510"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0" t="s">
        <v>312</v>
      </c>
      <c r="B29" s="483">
        <v>7150</v>
      </c>
      <c r="C29" s="475"/>
      <c r="D29" s="467">
        <v>0</v>
      </c>
      <c r="E29" s="475"/>
      <c r="F29" s="475"/>
      <c r="G29" s="475"/>
      <c r="H29" s="475"/>
      <c r="I29" s="475"/>
      <c r="J29" s="475"/>
      <c r="K29" s="475"/>
      <c r="L29" s="524"/>
    </row>
    <row r="30" spans="1:12" s="485" customFormat="1" ht="26.25" x14ac:dyDescent="0.2">
      <c r="A30" s="1510" t="s">
        <v>1897</v>
      </c>
      <c r="B30" s="527">
        <v>7160</v>
      </c>
      <c r="C30" s="477"/>
      <c r="D30" s="467">
        <v>0</v>
      </c>
      <c r="E30" s="477"/>
      <c r="F30" s="477"/>
      <c r="G30" s="477"/>
      <c r="H30" s="477"/>
      <c r="I30" s="477"/>
      <c r="J30" s="477"/>
      <c r="K30" s="477"/>
      <c r="L30" s="524"/>
    </row>
    <row r="31" spans="1:12" s="485" customFormat="1" ht="26.25" x14ac:dyDescent="0.2">
      <c r="A31" s="1510" t="s">
        <v>1901</v>
      </c>
      <c r="B31" s="527">
        <v>7170</v>
      </c>
      <c r="C31" s="477"/>
      <c r="D31" s="477"/>
      <c r="E31" s="474">
        <v>0</v>
      </c>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0" t="s">
        <v>432</v>
      </c>
      <c r="B33" s="525">
        <v>7210</v>
      </c>
      <c r="C33" s="467">
        <v>0</v>
      </c>
      <c r="D33" s="467">
        <v>0</v>
      </c>
      <c r="E33" s="467">
        <v>0</v>
      </c>
      <c r="F33" s="467">
        <v>0</v>
      </c>
      <c r="G33" s="477"/>
      <c r="H33" s="467">
        <v>0</v>
      </c>
      <c r="I33" s="467">
        <v>0</v>
      </c>
      <c r="J33" s="467">
        <v>0</v>
      </c>
      <c r="K33" s="467">
        <v>0</v>
      </c>
      <c r="L33" s="524"/>
    </row>
    <row r="34" spans="1:12" s="485" customFormat="1" x14ac:dyDescent="0.2">
      <c r="A34" s="1510" t="s">
        <v>1058</v>
      </c>
      <c r="B34" s="525">
        <v>7220</v>
      </c>
      <c r="C34" s="467">
        <v>0</v>
      </c>
      <c r="D34" s="467">
        <v>0</v>
      </c>
      <c r="E34" s="467">
        <v>0</v>
      </c>
      <c r="F34" s="467">
        <v>0</v>
      </c>
      <c r="G34" s="477"/>
      <c r="H34" s="478">
        <v>0</v>
      </c>
      <c r="I34" s="478">
        <v>0</v>
      </c>
      <c r="J34" s="478">
        <v>0</v>
      </c>
      <c r="K34" s="478">
        <v>0</v>
      </c>
      <c r="L34" s="524"/>
    </row>
    <row r="35" spans="1:12" s="485" customFormat="1" x14ac:dyDescent="0.2">
      <c r="A35" s="1510" t="s">
        <v>1047</v>
      </c>
      <c r="B35" s="525">
        <v>7230</v>
      </c>
      <c r="C35" s="467">
        <v>0</v>
      </c>
      <c r="D35" s="467">
        <v>0</v>
      </c>
      <c r="E35" s="467">
        <v>0</v>
      </c>
      <c r="F35" s="467">
        <v>0</v>
      </c>
      <c r="G35" s="480"/>
      <c r="H35" s="467">
        <v>0</v>
      </c>
      <c r="I35" s="467">
        <v>0</v>
      </c>
      <c r="J35" s="467">
        <v>0</v>
      </c>
      <c r="K35" s="467">
        <v>0</v>
      </c>
      <c r="L35" s="524"/>
    </row>
    <row r="36" spans="1:12" s="485" customFormat="1" ht="15" x14ac:dyDescent="0.2">
      <c r="A36" s="1510" t="s">
        <v>1757</v>
      </c>
      <c r="B36" s="525">
        <v>7300</v>
      </c>
      <c r="C36" s="467">
        <v>0</v>
      </c>
      <c r="D36" s="467">
        <v>0</v>
      </c>
      <c r="E36" s="467">
        <v>0</v>
      </c>
      <c r="F36" s="467">
        <v>0</v>
      </c>
      <c r="G36" s="467">
        <v>0</v>
      </c>
      <c r="H36" s="467">
        <v>0</v>
      </c>
      <c r="I36" s="475"/>
      <c r="J36" s="467">
        <v>0</v>
      </c>
      <c r="K36" s="467">
        <v>0</v>
      </c>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135000</v>
      </c>
      <c r="F39" s="477"/>
      <c r="G39" s="477"/>
      <c r="H39" s="477"/>
      <c r="I39" s="477"/>
      <c r="J39" s="477"/>
      <c r="K39" s="477"/>
      <c r="L39" s="524"/>
    </row>
    <row r="40" spans="1:12" s="485" customFormat="1" ht="13.5" customHeight="1" x14ac:dyDescent="0.2">
      <c r="A40" s="1510" t="s">
        <v>663</v>
      </c>
      <c r="B40" s="483">
        <v>7700</v>
      </c>
      <c r="C40" s="477"/>
      <c r="D40" s="477"/>
      <c r="E40" s="1764">
        <f>SUM(C66:D69)</f>
        <v>15000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0"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6" t="s">
        <v>392</v>
      </c>
      <c r="B44" s="2157"/>
      <c r="C44" s="1724">
        <f>SUM(C24:C43)</f>
        <v>0</v>
      </c>
      <c r="D44" s="1724">
        <f t="shared" ref="D44:K44" si="6">SUM(D24:D43)</f>
        <v>0</v>
      </c>
      <c r="E44" s="1724">
        <f t="shared" si="6"/>
        <v>150000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v>0</v>
      </c>
      <c r="D49" s="467">
        <v>0</v>
      </c>
      <c r="E49" s="480"/>
      <c r="F49" s="467">
        <v>0</v>
      </c>
      <c r="G49" s="480"/>
      <c r="H49" s="480"/>
      <c r="I49" s="477"/>
      <c r="J49" s="480"/>
      <c r="K49" s="477"/>
      <c r="L49" s="524"/>
    </row>
    <row r="50" spans="1:12" s="485" customFormat="1" x14ac:dyDescent="0.2">
      <c r="A50" s="1511" t="s">
        <v>1465</v>
      </c>
      <c r="B50" s="483">
        <v>8140</v>
      </c>
      <c r="C50" s="467">
        <v>0</v>
      </c>
      <c r="D50" s="467">
        <v>0</v>
      </c>
      <c r="E50" s="467">
        <v>0</v>
      </c>
      <c r="F50" s="467">
        <v>0</v>
      </c>
      <c r="G50" s="467">
        <v>0</v>
      </c>
      <c r="H50" s="467">
        <v>0</v>
      </c>
      <c r="I50" s="477"/>
      <c r="J50" s="467">
        <v>0</v>
      </c>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v>0</v>
      </c>
      <c r="D54" s="530">
        <v>0</v>
      </c>
      <c r="E54" s="477"/>
      <c r="F54" s="477"/>
      <c r="G54" s="477"/>
      <c r="H54" s="530">
        <v>0</v>
      </c>
      <c r="I54" s="477"/>
      <c r="J54" s="477"/>
      <c r="K54" s="475"/>
      <c r="L54" s="524"/>
    </row>
    <row r="55" spans="1:12" s="485" customFormat="1" ht="14.25" thickTop="1" thickBot="1" x14ac:dyDescent="0.25">
      <c r="A55" s="1512" t="s">
        <v>717</v>
      </c>
      <c r="B55" s="483">
        <v>8420</v>
      </c>
      <c r="C55" s="531">
        <v>0</v>
      </c>
      <c r="D55" s="531">
        <v>0</v>
      </c>
      <c r="E55" s="477"/>
      <c r="F55" s="477"/>
      <c r="G55" s="477"/>
      <c r="H55" s="530">
        <v>0</v>
      </c>
      <c r="I55" s="477"/>
      <c r="J55" s="477"/>
      <c r="K55" s="477"/>
      <c r="L55" s="524"/>
    </row>
    <row r="56" spans="1:12" s="485" customFormat="1" ht="14.25" thickTop="1" thickBot="1" x14ac:dyDescent="0.25">
      <c r="A56" s="1511" t="s">
        <v>602</v>
      </c>
      <c r="B56" s="483">
        <v>8430</v>
      </c>
      <c r="C56" s="531">
        <v>0</v>
      </c>
      <c r="D56" s="531">
        <v>0</v>
      </c>
      <c r="E56" s="477"/>
      <c r="F56" s="477"/>
      <c r="G56" s="477"/>
      <c r="H56" s="530">
        <v>0</v>
      </c>
      <c r="I56" s="477"/>
      <c r="J56" s="477"/>
      <c r="K56" s="477"/>
      <c r="L56" s="524"/>
    </row>
    <row r="57" spans="1:12" s="485" customFormat="1" ht="14.25" thickTop="1" thickBot="1" x14ac:dyDescent="0.25">
      <c r="A57" s="1512" t="s">
        <v>599</v>
      </c>
      <c r="B57" s="483">
        <v>8440</v>
      </c>
      <c r="C57" s="531">
        <v>0</v>
      </c>
      <c r="D57" s="531">
        <v>0</v>
      </c>
      <c r="E57" s="477"/>
      <c r="F57" s="477"/>
      <c r="G57" s="477"/>
      <c r="H57" s="530">
        <v>0</v>
      </c>
      <c r="I57" s="477"/>
      <c r="J57" s="477"/>
      <c r="K57" s="477"/>
      <c r="L57" s="524"/>
    </row>
    <row r="58" spans="1:12" s="485" customFormat="1" ht="14.25" thickTop="1" thickBot="1" x14ac:dyDescent="0.25">
      <c r="A58" s="1511" t="s">
        <v>600</v>
      </c>
      <c r="B58" s="483">
        <v>8510</v>
      </c>
      <c r="C58" s="531">
        <v>0</v>
      </c>
      <c r="D58" s="531">
        <v>0</v>
      </c>
      <c r="E58" s="477"/>
      <c r="F58" s="477"/>
      <c r="G58" s="477"/>
      <c r="H58" s="530">
        <v>0</v>
      </c>
      <c r="I58" s="477"/>
      <c r="J58" s="477"/>
      <c r="K58" s="477"/>
      <c r="L58" s="524"/>
    </row>
    <row r="59" spans="1:12" s="485" customFormat="1" ht="14.25" thickTop="1" thickBot="1" x14ac:dyDescent="0.25">
      <c r="A59" s="1513" t="s">
        <v>718</v>
      </c>
      <c r="B59" s="483">
        <v>8520</v>
      </c>
      <c r="C59" s="531">
        <v>0</v>
      </c>
      <c r="D59" s="531">
        <v>0</v>
      </c>
      <c r="E59" s="477"/>
      <c r="F59" s="477"/>
      <c r="G59" s="477"/>
      <c r="H59" s="530">
        <v>0</v>
      </c>
      <c r="I59" s="477"/>
      <c r="J59" s="477"/>
      <c r="K59" s="477"/>
      <c r="L59" s="524"/>
    </row>
    <row r="60" spans="1:12" s="485" customFormat="1" ht="14.25" thickTop="1" thickBot="1" x14ac:dyDescent="0.25">
      <c r="A60" s="1511" t="s">
        <v>601</v>
      </c>
      <c r="B60" s="483">
        <v>8530</v>
      </c>
      <c r="C60" s="531">
        <v>0</v>
      </c>
      <c r="D60" s="531">
        <v>0</v>
      </c>
      <c r="E60" s="477"/>
      <c r="F60" s="477"/>
      <c r="G60" s="477"/>
      <c r="H60" s="530">
        <v>0</v>
      </c>
      <c r="I60" s="477"/>
      <c r="J60" s="477"/>
      <c r="K60" s="477"/>
      <c r="L60" s="524"/>
    </row>
    <row r="61" spans="1:12" s="485" customFormat="1" ht="14.25" thickTop="1" thickBot="1" x14ac:dyDescent="0.25">
      <c r="A61" s="1512"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1" t="s">
        <v>768</v>
      </c>
      <c r="B62" s="483">
        <v>8610</v>
      </c>
      <c r="C62" s="531">
        <v>0</v>
      </c>
      <c r="D62" s="531">
        <v>0</v>
      </c>
      <c r="E62" s="477"/>
      <c r="F62" s="477"/>
      <c r="G62" s="477"/>
      <c r="H62" s="477"/>
      <c r="I62" s="477"/>
      <c r="J62" s="477"/>
      <c r="K62" s="477"/>
      <c r="L62" s="524"/>
    </row>
    <row r="63" spans="1:12" s="485" customFormat="1" ht="14.25" thickTop="1" thickBot="1" x14ac:dyDescent="0.25">
      <c r="A63" s="1512" t="s">
        <v>719</v>
      </c>
      <c r="B63" s="483">
        <v>8620</v>
      </c>
      <c r="C63" s="531">
        <v>0</v>
      </c>
      <c r="D63" s="531">
        <v>0</v>
      </c>
      <c r="E63" s="477"/>
      <c r="F63" s="477"/>
      <c r="G63" s="477"/>
      <c r="H63" s="477"/>
      <c r="I63" s="477"/>
      <c r="J63" s="477"/>
      <c r="K63" s="477"/>
      <c r="L63" s="524"/>
    </row>
    <row r="64" spans="1:12" s="485" customFormat="1" ht="13.5" customHeight="1" thickTop="1" thickBot="1" x14ac:dyDescent="0.25">
      <c r="A64" s="1511" t="s">
        <v>769</v>
      </c>
      <c r="B64" s="483">
        <v>8630</v>
      </c>
      <c r="C64" s="531">
        <v>135000</v>
      </c>
      <c r="D64" s="531">
        <v>0</v>
      </c>
      <c r="E64" s="477"/>
      <c r="F64" s="477"/>
      <c r="G64" s="477"/>
      <c r="H64" s="477"/>
      <c r="I64" s="477"/>
      <c r="J64" s="477"/>
      <c r="K64" s="477"/>
      <c r="L64" s="524"/>
    </row>
    <row r="65" spans="1:12" s="485" customFormat="1" ht="14.25" thickTop="1" thickBot="1" x14ac:dyDescent="0.25">
      <c r="A65" s="1512" t="s">
        <v>770</v>
      </c>
      <c r="B65" s="483">
        <v>8640</v>
      </c>
      <c r="C65" s="531">
        <v>0</v>
      </c>
      <c r="D65" s="531">
        <v>0</v>
      </c>
      <c r="E65" s="477"/>
      <c r="F65" s="477"/>
      <c r="G65" s="477"/>
      <c r="H65" s="477"/>
      <c r="I65" s="477"/>
      <c r="J65" s="477"/>
      <c r="K65" s="477"/>
      <c r="L65" s="524"/>
    </row>
    <row r="66" spans="1:12" s="485" customFormat="1" ht="14.25" thickTop="1" thickBot="1" x14ac:dyDescent="0.25">
      <c r="A66" s="1511" t="s">
        <v>771</v>
      </c>
      <c r="B66" s="483">
        <v>8710</v>
      </c>
      <c r="C66" s="531">
        <v>0</v>
      </c>
      <c r="D66" s="531">
        <v>0</v>
      </c>
      <c r="E66" s="477"/>
      <c r="F66" s="477"/>
      <c r="G66" s="477"/>
      <c r="H66" s="477"/>
      <c r="I66" s="477"/>
      <c r="J66" s="477"/>
      <c r="K66" s="477"/>
      <c r="L66" s="524"/>
    </row>
    <row r="67" spans="1:12" s="485" customFormat="1" ht="14.25" thickTop="1" thickBot="1" x14ac:dyDescent="0.25">
      <c r="A67" s="1512" t="s">
        <v>720</v>
      </c>
      <c r="B67" s="483">
        <v>8720</v>
      </c>
      <c r="C67" s="531">
        <v>0</v>
      </c>
      <c r="D67" s="531">
        <v>0</v>
      </c>
      <c r="E67" s="477"/>
      <c r="F67" s="477"/>
      <c r="G67" s="477"/>
      <c r="H67" s="477"/>
      <c r="I67" s="477"/>
      <c r="J67" s="477"/>
      <c r="K67" s="477"/>
      <c r="L67" s="524"/>
    </row>
    <row r="68" spans="1:12" s="485" customFormat="1" ht="14.25" thickTop="1" thickBot="1" x14ac:dyDescent="0.25">
      <c r="A68" s="1513" t="s">
        <v>772</v>
      </c>
      <c r="B68" s="483">
        <v>8730</v>
      </c>
      <c r="C68" s="531">
        <v>15000</v>
      </c>
      <c r="D68" s="531">
        <v>0</v>
      </c>
      <c r="E68" s="477"/>
      <c r="F68" s="477"/>
      <c r="G68" s="477"/>
      <c r="H68" s="477"/>
      <c r="I68" s="477"/>
      <c r="J68" s="477"/>
      <c r="K68" s="477"/>
      <c r="L68" s="524"/>
    </row>
    <row r="69" spans="1:12" s="485" customFormat="1" ht="14.25" thickTop="1" thickBot="1" x14ac:dyDescent="0.25">
      <c r="A69" s="1512" t="s">
        <v>773</v>
      </c>
      <c r="B69" s="483">
        <v>8740</v>
      </c>
      <c r="C69" s="531">
        <v>0</v>
      </c>
      <c r="D69" s="531">
        <v>0</v>
      </c>
      <c r="E69" s="477"/>
      <c r="F69" s="477"/>
      <c r="G69" s="477"/>
      <c r="H69" s="477"/>
      <c r="I69" s="477"/>
      <c r="J69" s="477"/>
      <c r="K69" s="477"/>
      <c r="L69" s="524"/>
    </row>
    <row r="70" spans="1:12" s="485" customFormat="1" ht="14.25" thickTop="1" thickBot="1" x14ac:dyDescent="0.25">
      <c r="A70" s="1511" t="s">
        <v>774</v>
      </c>
      <c r="B70" s="483">
        <v>8810</v>
      </c>
      <c r="C70" s="531">
        <v>0</v>
      </c>
      <c r="D70" s="531">
        <v>0</v>
      </c>
      <c r="E70" s="477"/>
      <c r="F70" s="477"/>
      <c r="G70" s="477"/>
      <c r="H70" s="477"/>
      <c r="I70" s="477"/>
      <c r="J70" s="477"/>
      <c r="K70" s="477"/>
      <c r="L70" s="524"/>
    </row>
    <row r="71" spans="1:12" s="485" customFormat="1" ht="14.25" thickTop="1" thickBot="1" x14ac:dyDescent="0.25">
      <c r="A71" s="1511" t="s">
        <v>778</v>
      </c>
      <c r="B71" s="483">
        <v>8820</v>
      </c>
      <c r="C71" s="531">
        <v>0</v>
      </c>
      <c r="D71" s="531">
        <v>0</v>
      </c>
      <c r="E71" s="477"/>
      <c r="F71" s="477"/>
      <c r="G71" s="477"/>
      <c r="H71" s="477"/>
      <c r="I71" s="477"/>
      <c r="J71" s="477"/>
      <c r="K71" s="477"/>
      <c r="L71" s="524"/>
    </row>
    <row r="72" spans="1:12" s="485" customFormat="1" ht="14.25" thickTop="1" thickBot="1" x14ac:dyDescent="0.25">
      <c r="A72" s="1511" t="s">
        <v>775</v>
      </c>
      <c r="B72" s="483">
        <v>8830</v>
      </c>
      <c r="C72" s="531">
        <v>0</v>
      </c>
      <c r="D72" s="531">
        <v>0</v>
      </c>
      <c r="E72" s="477"/>
      <c r="F72" s="477"/>
      <c r="G72" s="477"/>
      <c r="H72" s="477"/>
      <c r="I72" s="477"/>
      <c r="J72" s="477"/>
      <c r="K72" s="477"/>
      <c r="L72" s="524"/>
    </row>
    <row r="73" spans="1:12" s="485" customFormat="1" ht="14.25" thickTop="1" thickBot="1" x14ac:dyDescent="0.25">
      <c r="A73" s="1511" t="s">
        <v>776</v>
      </c>
      <c r="B73" s="483">
        <v>8840</v>
      </c>
      <c r="C73" s="531">
        <v>0</v>
      </c>
      <c r="D73" s="531">
        <v>0</v>
      </c>
      <c r="E73" s="477"/>
      <c r="F73" s="477"/>
      <c r="G73" s="477"/>
      <c r="H73" s="477"/>
      <c r="I73" s="477"/>
      <c r="J73" s="477"/>
      <c r="K73" s="480"/>
      <c r="L73" s="524"/>
    </row>
    <row r="74" spans="1:12" s="485" customFormat="1" ht="14.25" thickTop="1" thickBot="1" x14ac:dyDescent="0.25">
      <c r="A74" s="1511"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4"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2" t="s">
        <v>460</v>
      </c>
      <c r="B76" s="2133"/>
      <c r="C76" s="1724">
        <f t="shared" ref="C76:K76" si="7">SUM(C47:C75)</f>
        <v>150000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4" t="s">
        <v>1239</v>
      </c>
      <c r="B77" s="2135"/>
      <c r="C77" s="1724">
        <f t="shared" ref="C77:K77" si="8">C44-C76</f>
        <v>-150000</v>
      </c>
      <c r="D77" s="1724">
        <f t="shared" si="8"/>
        <v>0</v>
      </c>
      <c r="E77" s="1724">
        <f t="shared" si="8"/>
        <v>150000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38" t="s">
        <v>618</v>
      </c>
      <c r="B78" s="2139"/>
      <c r="C78" s="1723">
        <f t="shared" ref="C78:K78" si="9">C20+C77</f>
        <v>472494</v>
      </c>
      <c r="D78" s="1723">
        <f t="shared" si="9"/>
        <v>111495</v>
      </c>
      <c r="E78" s="1723">
        <f t="shared" si="9"/>
        <v>12307</v>
      </c>
      <c r="F78" s="1723">
        <f t="shared" si="9"/>
        <v>251782</v>
      </c>
      <c r="G78" s="1723">
        <f t="shared" si="9"/>
        <v>33352</v>
      </c>
      <c r="H78" s="1723">
        <f t="shared" si="9"/>
        <v>0</v>
      </c>
      <c r="I78" s="1723">
        <f t="shared" si="9"/>
        <v>59520</v>
      </c>
      <c r="J78" s="1723">
        <f t="shared" si="9"/>
        <v>6090</v>
      </c>
      <c r="K78" s="1723">
        <f t="shared" si="9"/>
        <v>0</v>
      </c>
      <c r="L78" s="533"/>
    </row>
    <row r="79" spans="1:12" ht="13.5" thickTop="1" x14ac:dyDescent="0.2">
      <c r="A79" s="1515" t="s">
        <v>2073</v>
      </c>
      <c r="B79" s="534"/>
      <c r="C79" s="478">
        <v>2985641</v>
      </c>
      <c r="D79" s="535">
        <v>1502073</v>
      </c>
      <c r="E79" s="535">
        <v>212028</v>
      </c>
      <c r="F79" s="535">
        <v>487936</v>
      </c>
      <c r="G79" s="535">
        <v>263186</v>
      </c>
      <c r="H79" s="535">
        <v>0</v>
      </c>
      <c r="I79" s="535">
        <v>777813</v>
      </c>
      <c r="J79" s="535">
        <v>145415</v>
      </c>
      <c r="K79" s="535">
        <v>0</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09">
        <f>(SUM(C78:C80))</f>
        <v>3458135</v>
      </c>
      <c r="D81" s="1709">
        <f>SUM(D78:D80)</f>
        <v>1613568</v>
      </c>
      <c r="E81" s="1709">
        <f t="shared" ref="E81:K81" si="10">SUM(E78:E80)</f>
        <v>224335</v>
      </c>
      <c r="F81" s="1709">
        <f t="shared" si="10"/>
        <v>739718</v>
      </c>
      <c r="G81" s="1709">
        <f t="shared" si="10"/>
        <v>296538</v>
      </c>
      <c r="H81" s="1709">
        <f t="shared" si="10"/>
        <v>0</v>
      </c>
      <c r="I81" s="1709">
        <f t="shared" si="10"/>
        <v>837333</v>
      </c>
      <c r="J81" s="1709">
        <f t="shared" si="10"/>
        <v>151505</v>
      </c>
      <c r="K81" s="1709">
        <f t="shared" si="10"/>
        <v>0</v>
      </c>
      <c r="L81" s="347"/>
    </row>
    <row r="82" spans="1:12" ht="0.75" customHeight="1" thickTop="1" thickBot="1" x14ac:dyDescent="0.25">
      <c r="A82" s="536" t="s">
        <v>361</v>
      </c>
      <c r="B82" s="537"/>
      <c r="C82" s="538">
        <f>(C81-C79)</f>
        <v>472494</v>
      </c>
      <c r="D82" s="538">
        <f t="shared" ref="D82:K82" si="11">(D81-D79)</f>
        <v>111495</v>
      </c>
      <c r="E82" s="538">
        <f t="shared" si="11"/>
        <v>12307</v>
      </c>
      <c r="F82" s="538">
        <f t="shared" si="11"/>
        <v>251782</v>
      </c>
      <c r="G82" s="538">
        <f t="shared" si="11"/>
        <v>33352</v>
      </c>
      <c r="H82" s="538">
        <f t="shared" si="11"/>
        <v>0</v>
      </c>
      <c r="I82" s="538">
        <f t="shared" si="11"/>
        <v>59520</v>
      </c>
      <c r="J82" s="538">
        <f t="shared" si="11"/>
        <v>6090</v>
      </c>
      <c r="K82" s="538">
        <f t="shared" si="11"/>
        <v>0</v>
      </c>
    </row>
    <row r="83" spans="1:12" ht="14.25" hidden="1" thickTop="1" thickBot="1" x14ac:dyDescent="0.25">
      <c r="A83" s="539" t="s">
        <v>362</v>
      </c>
      <c r="B83" s="464"/>
      <c r="C83" s="540">
        <f>C82/C81</f>
        <v>0.13663260688203324</v>
      </c>
      <c r="D83" s="540">
        <f t="shared" ref="D83:K83" si="12">D82/D81</f>
        <v>6.9098420395049973E-2</v>
      </c>
      <c r="E83" s="540">
        <f t="shared" si="12"/>
        <v>5.4859919317092741E-2</v>
      </c>
      <c r="F83" s="540">
        <f t="shared" si="12"/>
        <v>0.34037565666916314</v>
      </c>
      <c r="G83" s="540">
        <f t="shared" si="12"/>
        <v>0.11247125157652645</v>
      </c>
      <c r="H83" s="540" t="e">
        <f t="shared" si="12"/>
        <v>#DIV/0!</v>
      </c>
      <c r="I83" s="540">
        <f t="shared" si="12"/>
        <v>7.1082830845075967E-2</v>
      </c>
      <c r="J83" s="540">
        <f t="shared" si="12"/>
        <v>4.0196693178442953E-2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tabSelected="1" defaultGridColor="0" colorId="8" zoomScale="110" zoomScaleNormal="110" zoomScaleSheetLayoutView="75" workbookViewId="0">
      <pane ySplit="2" topLeftCell="A213" activePane="bottomLeft" state="frozen"/>
      <selection sqref="A1:F1"/>
      <selection pane="bottomLeft" sqref="A1:F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3887004</v>
      </c>
      <c r="D5" s="481">
        <v>539374</v>
      </c>
      <c r="E5" s="466">
        <v>358048</v>
      </c>
      <c r="F5" s="548">
        <v>338904</v>
      </c>
      <c r="G5" s="466">
        <v>114461</v>
      </c>
      <c r="H5" s="466">
        <v>0</v>
      </c>
      <c r="I5" s="466">
        <v>49315</v>
      </c>
      <c r="J5" s="467">
        <v>70564</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367387</v>
      </c>
      <c r="D7" s="466">
        <v>0</v>
      </c>
      <c r="E7" s="468"/>
      <c r="F7" s="467">
        <v>0</v>
      </c>
      <c r="G7" s="467">
        <v>0</v>
      </c>
      <c r="H7" s="467">
        <v>0</v>
      </c>
      <c r="I7" s="468"/>
      <c r="J7" s="468"/>
      <c r="K7" s="468"/>
    </row>
    <row r="8" spans="1:12" x14ac:dyDescent="0.2">
      <c r="A8" s="463" t="s">
        <v>433</v>
      </c>
      <c r="B8" s="470">
        <v>1150</v>
      </c>
      <c r="C8" s="475"/>
      <c r="D8" s="475"/>
      <c r="E8" s="477"/>
      <c r="F8" s="477"/>
      <c r="G8" s="481">
        <v>119387</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6" t="s">
        <v>29</v>
      </c>
      <c r="B12" s="1727"/>
      <c r="C12" s="1728">
        <f t="shared" ref="C12:K12" si="0">SUM(C5:C11)</f>
        <v>4254391</v>
      </c>
      <c r="D12" s="1728">
        <f t="shared" si="0"/>
        <v>539374</v>
      </c>
      <c r="E12" s="1728">
        <f t="shared" si="0"/>
        <v>358048</v>
      </c>
      <c r="F12" s="1728">
        <f t="shared" si="0"/>
        <v>338904</v>
      </c>
      <c r="G12" s="1728">
        <f t="shared" si="0"/>
        <v>233848</v>
      </c>
      <c r="H12" s="1728">
        <f t="shared" si="0"/>
        <v>0</v>
      </c>
      <c r="I12" s="1728">
        <f t="shared" si="0"/>
        <v>49315</v>
      </c>
      <c r="J12" s="1728">
        <f t="shared" si="0"/>
        <v>70564</v>
      </c>
      <c r="K12" s="1709">
        <f t="shared" si="0"/>
        <v>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38367</v>
      </c>
      <c r="D16" s="466">
        <v>0</v>
      </c>
      <c r="E16" s="466">
        <v>0</v>
      </c>
      <c r="F16" s="466">
        <v>0</v>
      </c>
      <c r="G16" s="466">
        <v>9527</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9" t="s">
        <v>558</v>
      </c>
      <c r="B18" s="1730"/>
      <c r="C18" s="1731">
        <f>SUM(C14:C17)</f>
        <v>38367</v>
      </c>
      <c r="D18" s="1731">
        <f t="shared" ref="D18:K18" si="1">SUM(D14:D17)</f>
        <v>0</v>
      </c>
      <c r="E18" s="1731">
        <f t="shared" si="1"/>
        <v>0</v>
      </c>
      <c r="F18" s="1731">
        <f t="shared" si="1"/>
        <v>0</v>
      </c>
      <c r="G18" s="1731">
        <f t="shared" si="1"/>
        <v>9527</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v>6872</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6" t="s">
        <v>615</v>
      </c>
      <c r="B39" s="556">
        <v>1354</v>
      </c>
      <c r="C39" s="489">
        <v>0</v>
      </c>
      <c r="D39" s="468"/>
      <c r="E39" s="468"/>
      <c r="F39" s="468"/>
      <c r="G39" s="468"/>
      <c r="H39" s="468"/>
      <c r="I39" s="468"/>
      <c r="J39" s="468"/>
      <c r="K39" s="468"/>
    </row>
    <row r="40" spans="1:11" ht="12.75" customHeight="1" thickBot="1" x14ac:dyDescent="0.25">
      <c r="A40" s="1729" t="s">
        <v>559</v>
      </c>
      <c r="B40" s="1730"/>
      <c r="C40" s="1709">
        <f>SUM(C20:C39)</f>
        <v>6872</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v>3380</v>
      </c>
      <c r="G42" s="468"/>
      <c r="H42" s="468"/>
      <c r="I42" s="468"/>
      <c r="J42" s="468"/>
      <c r="K42" s="468"/>
    </row>
    <row r="43" spans="1:11" ht="12.75" customHeight="1" x14ac:dyDescent="0.2">
      <c r="A43" s="463" t="s">
        <v>892</v>
      </c>
      <c r="B43" s="470">
        <v>1412</v>
      </c>
      <c r="C43" s="468"/>
      <c r="D43" s="468"/>
      <c r="E43" s="468"/>
      <c r="F43" s="466">
        <v>83</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7" t="s">
        <v>62</v>
      </c>
      <c r="B51" s="557">
        <v>1431</v>
      </c>
      <c r="C51" s="468"/>
      <c r="D51" s="468"/>
      <c r="E51" s="468"/>
      <c r="F51" s="466">
        <v>0</v>
      </c>
      <c r="G51" s="468"/>
      <c r="H51" s="468"/>
      <c r="I51" s="468"/>
      <c r="J51" s="468"/>
      <c r="K51" s="468"/>
    </row>
    <row r="52" spans="1:11" ht="12.75" customHeight="1" x14ac:dyDescent="0.2">
      <c r="A52" s="1517" t="s">
        <v>1168</v>
      </c>
      <c r="B52" s="557">
        <v>1432</v>
      </c>
      <c r="C52" s="468"/>
      <c r="D52" s="468"/>
      <c r="E52" s="468"/>
      <c r="F52" s="466">
        <v>0</v>
      </c>
      <c r="G52" s="468"/>
      <c r="H52" s="468"/>
      <c r="I52" s="468"/>
      <c r="J52" s="468"/>
      <c r="K52" s="468"/>
    </row>
    <row r="53" spans="1:11" ht="12.75" customHeight="1" x14ac:dyDescent="0.2">
      <c r="A53" s="1517" t="s">
        <v>63</v>
      </c>
      <c r="B53" s="557">
        <v>1433</v>
      </c>
      <c r="C53" s="468"/>
      <c r="D53" s="468"/>
      <c r="E53" s="468"/>
      <c r="F53" s="466">
        <v>0</v>
      </c>
      <c r="G53" s="468"/>
      <c r="H53" s="468"/>
      <c r="I53" s="468"/>
      <c r="J53" s="468"/>
      <c r="K53" s="468"/>
    </row>
    <row r="54" spans="1:11" ht="12.75" customHeight="1" x14ac:dyDescent="0.2">
      <c r="A54" s="1517" t="s">
        <v>64</v>
      </c>
      <c r="B54" s="557">
        <v>1434</v>
      </c>
      <c r="C54" s="468"/>
      <c r="D54" s="468"/>
      <c r="E54" s="468"/>
      <c r="F54" s="467">
        <v>0</v>
      </c>
      <c r="G54" s="468"/>
      <c r="H54" s="468"/>
      <c r="I54" s="468"/>
      <c r="J54" s="468"/>
      <c r="K54" s="468"/>
    </row>
    <row r="55" spans="1:11" ht="12.75" customHeight="1" x14ac:dyDescent="0.2">
      <c r="A55" s="1517" t="s">
        <v>65</v>
      </c>
      <c r="B55" s="557">
        <v>1441</v>
      </c>
      <c r="C55" s="468"/>
      <c r="D55" s="468"/>
      <c r="E55" s="468"/>
      <c r="F55" s="466">
        <v>0</v>
      </c>
      <c r="G55" s="468"/>
      <c r="H55" s="468"/>
      <c r="I55" s="468"/>
      <c r="J55" s="468"/>
      <c r="K55" s="468"/>
    </row>
    <row r="56" spans="1:11" ht="12.75" customHeight="1" x14ac:dyDescent="0.2">
      <c r="A56" s="1517" t="s">
        <v>1169</v>
      </c>
      <c r="B56" s="557">
        <v>1442</v>
      </c>
      <c r="C56" s="468"/>
      <c r="D56" s="468"/>
      <c r="E56" s="468"/>
      <c r="F56" s="466">
        <v>0</v>
      </c>
      <c r="G56" s="468"/>
      <c r="H56" s="468"/>
      <c r="I56" s="468"/>
      <c r="J56" s="468"/>
      <c r="K56" s="468"/>
    </row>
    <row r="57" spans="1:11" ht="12.75" customHeight="1" x14ac:dyDescent="0.2">
      <c r="A57" s="1517" t="s">
        <v>510</v>
      </c>
      <c r="B57" s="557">
        <v>1443</v>
      </c>
      <c r="C57" s="468"/>
      <c r="D57" s="468"/>
      <c r="E57" s="468"/>
      <c r="F57" s="466">
        <v>0</v>
      </c>
      <c r="G57" s="468"/>
      <c r="H57" s="468"/>
      <c r="I57" s="468"/>
      <c r="J57" s="468"/>
      <c r="K57" s="468"/>
    </row>
    <row r="58" spans="1:11" ht="12.75" customHeight="1" x14ac:dyDescent="0.2">
      <c r="A58" s="1517" t="s">
        <v>67</v>
      </c>
      <c r="B58" s="557">
        <v>1444</v>
      </c>
      <c r="C58" s="468"/>
      <c r="D58" s="468"/>
      <c r="E58" s="468"/>
      <c r="F58" s="466">
        <v>0</v>
      </c>
      <c r="G58" s="468"/>
      <c r="H58" s="468"/>
      <c r="I58" s="468"/>
      <c r="J58" s="468"/>
      <c r="K58" s="468"/>
    </row>
    <row r="59" spans="1:11" ht="12.75" customHeight="1" x14ac:dyDescent="0.2">
      <c r="A59" s="1517" t="s">
        <v>933</v>
      </c>
      <c r="B59" s="557">
        <v>1451</v>
      </c>
      <c r="C59" s="468"/>
      <c r="D59" s="468"/>
      <c r="E59" s="468"/>
      <c r="F59" s="466">
        <v>0</v>
      </c>
      <c r="G59" s="468"/>
      <c r="H59" s="468"/>
      <c r="I59" s="468"/>
      <c r="J59" s="468"/>
      <c r="K59" s="468"/>
    </row>
    <row r="60" spans="1:11" ht="12.75" customHeight="1" x14ac:dyDescent="0.2">
      <c r="A60" s="1517"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8" t="s">
        <v>935</v>
      </c>
      <c r="B62" s="558">
        <v>1454</v>
      </c>
      <c r="C62" s="468"/>
      <c r="D62" s="468"/>
      <c r="E62" s="468"/>
      <c r="F62" s="467">
        <v>0</v>
      </c>
      <c r="G62" s="468"/>
      <c r="H62" s="468"/>
      <c r="I62" s="468"/>
      <c r="J62" s="468"/>
      <c r="K62" s="468"/>
    </row>
    <row r="63" spans="1:11" ht="12.75" customHeight="1" thickBot="1" x14ac:dyDescent="0.25">
      <c r="A63" s="1729" t="s">
        <v>506</v>
      </c>
      <c r="B63" s="1730"/>
      <c r="C63" s="468"/>
      <c r="D63" s="468"/>
      <c r="E63" s="468"/>
      <c r="F63" s="1709">
        <f>SUM(F42:F62)</f>
        <v>3463</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32267</v>
      </c>
      <c r="D65" s="466">
        <v>17807</v>
      </c>
      <c r="E65" s="466">
        <v>1404</v>
      </c>
      <c r="F65" s="467">
        <v>8692</v>
      </c>
      <c r="G65" s="466">
        <v>3210</v>
      </c>
      <c r="H65" s="466">
        <v>0</v>
      </c>
      <c r="I65" s="466">
        <v>10205</v>
      </c>
      <c r="J65" s="467">
        <v>1377</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9" t="s">
        <v>507</v>
      </c>
      <c r="B67" s="1730"/>
      <c r="C67" s="1709">
        <f>SUM(C65:C66)</f>
        <v>32267</v>
      </c>
      <c r="D67" s="1709">
        <f t="shared" ref="D67:K67" si="2">SUM(D65:D66)</f>
        <v>17807</v>
      </c>
      <c r="E67" s="1709">
        <f t="shared" si="2"/>
        <v>1404</v>
      </c>
      <c r="F67" s="1709">
        <f t="shared" si="2"/>
        <v>8692</v>
      </c>
      <c r="G67" s="1709">
        <f t="shared" si="2"/>
        <v>3210</v>
      </c>
      <c r="H67" s="1709">
        <f t="shared" si="2"/>
        <v>0</v>
      </c>
      <c r="I67" s="1709">
        <f t="shared" si="2"/>
        <v>10205</v>
      </c>
      <c r="J67" s="1709">
        <f t="shared" si="2"/>
        <v>1377</v>
      </c>
      <c r="K67" s="1709">
        <f t="shared" si="2"/>
        <v>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38905</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10646</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1121</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9" t="s">
        <v>569</v>
      </c>
      <c r="B75" s="1730"/>
      <c r="C75" s="1709">
        <f>SUM(C69:C74)</f>
        <v>50672</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2272</v>
      </c>
      <c r="D77" s="466">
        <v>0</v>
      </c>
      <c r="E77" s="468"/>
      <c r="F77" s="468"/>
      <c r="G77" s="468"/>
      <c r="H77" s="468"/>
      <c r="I77" s="468"/>
      <c r="J77" s="468"/>
      <c r="K77" s="468"/>
    </row>
    <row r="78" spans="1:11" ht="12.75" customHeight="1" x14ac:dyDescent="0.2">
      <c r="A78" s="463" t="s">
        <v>78</v>
      </c>
      <c r="B78" s="470">
        <v>1719</v>
      </c>
      <c r="C78" s="551">
        <v>3843</v>
      </c>
      <c r="D78" s="466">
        <v>0</v>
      </c>
      <c r="E78" s="468"/>
      <c r="F78" s="468"/>
      <c r="G78" s="468"/>
      <c r="H78" s="468"/>
      <c r="I78" s="468"/>
      <c r="J78" s="468"/>
      <c r="K78" s="468"/>
    </row>
    <row r="79" spans="1:11" ht="12.75" customHeight="1" x14ac:dyDescent="0.2">
      <c r="A79" s="463" t="s">
        <v>571</v>
      </c>
      <c r="B79" s="470">
        <v>1720</v>
      </c>
      <c r="C79" s="551">
        <v>0</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19110</v>
      </c>
      <c r="D81" s="466">
        <v>0</v>
      </c>
      <c r="E81" s="468"/>
      <c r="F81" s="468"/>
      <c r="G81" s="468"/>
      <c r="H81" s="468"/>
      <c r="I81" s="468"/>
      <c r="J81" s="468"/>
      <c r="K81" s="468"/>
    </row>
    <row r="82" spans="1:11" ht="12.75" customHeight="1" thickBot="1" x14ac:dyDescent="0.25">
      <c r="A82" s="1729" t="s">
        <v>259</v>
      </c>
      <c r="B82" s="1730"/>
      <c r="C82" s="1728">
        <f>SUM(C77:C81)</f>
        <v>25225</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60375</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29" t="s">
        <v>261</v>
      </c>
      <c r="B93" s="1730"/>
      <c r="C93" s="1709">
        <f>SUM(C84:C92)</f>
        <v>60375</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v>0</v>
      </c>
      <c r="D95" s="551">
        <v>13719</v>
      </c>
      <c r="E95" s="521"/>
      <c r="F95" s="521"/>
      <c r="G95" s="521"/>
      <c r="H95" s="521"/>
      <c r="I95" s="521"/>
      <c r="J95" s="521"/>
      <c r="K95" s="521"/>
    </row>
    <row r="96" spans="1:11" ht="12.75" customHeight="1" x14ac:dyDescent="0.2">
      <c r="A96" s="463" t="s">
        <v>409</v>
      </c>
      <c r="B96" s="470">
        <v>1920</v>
      </c>
      <c r="C96" s="551">
        <v>18212</v>
      </c>
      <c r="D96" s="551">
        <v>0</v>
      </c>
      <c r="E96" s="479">
        <v>0</v>
      </c>
      <c r="F96" s="478">
        <v>0</v>
      </c>
      <c r="G96" s="478">
        <v>0</v>
      </c>
      <c r="H96" s="478">
        <v>0</v>
      </c>
      <c r="I96" s="478">
        <v>0</v>
      </c>
      <c r="J96" s="478">
        <v>0</v>
      </c>
      <c r="K96" s="478">
        <v>0</v>
      </c>
    </row>
    <row r="97" spans="1:12" ht="12.75" customHeight="1" x14ac:dyDescent="0.2">
      <c r="A97" s="1516"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0</v>
      </c>
      <c r="D99" s="466">
        <v>0</v>
      </c>
      <c r="E99" s="466">
        <v>0</v>
      </c>
      <c r="F99" s="466">
        <v>0</v>
      </c>
      <c r="G99" s="466">
        <v>0</v>
      </c>
      <c r="H99" s="466">
        <v>0</v>
      </c>
      <c r="I99" s="468"/>
      <c r="J99" s="467">
        <v>5311</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5174</v>
      </c>
      <c r="D106" s="489">
        <v>0</v>
      </c>
      <c r="E106" s="467">
        <v>0</v>
      </c>
      <c r="F106" s="467">
        <v>0</v>
      </c>
      <c r="G106" s="467">
        <v>0</v>
      </c>
      <c r="H106" s="467">
        <v>0</v>
      </c>
      <c r="I106" s="521"/>
      <c r="J106" s="467">
        <v>0</v>
      </c>
      <c r="K106" s="467">
        <v>0</v>
      </c>
    </row>
    <row r="107" spans="1:12" ht="12.75" customHeight="1" x14ac:dyDescent="0.2">
      <c r="A107" s="463" t="s">
        <v>80</v>
      </c>
      <c r="B107" s="470">
        <v>1999</v>
      </c>
      <c r="C107" s="551">
        <v>3239</v>
      </c>
      <c r="D107" s="466">
        <v>24434</v>
      </c>
      <c r="E107" s="466">
        <v>0</v>
      </c>
      <c r="F107" s="466">
        <v>0</v>
      </c>
      <c r="G107" s="466">
        <v>0</v>
      </c>
      <c r="H107" s="466">
        <v>0</v>
      </c>
      <c r="I107" s="466">
        <v>0</v>
      </c>
      <c r="J107" s="467">
        <v>0</v>
      </c>
      <c r="K107" s="466">
        <v>0</v>
      </c>
    </row>
    <row r="108" spans="1:12" ht="12.75" customHeight="1" thickBot="1" x14ac:dyDescent="0.25">
      <c r="A108" s="1729" t="s">
        <v>508</v>
      </c>
      <c r="B108" s="1733"/>
      <c r="C108" s="1728">
        <f>SUM(C95:C107)</f>
        <v>26625</v>
      </c>
      <c r="D108" s="1728">
        <f t="shared" ref="D108:K108" si="3">SUM(D95:D107)</f>
        <v>38153</v>
      </c>
      <c r="E108" s="1728">
        <f t="shared" si="3"/>
        <v>0</v>
      </c>
      <c r="F108" s="1728">
        <f t="shared" si="3"/>
        <v>0</v>
      </c>
      <c r="G108" s="1728">
        <f t="shared" si="3"/>
        <v>0</v>
      </c>
      <c r="H108" s="1728">
        <f t="shared" si="3"/>
        <v>0</v>
      </c>
      <c r="I108" s="1728">
        <f t="shared" si="3"/>
        <v>0</v>
      </c>
      <c r="J108" s="1728">
        <f t="shared" si="3"/>
        <v>5311</v>
      </c>
      <c r="K108" s="1709">
        <f t="shared" si="3"/>
        <v>0</v>
      </c>
    </row>
    <row r="109" spans="1:12" ht="14.25" thickTop="1" thickBot="1" x14ac:dyDescent="0.25">
      <c r="A109" s="1734" t="s">
        <v>266</v>
      </c>
      <c r="B109" s="1735" t="s">
        <v>591</v>
      </c>
      <c r="C109" s="1736">
        <f t="shared" ref="C109:K109" si="4">SUM(C12,C18,C40,C63,C67,C75,C82,C93,C108,)</f>
        <v>4494794</v>
      </c>
      <c r="D109" s="1736">
        <f t="shared" si="4"/>
        <v>595334</v>
      </c>
      <c r="E109" s="1736">
        <f t="shared" si="4"/>
        <v>359452</v>
      </c>
      <c r="F109" s="1736">
        <f t="shared" si="4"/>
        <v>351059</v>
      </c>
      <c r="G109" s="1736">
        <f t="shared" si="4"/>
        <v>246585</v>
      </c>
      <c r="H109" s="1736">
        <f t="shared" si="4"/>
        <v>0</v>
      </c>
      <c r="I109" s="1736">
        <f t="shared" si="4"/>
        <v>59520</v>
      </c>
      <c r="J109" s="1736">
        <f t="shared" si="4"/>
        <v>77252</v>
      </c>
      <c r="K109" s="1723">
        <f t="shared" si="4"/>
        <v>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1041751</v>
      </c>
      <c r="D117" s="481">
        <v>0</v>
      </c>
      <c r="E117" s="466">
        <v>0</v>
      </c>
      <c r="F117" s="481">
        <v>0</v>
      </c>
      <c r="G117" s="481">
        <v>0</v>
      </c>
      <c r="H117" s="466">
        <v>0</v>
      </c>
      <c r="I117" s="468"/>
      <c r="J117" s="467">
        <v>0</v>
      </c>
      <c r="K117" s="466">
        <v>0</v>
      </c>
    </row>
    <row r="118" spans="1:11" ht="12.75" customHeight="1" x14ac:dyDescent="0.2">
      <c r="A118" s="463" t="s">
        <v>1902</v>
      </c>
      <c r="B118" s="562">
        <v>3002</v>
      </c>
      <c r="C118" s="551">
        <v>0</v>
      </c>
      <c r="D118" s="466">
        <v>0</v>
      </c>
      <c r="E118" s="466">
        <v>0</v>
      </c>
      <c r="F118" s="466">
        <v>0</v>
      </c>
      <c r="G118" s="466">
        <v>0</v>
      </c>
      <c r="H118" s="466">
        <v>0</v>
      </c>
      <c r="I118" s="468"/>
      <c r="J118" s="467">
        <v>0</v>
      </c>
      <c r="K118" s="466">
        <v>0</v>
      </c>
    </row>
    <row r="119" spans="1:11" ht="12.75" customHeight="1" x14ac:dyDescent="0.2">
      <c r="A119" s="463" t="s">
        <v>1903</v>
      </c>
      <c r="B119" s="562">
        <v>3005</v>
      </c>
      <c r="C119" s="551">
        <v>0</v>
      </c>
      <c r="D119" s="466">
        <v>0</v>
      </c>
      <c r="E119" s="466">
        <v>0</v>
      </c>
      <c r="F119" s="466">
        <v>0</v>
      </c>
      <c r="G119" s="466">
        <v>0</v>
      </c>
      <c r="H119" s="466">
        <v>0</v>
      </c>
      <c r="I119" s="468"/>
      <c r="J119" s="467">
        <v>0</v>
      </c>
      <c r="K119" s="466">
        <v>0</v>
      </c>
    </row>
    <row r="120" spans="1:11" x14ac:dyDescent="0.2">
      <c r="A120" s="1517" t="s">
        <v>1904</v>
      </c>
      <c r="B120" s="564">
        <v>3099</v>
      </c>
      <c r="C120" s="551">
        <v>0</v>
      </c>
      <c r="D120" s="466">
        <v>0</v>
      </c>
      <c r="E120" s="466">
        <v>0</v>
      </c>
      <c r="F120" s="466">
        <v>0</v>
      </c>
      <c r="G120" s="466">
        <v>0</v>
      </c>
      <c r="H120" s="466">
        <v>0</v>
      </c>
      <c r="I120" s="468"/>
      <c r="J120" s="467">
        <v>0</v>
      </c>
      <c r="K120" s="466">
        <v>0</v>
      </c>
    </row>
    <row r="121" spans="1:11" ht="12.6" customHeight="1" thickBot="1" x14ac:dyDescent="0.25">
      <c r="A121" s="1729" t="s">
        <v>509</v>
      </c>
      <c r="B121" s="1740"/>
      <c r="C121" s="1728">
        <f t="shared" ref="C121:H121" si="5">SUM(C117:C120)</f>
        <v>1041751</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36825</v>
      </c>
      <c r="D124" s="561"/>
      <c r="E124" s="468"/>
      <c r="F124" s="548">
        <v>0</v>
      </c>
      <c r="G124" s="468"/>
      <c r="H124" s="468"/>
      <c r="I124" s="468"/>
      <c r="J124" s="468"/>
      <c r="K124" s="468"/>
    </row>
    <row r="125" spans="1:11" ht="12.75" customHeight="1" x14ac:dyDescent="0.2">
      <c r="A125" s="463" t="s">
        <v>1521</v>
      </c>
      <c r="B125" s="562">
        <v>3105</v>
      </c>
      <c r="C125" s="466">
        <v>30409</v>
      </c>
      <c r="D125" s="561"/>
      <c r="E125" s="468"/>
      <c r="F125" s="466">
        <v>0</v>
      </c>
      <c r="G125" s="468"/>
      <c r="H125" s="468"/>
      <c r="I125" s="468"/>
      <c r="J125" s="468"/>
      <c r="K125" s="468"/>
    </row>
    <row r="126" spans="1:11" ht="12.75" customHeight="1" x14ac:dyDescent="0.2">
      <c r="A126" s="463" t="s">
        <v>922</v>
      </c>
      <c r="B126" s="562">
        <v>3110</v>
      </c>
      <c r="C126" s="551">
        <v>57389</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1879</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9" t="s">
        <v>1092</v>
      </c>
      <c r="B131" s="1741"/>
      <c r="C131" s="1728">
        <f>SUM(C124:C130)</f>
        <v>126502</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v>6542</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9" t="s">
        <v>414</v>
      </c>
      <c r="B144" s="1741"/>
      <c r="C144" s="1709">
        <f>SUM(C142:C143)</f>
        <v>6542</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234</v>
      </c>
      <c r="D145" s="570"/>
      <c r="E145" s="509"/>
      <c r="F145" s="468"/>
      <c r="G145" s="571"/>
      <c r="H145" s="468"/>
      <c r="I145" s="468"/>
      <c r="J145" s="468"/>
      <c r="K145" s="468"/>
    </row>
    <row r="146" spans="1:11" ht="12.75" customHeight="1" thickBot="1" x14ac:dyDescent="0.25">
      <c r="A146" s="1520" t="s">
        <v>979</v>
      </c>
      <c r="B146" s="572">
        <v>3365</v>
      </c>
      <c r="C146" s="573">
        <v>0</v>
      </c>
      <c r="D146" s="532">
        <v>0</v>
      </c>
      <c r="E146" s="561"/>
      <c r="F146" s="468"/>
      <c r="G146" s="532">
        <v>0</v>
      </c>
      <c r="H146" s="468"/>
      <c r="I146" s="468"/>
      <c r="J146" s="468"/>
      <c r="K146" s="468"/>
    </row>
    <row r="147" spans="1:11" ht="12.75" customHeight="1" thickTop="1" thickBot="1" x14ac:dyDescent="0.25">
      <c r="A147" s="1521" t="s">
        <v>140</v>
      </c>
      <c r="B147" s="574">
        <v>3370</v>
      </c>
      <c r="C147" s="573">
        <v>0</v>
      </c>
      <c r="D147" s="573">
        <v>0</v>
      </c>
      <c r="E147" s="509"/>
      <c r="F147" s="468"/>
      <c r="G147" s="468"/>
      <c r="H147" s="468"/>
      <c r="I147" s="468"/>
      <c r="J147" s="468"/>
      <c r="K147" s="468"/>
    </row>
    <row r="148" spans="1:11" ht="12.75" customHeight="1" thickTop="1" thickBot="1" x14ac:dyDescent="0.25">
      <c r="A148" s="1521"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1"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3790</v>
      </c>
      <c r="G151" s="467">
        <v>0</v>
      </c>
      <c r="H151" s="468"/>
      <c r="I151" s="468"/>
      <c r="J151" s="468"/>
      <c r="K151" s="468"/>
    </row>
    <row r="152" spans="1:11" ht="12.75" customHeight="1" x14ac:dyDescent="0.2">
      <c r="A152" s="463" t="s">
        <v>1117</v>
      </c>
      <c r="B152" s="562">
        <v>3510</v>
      </c>
      <c r="C152" s="551">
        <v>0</v>
      </c>
      <c r="D152" s="466">
        <v>0</v>
      </c>
      <c r="E152" s="561"/>
      <c r="F152" s="466">
        <v>189792</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9" t="s">
        <v>96</v>
      </c>
      <c r="B154" s="1741"/>
      <c r="C154" s="1728">
        <f>SUM(C151:C153)</f>
        <v>0</v>
      </c>
      <c r="D154" s="1728">
        <f>SUM(D151:D153)</f>
        <v>0</v>
      </c>
      <c r="E154" s="561"/>
      <c r="F154" s="1728">
        <f>SUM(F151:F153)</f>
        <v>193582</v>
      </c>
      <c r="G154" s="1728">
        <f>SUM(G151:G153)</f>
        <v>0</v>
      </c>
      <c r="H154" s="468"/>
      <c r="I154" s="468"/>
      <c r="J154" s="468"/>
      <c r="K154" s="468"/>
    </row>
    <row r="155" spans="1:11" ht="12.75" customHeight="1" thickTop="1" thickBot="1" x14ac:dyDescent="0.25">
      <c r="A155" s="1521" t="s">
        <v>398</v>
      </c>
      <c r="B155" s="574">
        <v>3610</v>
      </c>
      <c r="C155" s="576">
        <v>0</v>
      </c>
      <c r="D155" s="468"/>
      <c r="E155" s="509"/>
      <c r="F155" s="468"/>
      <c r="G155" s="468"/>
      <c r="H155" s="468"/>
      <c r="I155" s="468"/>
      <c r="J155" s="468"/>
      <c r="K155" s="468"/>
    </row>
    <row r="156" spans="1:11" ht="12.75" customHeight="1" thickTop="1" thickBot="1" x14ac:dyDescent="0.25">
      <c r="A156" s="1521" t="s">
        <v>52</v>
      </c>
      <c r="B156" s="574">
        <v>3660</v>
      </c>
      <c r="C156" s="573">
        <v>0</v>
      </c>
      <c r="D156" s="578">
        <v>0</v>
      </c>
      <c r="E156" s="561"/>
      <c r="F156" s="578">
        <v>0</v>
      </c>
      <c r="G156" s="578">
        <v>0</v>
      </c>
      <c r="H156" s="468"/>
      <c r="I156" s="468"/>
      <c r="J156" s="468"/>
      <c r="K156" s="468"/>
    </row>
    <row r="157" spans="1:11" ht="12.75" customHeight="1" thickTop="1" thickBot="1" x14ac:dyDescent="0.25">
      <c r="A157" s="1521" t="s">
        <v>1057</v>
      </c>
      <c r="B157" s="574">
        <v>3695</v>
      </c>
      <c r="C157" s="576">
        <v>0</v>
      </c>
      <c r="D157" s="468"/>
      <c r="E157" s="561"/>
      <c r="F157" s="576">
        <v>0</v>
      </c>
      <c r="G157" s="576">
        <v>0</v>
      </c>
      <c r="H157" s="468"/>
      <c r="I157" s="468"/>
      <c r="J157" s="468"/>
      <c r="K157" s="468"/>
    </row>
    <row r="158" spans="1:11" ht="12.75" customHeight="1" thickTop="1" thickBot="1" x14ac:dyDescent="0.25">
      <c r="A158" s="1521" t="s">
        <v>1111</v>
      </c>
      <c r="B158" s="574">
        <v>3705</v>
      </c>
      <c r="C158" s="576">
        <v>0</v>
      </c>
      <c r="D158" s="578">
        <v>0</v>
      </c>
      <c r="E158" s="561"/>
      <c r="F158" s="576">
        <v>0</v>
      </c>
      <c r="G158" s="576">
        <v>0</v>
      </c>
      <c r="H158" s="468"/>
      <c r="I158" s="468"/>
      <c r="J158" s="468"/>
      <c r="K158" s="468"/>
    </row>
    <row r="159" spans="1:11" ht="12.75" customHeight="1" thickTop="1" thickBot="1" x14ac:dyDescent="0.25">
      <c r="A159" s="1521" t="s">
        <v>39</v>
      </c>
      <c r="B159" s="574">
        <v>3715</v>
      </c>
      <c r="C159" s="576">
        <v>0</v>
      </c>
      <c r="D159" s="468"/>
      <c r="E159" s="561"/>
      <c r="F159" s="576">
        <v>0</v>
      </c>
      <c r="G159" s="576">
        <v>0</v>
      </c>
      <c r="H159" s="468"/>
      <c r="I159" s="468"/>
      <c r="J159" s="468"/>
      <c r="K159" s="468"/>
    </row>
    <row r="160" spans="1:11" ht="12.75" customHeight="1" thickTop="1" thickBot="1" x14ac:dyDescent="0.25">
      <c r="A160" s="1521" t="s">
        <v>40</v>
      </c>
      <c r="B160" s="574">
        <v>3720</v>
      </c>
      <c r="C160" s="576">
        <v>0</v>
      </c>
      <c r="D160" s="468"/>
      <c r="E160" s="561"/>
      <c r="F160" s="576">
        <v>0</v>
      </c>
      <c r="G160" s="576">
        <v>0</v>
      </c>
      <c r="H160" s="468"/>
      <c r="I160" s="468"/>
      <c r="J160" s="468"/>
      <c r="K160" s="468"/>
    </row>
    <row r="161" spans="1:11" ht="12.75" customHeight="1" thickTop="1" thickBot="1" x14ac:dyDescent="0.25">
      <c r="A161" s="1521" t="s">
        <v>415</v>
      </c>
      <c r="B161" s="574">
        <v>3725</v>
      </c>
      <c r="C161" s="531">
        <v>0</v>
      </c>
      <c r="D161" s="468"/>
      <c r="E161" s="561"/>
      <c r="F161" s="531">
        <v>0</v>
      </c>
      <c r="G161" s="531">
        <v>0</v>
      </c>
      <c r="H161" s="468"/>
      <c r="I161" s="468"/>
      <c r="J161" s="468"/>
      <c r="K161" s="468"/>
    </row>
    <row r="162" spans="1:11" ht="12.75" customHeight="1" thickTop="1" thickBot="1" x14ac:dyDescent="0.25">
      <c r="A162" s="1521" t="s">
        <v>416</v>
      </c>
      <c r="B162" s="574">
        <v>3726</v>
      </c>
      <c r="C162" s="531">
        <v>0</v>
      </c>
      <c r="D162" s="468"/>
      <c r="E162" s="561"/>
      <c r="F162" s="531">
        <v>0</v>
      </c>
      <c r="G162" s="531">
        <v>0</v>
      </c>
      <c r="H162" s="468"/>
      <c r="I162" s="468"/>
      <c r="J162" s="468"/>
      <c r="K162" s="468"/>
    </row>
    <row r="163" spans="1:11" ht="12.75" customHeight="1" thickTop="1" thickBot="1" x14ac:dyDescent="0.25">
      <c r="A163" s="1521" t="s">
        <v>41</v>
      </c>
      <c r="B163" s="574">
        <v>3766</v>
      </c>
      <c r="C163" s="576">
        <v>0</v>
      </c>
      <c r="D163" s="578">
        <v>0</v>
      </c>
      <c r="E163" s="561"/>
      <c r="F163" s="576">
        <v>0</v>
      </c>
      <c r="G163" s="531">
        <v>0</v>
      </c>
      <c r="H163" s="468"/>
      <c r="I163" s="468"/>
      <c r="J163" s="468"/>
      <c r="K163" s="468"/>
    </row>
    <row r="164" spans="1:11" ht="12.75" customHeight="1" thickTop="1" thickBot="1" x14ac:dyDescent="0.25">
      <c r="A164" s="1521" t="s">
        <v>1042</v>
      </c>
      <c r="B164" s="574">
        <v>3767</v>
      </c>
      <c r="C164" s="576">
        <v>0</v>
      </c>
      <c r="D164" s="531">
        <v>0</v>
      </c>
      <c r="E164" s="561"/>
      <c r="F164" s="531">
        <v>0</v>
      </c>
      <c r="G164" s="531">
        <v>0</v>
      </c>
      <c r="H164" s="468"/>
      <c r="I164" s="468"/>
      <c r="J164" s="468"/>
      <c r="K164" s="468"/>
    </row>
    <row r="165" spans="1:11" ht="12.75" customHeight="1" thickTop="1" thickBot="1" x14ac:dyDescent="0.25">
      <c r="A165" s="1521"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1"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1" t="s">
        <v>913</v>
      </c>
      <c r="B167" s="574">
        <v>3815</v>
      </c>
      <c r="C167" s="576">
        <v>0</v>
      </c>
      <c r="D167" s="468"/>
      <c r="E167" s="561"/>
      <c r="F167" s="576">
        <v>0</v>
      </c>
      <c r="G167" s="468"/>
      <c r="H167" s="468"/>
      <c r="I167" s="468"/>
      <c r="J167" s="468"/>
      <c r="K167" s="468"/>
    </row>
    <row r="168" spans="1:11" ht="12.75" customHeight="1" thickTop="1" thickBot="1" x14ac:dyDescent="0.25">
      <c r="A168" s="1521" t="s">
        <v>417</v>
      </c>
      <c r="B168" s="574">
        <v>3825</v>
      </c>
      <c r="C168" s="576">
        <v>0</v>
      </c>
      <c r="D168" s="468"/>
      <c r="E168" s="561"/>
      <c r="F168" s="576">
        <v>0</v>
      </c>
      <c r="G168" s="468"/>
      <c r="H168" s="468"/>
      <c r="I168" s="468"/>
      <c r="J168" s="468"/>
      <c r="K168" s="468"/>
    </row>
    <row r="169" spans="1:11" ht="12.75" customHeight="1" thickTop="1" thickBot="1" x14ac:dyDescent="0.25">
      <c r="A169" s="1521" t="s">
        <v>366</v>
      </c>
      <c r="B169" s="574">
        <v>3920</v>
      </c>
      <c r="C169" s="566"/>
      <c r="D169" s="578">
        <v>0</v>
      </c>
      <c r="E169" s="468"/>
      <c r="F169" s="566"/>
      <c r="G169" s="468"/>
      <c r="H169" s="530">
        <v>0</v>
      </c>
      <c r="I169" s="468"/>
      <c r="J169" s="468"/>
      <c r="K169" s="468"/>
    </row>
    <row r="170" spans="1:11" ht="12.75" customHeight="1" thickTop="1" thickBot="1" x14ac:dyDescent="0.25">
      <c r="A170" s="1521" t="s">
        <v>367</v>
      </c>
      <c r="B170" s="574">
        <v>3925</v>
      </c>
      <c r="C170" s="521"/>
      <c r="D170" s="576">
        <v>0</v>
      </c>
      <c r="E170" s="521"/>
      <c r="F170" s="521"/>
      <c r="G170" s="468"/>
      <c r="H170" s="531">
        <v>0</v>
      </c>
      <c r="I170" s="468"/>
      <c r="J170" s="468"/>
      <c r="K170" s="530">
        <v>0</v>
      </c>
    </row>
    <row r="171" spans="1:11" ht="14.25" thickTop="1" thickBot="1" x14ac:dyDescent="0.25">
      <c r="A171" s="1521" t="s">
        <v>72</v>
      </c>
      <c r="B171" s="574">
        <v>3999</v>
      </c>
      <c r="C171" s="579">
        <v>750</v>
      </c>
      <c r="D171" s="580">
        <v>0</v>
      </c>
      <c r="E171" s="580">
        <v>0</v>
      </c>
      <c r="F171" s="580">
        <v>0</v>
      </c>
      <c r="G171" s="581">
        <v>0</v>
      </c>
      <c r="H171" s="582">
        <v>0</v>
      </c>
      <c r="I171" s="581">
        <v>0</v>
      </c>
      <c r="J171" s="581">
        <v>0</v>
      </c>
      <c r="K171" s="582">
        <v>0</v>
      </c>
    </row>
    <row r="172" spans="1:11" ht="12.75" customHeight="1" thickTop="1" thickBot="1" x14ac:dyDescent="0.25">
      <c r="A172" s="2160" t="s">
        <v>418</v>
      </c>
      <c r="B172" s="2161"/>
      <c r="C172" s="1743">
        <f t="shared" ref="C172:K172" si="6">SUM(C131,C140,C144,C145:C149,C154,C155:C170,C171)</f>
        <v>134028</v>
      </c>
      <c r="D172" s="1743">
        <f t="shared" si="6"/>
        <v>0</v>
      </c>
      <c r="E172" s="1743">
        <f t="shared" si="6"/>
        <v>0</v>
      </c>
      <c r="F172" s="1743">
        <f t="shared" si="6"/>
        <v>193582</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1175779</v>
      </c>
      <c r="D173" s="1736">
        <f>SUM(D121,D172)</f>
        <v>0</v>
      </c>
      <c r="E173" s="1736">
        <f>SUM(E121,E172)</f>
        <v>0</v>
      </c>
      <c r="F173" s="1736">
        <f t="shared" ref="F173:K173" si="7">SUM(F121,F172)</f>
        <v>193582</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6" t="s">
        <v>1764</v>
      </c>
      <c r="B178" s="2167"/>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68" t="s">
        <v>818</v>
      </c>
      <c r="B184" s="2169"/>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27365</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0</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9" t="s">
        <v>569</v>
      </c>
      <c r="B201" s="1730"/>
      <c r="C201" s="1709">
        <f>SUM(C193:C200)</f>
        <v>27365</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39873</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9" t="s">
        <v>420</v>
      </c>
      <c r="B211" s="1730"/>
      <c r="C211" s="1728">
        <f>SUM(C203:C210)</f>
        <v>39873</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3399</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103169</v>
      </c>
      <c r="D220" s="466">
        <v>0</v>
      </c>
      <c r="E220" s="468"/>
      <c r="F220" s="466">
        <v>0</v>
      </c>
      <c r="G220" s="466">
        <v>0</v>
      </c>
      <c r="H220" s="468"/>
      <c r="I220" s="468"/>
      <c r="J220" s="468"/>
      <c r="K220" s="468"/>
    </row>
    <row r="221" spans="1:11" ht="12.75" customHeight="1" x14ac:dyDescent="0.2">
      <c r="A221" s="463" t="s">
        <v>1114</v>
      </c>
      <c r="B221" s="470">
        <v>4625</v>
      </c>
      <c r="C221" s="551">
        <v>1562</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2" t="s">
        <v>76</v>
      </c>
      <c r="B223" s="557">
        <v>4699</v>
      </c>
      <c r="C223" s="551">
        <v>0</v>
      </c>
      <c r="D223" s="466">
        <v>0</v>
      </c>
      <c r="E223" s="468"/>
      <c r="F223" s="466">
        <v>0</v>
      </c>
      <c r="G223" s="466">
        <v>0</v>
      </c>
      <c r="H223" s="468"/>
      <c r="I223" s="468"/>
      <c r="J223" s="468"/>
      <c r="K223" s="468"/>
    </row>
    <row r="224" spans="1:11" ht="12.75" customHeight="1" thickBot="1" x14ac:dyDescent="0.25">
      <c r="A224" s="1729" t="s">
        <v>467</v>
      </c>
      <c r="B224" s="1730"/>
      <c r="C224" s="1728">
        <f>SUM(C218:C223)</f>
        <v>108130</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v>0</v>
      </c>
      <c r="D260" s="469"/>
      <c r="E260" s="468"/>
      <c r="F260" s="468"/>
      <c r="G260" s="468"/>
      <c r="H260" s="468"/>
      <c r="I260" s="468"/>
      <c r="J260" s="468"/>
      <c r="K260" s="468"/>
    </row>
    <row r="261" spans="1:11" ht="12.75" customHeight="1" thickTop="1" thickBot="1" x14ac:dyDescent="0.25">
      <c r="A261" s="1524"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10792</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3686</v>
      </c>
      <c r="D270" s="576">
        <v>0</v>
      </c>
      <c r="E270" s="468"/>
      <c r="F270" s="576">
        <v>0</v>
      </c>
      <c r="G270" s="576">
        <v>0</v>
      </c>
      <c r="H270" s="468"/>
      <c r="I270" s="468"/>
      <c r="J270" s="468"/>
      <c r="K270" s="468"/>
    </row>
    <row r="271" spans="1:11" ht="12.75" customHeight="1" thickTop="1" thickBot="1" x14ac:dyDescent="0.25">
      <c r="A271" s="463" t="s">
        <v>395</v>
      </c>
      <c r="B271" s="470">
        <v>4992</v>
      </c>
      <c r="C271" s="575">
        <v>10338</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9" t="s">
        <v>1765</v>
      </c>
      <c r="B273" s="1748"/>
      <c r="C273" s="1736">
        <f t="shared" ref="C273:H273" si="10">SUM(C191,C201,C211,C216,C224,C228,C229,C259:C272)</f>
        <v>200184</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200184</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5870757</v>
      </c>
      <c r="D275" s="1736">
        <f t="shared" si="12"/>
        <v>595334</v>
      </c>
      <c r="E275" s="1736">
        <f t="shared" si="12"/>
        <v>359452</v>
      </c>
      <c r="F275" s="1736">
        <f t="shared" si="12"/>
        <v>544641</v>
      </c>
      <c r="G275" s="1736">
        <f t="shared" si="12"/>
        <v>246585</v>
      </c>
      <c r="H275" s="1736">
        <f t="shared" si="12"/>
        <v>0</v>
      </c>
      <c r="I275" s="1736">
        <f t="shared" si="12"/>
        <v>59520</v>
      </c>
      <c r="J275" s="1736">
        <f t="shared" si="12"/>
        <v>77252</v>
      </c>
      <c r="K275" s="1723">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tabSelected="1" defaultGridColor="0" colorId="8" zoomScale="110" zoomScaleNormal="110" workbookViewId="0">
      <pane ySplit="2" topLeftCell="A3" activePane="bottomLeft" state="frozen"/>
      <selection sqref="A1:F1"/>
      <selection pane="bottomLeft" sqref="A1:F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1802261</v>
      </c>
      <c r="D5" s="466">
        <v>202067</v>
      </c>
      <c r="E5" s="466">
        <v>120404</v>
      </c>
      <c r="F5" s="466">
        <v>108685</v>
      </c>
      <c r="G5" s="466">
        <v>32281</v>
      </c>
      <c r="H5" s="466">
        <v>0</v>
      </c>
      <c r="I5" s="467">
        <v>180</v>
      </c>
      <c r="J5" s="467">
        <v>0</v>
      </c>
      <c r="K5" s="1692">
        <f>SUM(C5:J5)</f>
        <v>2265878</v>
      </c>
      <c r="L5" s="466">
        <v>2321623</v>
      </c>
    </row>
    <row r="6" spans="1:14" x14ac:dyDescent="0.2">
      <c r="A6" s="1525" t="s">
        <v>1508</v>
      </c>
      <c r="B6" s="615" t="s">
        <v>1506</v>
      </c>
      <c r="C6" s="477"/>
      <c r="D6" s="477"/>
      <c r="E6" s="466">
        <v>0</v>
      </c>
      <c r="F6" s="477"/>
      <c r="G6" s="477"/>
      <c r="H6" s="477"/>
      <c r="I6" s="477"/>
      <c r="J6" s="477"/>
      <c r="K6" s="1692">
        <f>SUM(C6,E6)</f>
        <v>0</v>
      </c>
      <c r="L6" s="466">
        <v>0</v>
      </c>
    </row>
    <row r="7" spans="1:14" x14ac:dyDescent="0.2">
      <c r="A7" s="1525" t="s">
        <v>165</v>
      </c>
      <c r="B7" s="615" t="s">
        <v>1024</v>
      </c>
      <c r="C7" s="467">
        <v>0</v>
      </c>
      <c r="D7" s="467">
        <v>0</v>
      </c>
      <c r="E7" s="467">
        <v>0</v>
      </c>
      <c r="F7" s="467">
        <v>0</v>
      </c>
      <c r="G7" s="467">
        <v>0</v>
      </c>
      <c r="H7" s="467">
        <v>0</v>
      </c>
      <c r="I7" s="467">
        <v>0</v>
      </c>
      <c r="J7" s="467">
        <v>0</v>
      </c>
      <c r="K7" s="1692">
        <f t="shared" ref="K7:K32" si="0">SUM(C7:J7)</f>
        <v>0</v>
      </c>
      <c r="L7" s="466">
        <v>0</v>
      </c>
    </row>
    <row r="8" spans="1:14" x14ac:dyDescent="0.2">
      <c r="A8" s="1525" t="s">
        <v>166</v>
      </c>
      <c r="B8" s="615">
        <v>1200</v>
      </c>
      <c r="C8" s="466">
        <v>371575</v>
      </c>
      <c r="D8" s="466">
        <v>115021</v>
      </c>
      <c r="E8" s="466">
        <v>767</v>
      </c>
      <c r="F8" s="466">
        <v>3067</v>
      </c>
      <c r="G8" s="466">
        <v>0</v>
      </c>
      <c r="H8" s="466">
        <v>0</v>
      </c>
      <c r="I8" s="467">
        <v>3149</v>
      </c>
      <c r="J8" s="467">
        <v>0</v>
      </c>
      <c r="K8" s="1692">
        <f t="shared" si="0"/>
        <v>493579</v>
      </c>
      <c r="L8" s="466">
        <v>489420</v>
      </c>
    </row>
    <row r="9" spans="1:14" x14ac:dyDescent="0.2">
      <c r="A9" s="1525" t="s">
        <v>745</v>
      </c>
      <c r="B9" s="615" t="s">
        <v>1025</v>
      </c>
      <c r="C9" s="467">
        <v>0</v>
      </c>
      <c r="D9" s="467">
        <v>0</v>
      </c>
      <c r="E9" s="467">
        <v>0</v>
      </c>
      <c r="F9" s="467">
        <v>0</v>
      </c>
      <c r="G9" s="467">
        <v>0</v>
      </c>
      <c r="H9" s="467">
        <v>0</v>
      </c>
      <c r="I9" s="467">
        <v>0</v>
      </c>
      <c r="J9" s="467">
        <v>0</v>
      </c>
      <c r="K9" s="1692">
        <f t="shared" si="0"/>
        <v>0</v>
      </c>
      <c r="L9" s="466">
        <v>0</v>
      </c>
    </row>
    <row r="10" spans="1:14" x14ac:dyDescent="0.2">
      <c r="A10" s="1525" t="s">
        <v>746</v>
      </c>
      <c r="B10" s="615">
        <v>1250</v>
      </c>
      <c r="C10" s="466">
        <v>82927</v>
      </c>
      <c r="D10" s="466">
        <v>21384</v>
      </c>
      <c r="E10" s="466">
        <v>0</v>
      </c>
      <c r="F10" s="466">
        <v>492</v>
      </c>
      <c r="G10" s="466">
        <v>0</v>
      </c>
      <c r="H10" s="466">
        <v>0</v>
      </c>
      <c r="I10" s="467">
        <v>0</v>
      </c>
      <c r="J10" s="467">
        <v>0</v>
      </c>
      <c r="K10" s="1692">
        <f t="shared" si="0"/>
        <v>104803</v>
      </c>
      <c r="L10" s="466">
        <v>104860</v>
      </c>
    </row>
    <row r="11" spans="1:14" x14ac:dyDescent="0.2">
      <c r="A11" s="1525" t="s">
        <v>1192</v>
      </c>
      <c r="B11" s="615" t="s">
        <v>163</v>
      </c>
      <c r="C11" s="467">
        <v>0</v>
      </c>
      <c r="D11" s="467">
        <v>0</v>
      </c>
      <c r="E11" s="467">
        <v>0</v>
      </c>
      <c r="F11" s="467">
        <v>0</v>
      </c>
      <c r="G11" s="467">
        <v>0</v>
      </c>
      <c r="H11" s="467">
        <v>0</v>
      </c>
      <c r="I11" s="467">
        <v>0</v>
      </c>
      <c r="J11" s="467">
        <v>0</v>
      </c>
      <c r="K11" s="1692">
        <f t="shared" si="0"/>
        <v>0</v>
      </c>
      <c r="L11" s="466">
        <v>0</v>
      </c>
    </row>
    <row r="12" spans="1:14" x14ac:dyDescent="0.2">
      <c r="A12" s="1525" t="s">
        <v>1019</v>
      </c>
      <c r="B12" s="615">
        <v>1300</v>
      </c>
      <c r="C12" s="466">
        <v>0</v>
      </c>
      <c r="D12" s="466">
        <v>0</v>
      </c>
      <c r="E12" s="466">
        <v>0</v>
      </c>
      <c r="F12" s="466">
        <v>0</v>
      </c>
      <c r="G12" s="466">
        <v>0</v>
      </c>
      <c r="H12" s="466">
        <v>0</v>
      </c>
      <c r="I12" s="467">
        <v>0</v>
      </c>
      <c r="J12" s="467">
        <v>0</v>
      </c>
      <c r="K12" s="1692">
        <f t="shared" si="0"/>
        <v>0</v>
      </c>
      <c r="L12" s="466">
        <v>0</v>
      </c>
    </row>
    <row r="13" spans="1:14" x14ac:dyDescent="0.2">
      <c r="A13" s="1525" t="s">
        <v>747</v>
      </c>
      <c r="B13" s="615">
        <v>1400</v>
      </c>
      <c r="C13" s="466">
        <v>0</v>
      </c>
      <c r="D13" s="466">
        <v>0</v>
      </c>
      <c r="E13" s="466">
        <v>0</v>
      </c>
      <c r="F13" s="466">
        <v>0</v>
      </c>
      <c r="G13" s="466">
        <v>0</v>
      </c>
      <c r="H13" s="466">
        <v>0</v>
      </c>
      <c r="I13" s="467">
        <v>0</v>
      </c>
      <c r="J13" s="467">
        <v>0</v>
      </c>
      <c r="K13" s="1692">
        <f t="shared" si="0"/>
        <v>0</v>
      </c>
      <c r="L13" s="466">
        <v>0</v>
      </c>
    </row>
    <row r="14" spans="1:14" x14ac:dyDescent="0.2">
      <c r="A14" s="1525" t="s">
        <v>1020</v>
      </c>
      <c r="B14" s="615">
        <v>1500</v>
      </c>
      <c r="C14" s="466">
        <v>48844</v>
      </c>
      <c r="D14" s="466">
        <v>540</v>
      </c>
      <c r="E14" s="466">
        <v>6972</v>
      </c>
      <c r="F14" s="466">
        <v>7924</v>
      </c>
      <c r="G14" s="466">
        <v>0</v>
      </c>
      <c r="H14" s="466">
        <v>1026</v>
      </c>
      <c r="I14" s="467">
        <v>0</v>
      </c>
      <c r="J14" s="467">
        <v>0</v>
      </c>
      <c r="K14" s="1692">
        <f t="shared" si="0"/>
        <v>65306</v>
      </c>
      <c r="L14" s="466">
        <v>66582</v>
      </c>
    </row>
    <row r="15" spans="1:14" x14ac:dyDescent="0.2">
      <c r="A15" s="1525" t="s">
        <v>1021</v>
      </c>
      <c r="B15" s="615">
        <v>1600</v>
      </c>
      <c r="C15" s="466">
        <v>0</v>
      </c>
      <c r="D15" s="466">
        <v>0</v>
      </c>
      <c r="E15" s="466">
        <v>0</v>
      </c>
      <c r="F15" s="466">
        <v>0</v>
      </c>
      <c r="G15" s="466">
        <v>0</v>
      </c>
      <c r="H15" s="466">
        <v>0</v>
      </c>
      <c r="I15" s="467">
        <v>0</v>
      </c>
      <c r="J15" s="467">
        <v>0</v>
      </c>
      <c r="K15" s="1692">
        <f t="shared" si="0"/>
        <v>0</v>
      </c>
      <c r="L15" s="466">
        <v>0</v>
      </c>
    </row>
    <row r="16" spans="1:14" x14ac:dyDescent="0.2">
      <c r="A16" s="1525" t="s">
        <v>1044</v>
      </c>
      <c r="B16" s="615" t="s">
        <v>444</v>
      </c>
      <c r="C16" s="466">
        <v>989</v>
      </c>
      <c r="D16" s="466">
        <v>14</v>
      </c>
      <c r="E16" s="466">
        <v>0</v>
      </c>
      <c r="F16" s="466">
        <v>97</v>
      </c>
      <c r="G16" s="466">
        <v>0</v>
      </c>
      <c r="H16" s="466">
        <v>0</v>
      </c>
      <c r="I16" s="467">
        <v>0</v>
      </c>
      <c r="J16" s="467">
        <v>0</v>
      </c>
      <c r="K16" s="1692">
        <f t="shared" si="0"/>
        <v>1100</v>
      </c>
      <c r="L16" s="466">
        <v>1204</v>
      </c>
    </row>
    <row r="17" spans="1:12" x14ac:dyDescent="0.2">
      <c r="A17" s="1525" t="s">
        <v>748</v>
      </c>
      <c r="B17" s="615" t="s">
        <v>164</v>
      </c>
      <c r="C17" s="467">
        <v>0</v>
      </c>
      <c r="D17" s="467">
        <v>0</v>
      </c>
      <c r="E17" s="467">
        <v>0</v>
      </c>
      <c r="F17" s="467">
        <v>0</v>
      </c>
      <c r="G17" s="467">
        <v>0</v>
      </c>
      <c r="H17" s="467">
        <v>0</v>
      </c>
      <c r="I17" s="467">
        <v>0</v>
      </c>
      <c r="J17" s="467">
        <v>0</v>
      </c>
      <c r="K17" s="1692">
        <f t="shared" si="0"/>
        <v>0</v>
      </c>
      <c r="L17" s="466">
        <v>0</v>
      </c>
    </row>
    <row r="18" spans="1:12" x14ac:dyDescent="0.2">
      <c r="A18" s="1525" t="s">
        <v>1148</v>
      </c>
      <c r="B18" s="615">
        <v>1800</v>
      </c>
      <c r="C18" s="466">
        <v>99275</v>
      </c>
      <c r="D18" s="466">
        <v>21550</v>
      </c>
      <c r="E18" s="466">
        <v>57</v>
      </c>
      <c r="F18" s="466">
        <v>618</v>
      </c>
      <c r="G18" s="466">
        <v>0</v>
      </c>
      <c r="H18" s="466">
        <v>0</v>
      </c>
      <c r="I18" s="467">
        <v>0</v>
      </c>
      <c r="J18" s="467">
        <v>0</v>
      </c>
      <c r="K18" s="1692">
        <f t="shared" si="0"/>
        <v>121500</v>
      </c>
      <c r="L18" s="466">
        <v>123348</v>
      </c>
    </row>
    <row r="19" spans="1:12" x14ac:dyDescent="0.2">
      <c r="A19" s="1525" t="s">
        <v>136</v>
      </c>
      <c r="B19" s="615">
        <v>1900</v>
      </c>
      <c r="C19" s="466">
        <v>0</v>
      </c>
      <c r="D19" s="466">
        <v>0</v>
      </c>
      <c r="E19" s="466">
        <v>0</v>
      </c>
      <c r="F19" s="466">
        <v>0</v>
      </c>
      <c r="G19" s="466">
        <v>0</v>
      </c>
      <c r="H19" s="466">
        <v>0</v>
      </c>
      <c r="I19" s="467">
        <v>0</v>
      </c>
      <c r="J19" s="467">
        <v>0</v>
      </c>
      <c r="K19" s="1692">
        <f t="shared" si="0"/>
        <v>0</v>
      </c>
      <c r="L19" s="466">
        <v>0</v>
      </c>
    </row>
    <row r="20" spans="1:12" x14ac:dyDescent="0.2">
      <c r="A20" s="1526" t="s">
        <v>762</v>
      </c>
      <c r="B20" s="603" t="s">
        <v>749</v>
      </c>
      <c r="C20" s="477"/>
      <c r="D20" s="477"/>
      <c r="E20" s="477"/>
      <c r="F20" s="477"/>
      <c r="G20" s="477"/>
      <c r="H20" s="474">
        <v>0</v>
      </c>
      <c r="I20" s="617"/>
      <c r="J20" s="475"/>
      <c r="K20" s="1692">
        <f t="shared" si="0"/>
        <v>0</v>
      </c>
      <c r="L20" s="471">
        <v>0</v>
      </c>
    </row>
    <row r="21" spans="1:12" x14ac:dyDescent="0.2">
      <c r="A21" s="1526" t="s">
        <v>763</v>
      </c>
      <c r="B21" s="603" t="s">
        <v>750</v>
      </c>
      <c r="C21" s="477"/>
      <c r="D21" s="477"/>
      <c r="E21" s="477"/>
      <c r="F21" s="477"/>
      <c r="G21" s="477"/>
      <c r="H21" s="474">
        <v>0</v>
      </c>
      <c r="I21" s="617"/>
      <c r="J21" s="477"/>
      <c r="K21" s="1692">
        <f t="shared" si="0"/>
        <v>0</v>
      </c>
      <c r="L21" s="471">
        <v>0</v>
      </c>
    </row>
    <row r="22" spans="1:12" x14ac:dyDescent="0.2">
      <c r="A22" s="1526" t="s">
        <v>764</v>
      </c>
      <c r="B22" s="603" t="s">
        <v>751</v>
      </c>
      <c r="C22" s="477"/>
      <c r="D22" s="477"/>
      <c r="E22" s="477"/>
      <c r="F22" s="477"/>
      <c r="G22" s="477"/>
      <c r="H22" s="474">
        <v>0</v>
      </c>
      <c r="I22" s="617"/>
      <c r="J22" s="477"/>
      <c r="K22" s="1692">
        <f t="shared" si="0"/>
        <v>0</v>
      </c>
      <c r="L22" s="471">
        <v>0</v>
      </c>
    </row>
    <row r="23" spans="1:12" x14ac:dyDescent="0.2">
      <c r="A23" s="1526" t="s">
        <v>765</v>
      </c>
      <c r="B23" s="603" t="s">
        <v>752</v>
      </c>
      <c r="C23" s="477"/>
      <c r="D23" s="477"/>
      <c r="E23" s="477"/>
      <c r="F23" s="477"/>
      <c r="G23" s="477"/>
      <c r="H23" s="474">
        <v>0</v>
      </c>
      <c r="I23" s="617"/>
      <c r="J23" s="477"/>
      <c r="K23" s="1692">
        <f t="shared" si="0"/>
        <v>0</v>
      </c>
      <c r="L23" s="471">
        <v>0</v>
      </c>
    </row>
    <row r="24" spans="1:12" ht="12.75" customHeight="1" x14ac:dyDescent="0.2">
      <c r="A24" s="1526" t="s">
        <v>766</v>
      </c>
      <c r="B24" s="603" t="s">
        <v>753</v>
      </c>
      <c r="C24" s="477"/>
      <c r="D24" s="477"/>
      <c r="E24" s="477"/>
      <c r="F24" s="477"/>
      <c r="G24" s="477"/>
      <c r="H24" s="474">
        <v>0</v>
      </c>
      <c r="I24" s="617"/>
      <c r="J24" s="477"/>
      <c r="K24" s="1692">
        <f t="shared" si="0"/>
        <v>0</v>
      </c>
      <c r="L24" s="471">
        <v>0</v>
      </c>
    </row>
    <row r="25" spans="1:12" ht="12.75" customHeight="1" x14ac:dyDescent="0.2">
      <c r="A25" s="1526" t="s">
        <v>835</v>
      </c>
      <c r="B25" s="603" t="s">
        <v>754</v>
      </c>
      <c r="C25" s="477"/>
      <c r="D25" s="477"/>
      <c r="E25" s="477"/>
      <c r="F25" s="477"/>
      <c r="G25" s="477"/>
      <c r="H25" s="474">
        <v>0</v>
      </c>
      <c r="I25" s="617"/>
      <c r="J25" s="477"/>
      <c r="K25" s="1692">
        <f t="shared" si="0"/>
        <v>0</v>
      </c>
      <c r="L25" s="471">
        <v>0</v>
      </c>
    </row>
    <row r="26" spans="1:12" x14ac:dyDescent="0.2">
      <c r="A26" s="1526" t="s">
        <v>643</v>
      </c>
      <c r="B26" s="603" t="s">
        <v>755</v>
      </c>
      <c r="C26" s="477"/>
      <c r="D26" s="477"/>
      <c r="E26" s="477"/>
      <c r="F26" s="477"/>
      <c r="G26" s="477"/>
      <c r="H26" s="474">
        <v>0</v>
      </c>
      <c r="I26" s="617"/>
      <c r="J26" s="477"/>
      <c r="K26" s="1692">
        <f t="shared" si="0"/>
        <v>0</v>
      </c>
      <c r="L26" s="471">
        <v>0</v>
      </c>
    </row>
    <row r="27" spans="1:12" x14ac:dyDescent="0.2">
      <c r="A27" s="1526" t="s">
        <v>644</v>
      </c>
      <c r="B27" s="603" t="s">
        <v>756</v>
      </c>
      <c r="C27" s="477"/>
      <c r="D27" s="477"/>
      <c r="E27" s="477"/>
      <c r="F27" s="477"/>
      <c r="G27" s="477"/>
      <c r="H27" s="474">
        <v>0</v>
      </c>
      <c r="I27" s="617"/>
      <c r="J27" s="477"/>
      <c r="K27" s="1692">
        <f t="shared" si="0"/>
        <v>0</v>
      </c>
      <c r="L27" s="471">
        <v>0</v>
      </c>
    </row>
    <row r="28" spans="1:12" x14ac:dyDescent="0.2">
      <c r="A28" s="1526" t="s">
        <v>152</v>
      </c>
      <c r="B28" s="603" t="s">
        <v>757</v>
      </c>
      <c r="C28" s="477"/>
      <c r="D28" s="477"/>
      <c r="E28" s="477"/>
      <c r="F28" s="477"/>
      <c r="G28" s="477"/>
      <c r="H28" s="474">
        <v>0</v>
      </c>
      <c r="I28" s="617"/>
      <c r="J28" s="477"/>
      <c r="K28" s="1692">
        <f t="shared" si="0"/>
        <v>0</v>
      </c>
      <c r="L28" s="471">
        <v>0</v>
      </c>
    </row>
    <row r="29" spans="1:12" x14ac:dyDescent="0.2">
      <c r="A29" s="1526" t="s">
        <v>153</v>
      </c>
      <c r="B29" s="603" t="s">
        <v>758</v>
      </c>
      <c r="C29" s="477"/>
      <c r="D29" s="477"/>
      <c r="E29" s="477"/>
      <c r="F29" s="477"/>
      <c r="G29" s="477"/>
      <c r="H29" s="474">
        <v>0</v>
      </c>
      <c r="I29" s="617"/>
      <c r="J29" s="477"/>
      <c r="K29" s="1692">
        <f t="shared" si="0"/>
        <v>0</v>
      </c>
      <c r="L29" s="471">
        <v>0</v>
      </c>
    </row>
    <row r="30" spans="1:12" x14ac:dyDescent="0.2">
      <c r="A30" s="1526" t="s">
        <v>154</v>
      </c>
      <c r="B30" s="603" t="s">
        <v>759</v>
      </c>
      <c r="C30" s="477"/>
      <c r="D30" s="477"/>
      <c r="E30" s="477"/>
      <c r="F30" s="477"/>
      <c r="G30" s="477"/>
      <c r="H30" s="474">
        <v>0</v>
      </c>
      <c r="I30" s="617"/>
      <c r="J30" s="477"/>
      <c r="K30" s="1692">
        <f t="shared" si="0"/>
        <v>0</v>
      </c>
      <c r="L30" s="471">
        <v>0</v>
      </c>
    </row>
    <row r="31" spans="1:12" x14ac:dyDescent="0.2">
      <c r="A31" s="1526" t="s">
        <v>155</v>
      </c>
      <c r="B31" s="603" t="s">
        <v>760</v>
      </c>
      <c r="C31" s="477"/>
      <c r="D31" s="477"/>
      <c r="E31" s="477"/>
      <c r="F31" s="477"/>
      <c r="G31" s="477"/>
      <c r="H31" s="474">
        <v>0</v>
      </c>
      <c r="I31" s="617"/>
      <c r="J31" s="477"/>
      <c r="K31" s="1692">
        <f t="shared" si="0"/>
        <v>0</v>
      </c>
      <c r="L31" s="471">
        <v>0</v>
      </c>
    </row>
    <row r="32" spans="1:12" x14ac:dyDescent="0.2">
      <c r="A32" s="1527" t="s">
        <v>1191</v>
      </c>
      <c r="B32" s="615" t="s">
        <v>761</v>
      </c>
      <c r="C32" s="477"/>
      <c r="D32" s="477"/>
      <c r="E32" s="477"/>
      <c r="F32" s="477"/>
      <c r="G32" s="477"/>
      <c r="H32" s="474">
        <v>0</v>
      </c>
      <c r="I32" s="617"/>
      <c r="J32" s="480"/>
      <c r="K32" s="1692">
        <f t="shared" si="0"/>
        <v>0</v>
      </c>
      <c r="L32" s="471">
        <v>0</v>
      </c>
    </row>
    <row r="33" spans="1:14" ht="12.75" customHeight="1" thickBot="1" x14ac:dyDescent="0.25">
      <c r="A33" s="1689" t="s">
        <v>1767</v>
      </c>
      <c r="B33" s="1690" t="s">
        <v>591</v>
      </c>
      <c r="C33" s="1691">
        <f>SUM(C5:C32)</f>
        <v>2405871</v>
      </c>
      <c r="D33" s="1691">
        <f t="shared" ref="D33:L33" si="1">SUM(D5:D32)</f>
        <v>360576</v>
      </c>
      <c r="E33" s="1691">
        <f t="shared" si="1"/>
        <v>128200</v>
      </c>
      <c r="F33" s="1691">
        <f t="shared" si="1"/>
        <v>120883</v>
      </c>
      <c r="G33" s="1691">
        <f t="shared" si="1"/>
        <v>32281</v>
      </c>
      <c r="H33" s="1691">
        <f t="shared" si="1"/>
        <v>1026</v>
      </c>
      <c r="I33" s="1691">
        <f t="shared" si="1"/>
        <v>3329</v>
      </c>
      <c r="J33" s="1691">
        <f t="shared" si="1"/>
        <v>0</v>
      </c>
      <c r="K33" s="1691">
        <f t="shared" si="1"/>
        <v>3052166</v>
      </c>
      <c r="L33" s="1691">
        <f t="shared" si="1"/>
        <v>3107037</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70118</v>
      </c>
      <c r="D36" s="481">
        <v>7171</v>
      </c>
      <c r="E36" s="481">
        <v>1260</v>
      </c>
      <c r="F36" s="481">
        <v>39</v>
      </c>
      <c r="G36" s="481">
        <v>0</v>
      </c>
      <c r="H36" s="481">
        <v>0</v>
      </c>
      <c r="I36" s="467">
        <v>0</v>
      </c>
      <c r="J36" s="467">
        <v>0</v>
      </c>
      <c r="K36" s="1692">
        <f t="shared" ref="K36:K41" si="2">SUM(C36:J36)</f>
        <v>78588</v>
      </c>
      <c r="L36" s="466">
        <v>71862</v>
      </c>
    </row>
    <row r="37" spans="1:14" x14ac:dyDescent="0.2">
      <c r="A37" s="1525" t="s">
        <v>1151</v>
      </c>
      <c r="B37" s="615">
        <v>2120</v>
      </c>
      <c r="C37" s="466">
        <v>0</v>
      </c>
      <c r="D37" s="466">
        <v>0</v>
      </c>
      <c r="E37" s="466">
        <v>0</v>
      </c>
      <c r="F37" s="466">
        <v>0</v>
      </c>
      <c r="G37" s="466">
        <v>0</v>
      </c>
      <c r="H37" s="466">
        <v>0</v>
      </c>
      <c r="I37" s="467">
        <v>0</v>
      </c>
      <c r="J37" s="467">
        <v>0</v>
      </c>
      <c r="K37" s="1692">
        <f t="shared" si="2"/>
        <v>0</v>
      </c>
      <c r="L37" s="466">
        <v>10000</v>
      </c>
    </row>
    <row r="38" spans="1:14" x14ac:dyDescent="0.2">
      <c r="A38" s="1525" t="s">
        <v>207</v>
      </c>
      <c r="B38" s="615">
        <v>2130</v>
      </c>
      <c r="C38" s="466">
        <v>68038</v>
      </c>
      <c r="D38" s="466">
        <v>10705</v>
      </c>
      <c r="E38" s="466">
        <v>193</v>
      </c>
      <c r="F38" s="466">
        <v>1208</v>
      </c>
      <c r="G38" s="466">
        <v>0</v>
      </c>
      <c r="H38" s="466">
        <v>161</v>
      </c>
      <c r="I38" s="467">
        <v>0</v>
      </c>
      <c r="J38" s="467">
        <v>0</v>
      </c>
      <c r="K38" s="1692">
        <f t="shared" si="2"/>
        <v>80305</v>
      </c>
      <c r="L38" s="466">
        <v>87533</v>
      </c>
    </row>
    <row r="39" spans="1:14" x14ac:dyDescent="0.2">
      <c r="A39" s="1525" t="s">
        <v>208</v>
      </c>
      <c r="B39" s="615">
        <v>2140</v>
      </c>
      <c r="C39" s="466">
        <v>36431</v>
      </c>
      <c r="D39" s="466">
        <v>9120</v>
      </c>
      <c r="E39" s="466">
        <v>47</v>
      </c>
      <c r="F39" s="466">
        <v>2467</v>
      </c>
      <c r="G39" s="466">
        <v>0</v>
      </c>
      <c r="H39" s="466">
        <v>0</v>
      </c>
      <c r="I39" s="467">
        <v>0</v>
      </c>
      <c r="J39" s="467">
        <v>0</v>
      </c>
      <c r="K39" s="1692">
        <f t="shared" si="2"/>
        <v>48065</v>
      </c>
      <c r="L39" s="466">
        <v>42029</v>
      </c>
    </row>
    <row r="40" spans="1:14" x14ac:dyDescent="0.2">
      <c r="A40" s="1525" t="s">
        <v>209</v>
      </c>
      <c r="B40" s="615">
        <v>2150</v>
      </c>
      <c r="C40" s="466">
        <v>46999</v>
      </c>
      <c r="D40" s="466">
        <v>8648</v>
      </c>
      <c r="E40" s="466">
        <v>90</v>
      </c>
      <c r="F40" s="466">
        <v>489</v>
      </c>
      <c r="G40" s="466">
        <v>0</v>
      </c>
      <c r="H40" s="466">
        <v>288</v>
      </c>
      <c r="I40" s="467">
        <v>0</v>
      </c>
      <c r="J40" s="467">
        <v>0</v>
      </c>
      <c r="K40" s="1692">
        <f t="shared" si="2"/>
        <v>56514</v>
      </c>
      <c r="L40" s="466">
        <v>64656</v>
      </c>
    </row>
    <row r="41" spans="1:14" x14ac:dyDescent="0.2">
      <c r="A41" s="1525" t="s">
        <v>1768</v>
      </c>
      <c r="B41" s="615">
        <v>2190</v>
      </c>
      <c r="C41" s="466">
        <v>0</v>
      </c>
      <c r="D41" s="466">
        <v>0</v>
      </c>
      <c r="E41" s="466">
        <v>0</v>
      </c>
      <c r="F41" s="466">
        <v>0</v>
      </c>
      <c r="G41" s="466">
        <v>0</v>
      </c>
      <c r="H41" s="466">
        <v>0</v>
      </c>
      <c r="I41" s="467">
        <v>0</v>
      </c>
      <c r="J41" s="467">
        <v>0</v>
      </c>
      <c r="K41" s="1692">
        <f t="shared" si="2"/>
        <v>0</v>
      </c>
      <c r="L41" s="466">
        <v>0</v>
      </c>
    </row>
    <row r="42" spans="1:14" ht="12.75" customHeight="1" thickBot="1" x14ac:dyDescent="0.25">
      <c r="A42" s="1689" t="s">
        <v>581</v>
      </c>
      <c r="B42" s="1690" t="s">
        <v>740</v>
      </c>
      <c r="C42" s="1691">
        <f>SUM(C36:C41)</f>
        <v>221586</v>
      </c>
      <c r="D42" s="1691">
        <f t="shared" ref="D42:L42" si="3">SUM(D36:D41)</f>
        <v>35644</v>
      </c>
      <c r="E42" s="1691">
        <f t="shared" si="3"/>
        <v>1590</v>
      </c>
      <c r="F42" s="1691">
        <f t="shared" si="3"/>
        <v>4203</v>
      </c>
      <c r="G42" s="1691">
        <f t="shared" si="3"/>
        <v>0</v>
      </c>
      <c r="H42" s="1691">
        <f t="shared" si="3"/>
        <v>449</v>
      </c>
      <c r="I42" s="1691">
        <f t="shared" si="3"/>
        <v>0</v>
      </c>
      <c r="J42" s="1691">
        <f t="shared" si="3"/>
        <v>0</v>
      </c>
      <c r="K42" s="1691">
        <f t="shared" si="3"/>
        <v>263472</v>
      </c>
      <c r="L42" s="1691">
        <f t="shared" si="3"/>
        <v>276080</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18468</v>
      </c>
      <c r="D44" s="481">
        <v>13996</v>
      </c>
      <c r="E44" s="481">
        <v>9378</v>
      </c>
      <c r="F44" s="481">
        <v>0</v>
      </c>
      <c r="G44" s="481">
        <v>0</v>
      </c>
      <c r="H44" s="481">
        <v>0</v>
      </c>
      <c r="I44" s="467">
        <v>0</v>
      </c>
      <c r="J44" s="467">
        <v>0</v>
      </c>
      <c r="K44" s="1693">
        <f>SUM(C44:J44)</f>
        <v>41842</v>
      </c>
      <c r="L44" s="481">
        <v>56813</v>
      </c>
    </row>
    <row r="45" spans="1:14" x14ac:dyDescent="0.2">
      <c r="A45" s="1525" t="s">
        <v>869</v>
      </c>
      <c r="B45" s="615">
        <v>2220</v>
      </c>
      <c r="C45" s="466">
        <v>33540</v>
      </c>
      <c r="D45" s="466">
        <v>10724</v>
      </c>
      <c r="E45" s="466">
        <v>2071</v>
      </c>
      <c r="F45" s="466">
        <v>8167</v>
      </c>
      <c r="G45" s="466">
        <v>0</v>
      </c>
      <c r="H45" s="466">
        <v>0</v>
      </c>
      <c r="I45" s="467">
        <v>0</v>
      </c>
      <c r="J45" s="467">
        <v>0</v>
      </c>
      <c r="K45" s="1693">
        <f>SUM(C45:J45)</f>
        <v>54502</v>
      </c>
      <c r="L45" s="466">
        <v>55277</v>
      </c>
    </row>
    <row r="46" spans="1:14" x14ac:dyDescent="0.2">
      <c r="A46" s="1525" t="s">
        <v>870</v>
      </c>
      <c r="B46" s="615">
        <v>2230</v>
      </c>
      <c r="C46" s="466">
        <v>0</v>
      </c>
      <c r="D46" s="466">
        <v>0</v>
      </c>
      <c r="E46" s="466">
        <v>8328</v>
      </c>
      <c r="F46" s="466">
        <v>0</v>
      </c>
      <c r="G46" s="466">
        <v>0</v>
      </c>
      <c r="H46" s="466">
        <v>0</v>
      </c>
      <c r="I46" s="467">
        <v>0</v>
      </c>
      <c r="J46" s="467">
        <v>0</v>
      </c>
      <c r="K46" s="1693">
        <f>SUM(C46:J46)</f>
        <v>8328</v>
      </c>
      <c r="L46" s="466">
        <v>8328</v>
      </c>
    </row>
    <row r="47" spans="1:14" ht="12.75" customHeight="1" thickBot="1" x14ac:dyDescent="0.25">
      <c r="A47" s="1689" t="s">
        <v>582</v>
      </c>
      <c r="B47" s="1690" t="s">
        <v>32</v>
      </c>
      <c r="C47" s="1691">
        <f>SUM(C44:C46)</f>
        <v>52008</v>
      </c>
      <c r="D47" s="1691">
        <f t="shared" ref="D47:K47" si="4">SUM(D44:D46)</f>
        <v>24720</v>
      </c>
      <c r="E47" s="1691">
        <f t="shared" si="4"/>
        <v>19777</v>
      </c>
      <c r="F47" s="1691">
        <f t="shared" si="4"/>
        <v>8167</v>
      </c>
      <c r="G47" s="1691">
        <f t="shared" si="4"/>
        <v>0</v>
      </c>
      <c r="H47" s="1691">
        <f t="shared" si="4"/>
        <v>0</v>
      </c>
      <c r="I47" s="1691">
        <f t="shared" si="4"/>
        <v>0</v>
      </c>
      <c r="J47" s="1691">
        <f t="shared" si="4"/>
        <v>0</v>
      </c>
      <c r="K47" s="1691">
        <f t="shared" si="4"/>
        <v>104672</v>
      </c>
      <c r="L47" s="1691">
        <f>SUM(L44:L46)</f>
        <v>120418</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35030</v>
      </c>
      <c r="D49" s="481">
        <v>0</v>
      </c>
      <c r="E49" s="481">
        <v>33826</v>
      </c>
      <c r="F49" s="481">
        <v>2025</v>
      </c>
      <c r="G49" s="481">
        <v>0</v>
      </c>
      <c r="H49" s="481">
        <v>3839</v>
      </c>
      <c r="I49" s="467">
        <v>0</v>
      </c>
      <c r="J49" s="467">
        <v>0</v>
      </c>
      <c r="K49" s="1693">
        <f>SUM(C49:J49)</f>
        <v>74720</v>
      </c>
      <c r="L49" s="481">
        <v>96933</v>
      </c>
    </row>
    <row r="50" spans="1:14" x14ac:dyDescent="0.2">
      <c r="A50" s="1525" t="s">
        <v>872</v>
      </c>
      <c r="B50" s="615">
        <v>2320</v>
      </c>
      <c r="C50" s="466">
        <v>198228</v>
      </c>
      <c r="D50" s="466">
        <v>51189</v>
      </c>
      <c r="E50" s="466">
        <v>6991</v>
      </c>
      <c r="F50" s="466">
        <v>2012</v>
      </c>
      <c r="G50" s="466">
        <v>0</v>
      </c>
      <c r="H50" s="466">
        <v>1600</v>
      </c>
      <c r="I50" s="467">
        <v>2183</v>
      </c>
      <c r="J50" s="467">
        <v>0</v>
      </c>
      <c r="K50" s="1693">
        <f>SUM(C50:J50)</f>
        <v>262203</v>
      </c>
      <c r="L50" s="466">
        <v>265222</v>
      </c>
    </row>
    <row r="51" spans="1:14" x14ac:dyDescent="0.2">
      <c r="A51" s="1525" t="s">
        <v>44</v>
      </c>
      <c r="B51" s="615">
        <v>2330</v>
      </c>
      <c r="C51" s="466">
        <v>76000</v>
      </c>
      <c r="D51" s="466">
        <v>31168</v>
      </c>
      <c r="E51" s="466">
        <v>1224</v>
      </c>
      <c r="F51" s="466">
        <v>3221</v>
      </c>
      <c r="G51" s="466">
        <v>0</v>
      </c>
      <c r="H51" s="466">
        <v>0</v>
      </c>
      <c r="I51" s="467">
        <v>1497</v>
      </c>
      <c r="J51" s="467">
        <v>0</v>
      </c>
      <c r="K51" s="1693">
        <f>SUM(C51:J51)</f>
        <v>113110</v>
      </c>
      <c r="L51" s="466">
        <v>118400</v>
      </c>
    </row>
    <row r="52" spans="1:14" ht="22.5" x14ac:dyDescent="0.2">
      <c r="A52" s="1526" t="s">
        <v>316</v>
      </c>
      <c r="B52" s="628" t="s">
        <v>384</v>
      </c>
      <c r="C52" s="474">
        <v>0</v>
      </c>
      <c r="D52" s="474">
        <v>0</v>
      </c>
      <c r="E52" s="474">
        <v>0</v>
      </c>
      <c r="F52" s="474">
        <v>0</v>
      </c>
      <c r="G52" s="474">
        <v>0</v>
      </c>
      <c r="H52" s="474">
        <v>0</v>
      </c>
      <c r="I52" s="474">
        <v>0</v>
      </c>
      <c r="J52" s="474">
        <v>0</v>
      </c>
      <c r="K52" s="1693">
        <f>SUM(C52:J52)</f>
        <v>0</v>
      </c>
      <c r="L52" s="474">
        <v>0</v>
      </c>
    </row>
    <row r="53" spans="1:14" ht="12.75" customHeight="1" thickBot="1" x14ac:dyDescent="0.25">
      <c r="A53" s="1689" t="s">
        <v>741</v>
      </c>
      <c r="B53" s="1690" t="s">
        <v>33</v>
      </c>
      <c r="C53" s="1691">
        <f>SUM(C49:C52)</f>
        <v>309258</v>
      </c>
      <c r="D53" s="1691">
        <f t="shared" ref="D53:L53" si="5">SUM(D49:D52)</f>
        <v>82357</v>
      </c>
      <c r="E53" s="1691">
        <f t="shared" si="5"/>
        <v>42041</v>
      </c>
      <c r="F53" s="1691">
        <f t="shared" si="5"/>
        <v>7258</v>
      </c>
      <c r="G53" s="1691">
        <f t="shared" si="5"/>
        <v>0</v>
      </c>
      <c r="H53" s="1691">
        <f t="shared" si="5"/>
        <v>5439</v>
      </c>
      <c r="I53" s="1691">
        <f t="shared" si="5"/>
        <v>3680</v>
      </c>
      <c r="J53" s="1691">
        <f t="shared" si="5"/>
        <v>0</v>
      </c>
      <c r="K53" s="1691">
        <f t="shared" si="5"/>
        <v>450033</v>
      </c>
      <c r="L53" s="1691">
        <f t="shared" si="5"/>
        <v>480555</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286068</v>
      </c>
      <c r="D55" s="481">
        <v>88656</v>
      </c>
      <c r="E55" s="481">
        <v>2337</v>
      </c>
      <c r="F55" s="481">
        <v>1083</v>
      </c>
      <c r="G55" s="481">
        <v>0</v>
      </c>
      <c r="H55" s="481">
        <v>1266</v>
      </c>
      <c r="I55" s="467">
        <v>1130</v>
      </c>
      <c r="J55" s="467">
        <v>0</v>
      </c>
      <c r="K55" s="1693">
        <f>SUM(C55:J55)</f>
        <v>380540</v>
      </c>
      <c r="L55" s="481">
        <v>385984</v>
      </c>
    </row>
    <row r="56" spans="1:14" ht="12.75" customHeight="1" x14ac:dyDescent="0.2">
      <c r="A56" s="1529" t="s">
        <v>394</v>
      </c>
      <c r="B56" s="629">
        <v>2490</v>
      </c>
      <c r="C56" s="466">
        <v>0</v>
      </c>
      <c r="D56" s="466">
        <v>0</v>
      </c>
      <c r="E56" s="466">
        <v>0</v>
      </c>
      <c r="F56" s="466">
        <v>0</v>
      </c>
      <c r="G56" s="466">
        <v>0</v>
      </c>
      <c r="H56" s="466">
        <v>0</v>
      </c>
      <c r="I56" s="467">
        <v>0</v>
      </c>
      <c r="J56" s="467">
        <v>0</v>
      </c>
      <c r="K56" s="1693">
        <f>SUM(C56:J56)</f>
        <v>0</v>
      </c>
      <c r="L56" s="466">
        <v>0</v>
      </c>
    </row>
    <row r="57" spans="1:14" s="343" customFormat="1" ht="12.75" customHeight="1" thickBot="1" x14ac:dyDescent="0.25">
      <c r="A57" s="1689" t="s">
        <v>281</v>
      </c>
      <c r="B57" s="1694" t="s">
        <v>34</v>
      </c>
      <c r="C57" s="1695">
        <f>SUM(C55:C56)</f>
        <v>286068</v>
      </c>
      <c r="D57" s="1695">
        <f t="shared" ref="D57:K57" si="6">SUM(D55:D56)</f>
        <v>88656</v>
      </c>
      <c r="E57" s="1695">
        <f t="shared" si="6"/>
        <v>2337</v>
      </c>
      <c r="F57" s="1695">
        <f t="shared" si="6"/>
        <v>1083</v>
      </c>
      <c r="G57" s="1695">
        <f t="shared" si="6"/>
        <v>0</v>
      </c>
      <c r="H57" s="1695">
        <f t="shared" si="6"/>
        <v>1266</v>
      </c>
      <c r="I57" s="1695">
        <f t="shared" si="6"/>
        <v>1130</v>
      </c>
      <c r="J57" s="1695">
        <f t="shared" si="6"/>
        <v>0</v>
      </c>
      <c r="K57" s="1695">
        <f t="shared" si="6"/>
        <v>380540</v>
      </c>
      <c r="L57" s="1691">
        <f>SUM(L55:L56)</f>
        <v>385984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v>6149</v>
      </c>
      <c r="D59" s="481">
        <v>0</v>
      </c>
      <c r="E59" s="481">
        <v>0</v>
      </c>
      <c r="F59" s="481">
        <v>0</v>
      </c>
      <c r="G59" s="481">
        <v>0</v>
      </c>
      <c r="H59" s="481">
        <v>0</v>
      </c>
      <c r="I59" s="467">
        <v>0</v>
      </c>
      <c r="J59" s="467">
        <v>0</v>
      </c>
      <c r="K59" s="1693">
        <f t="shared" ref="K59:K64" si="7">SUM(C59:J59)</f>
        <v>6149</v>
      </c>
      <c r="L59" s="481">
        <v>0</v>
      </c>
      <c r="M59" s="610"/>
      <c r="N59" s="610"/>
    </row>
    <row r="60" spans="1:14" s="343" customFormat="1" x14ac:dyDescent="0.2">
      <c r="A60" s="1525" t="s">
        <v>483</v>
      </c>
      <c r="B60" s="615">
        <v>2520</v>
      </c>
      <c r="C60" s="466">
        <v>64106</v>
      </c>
      <c r="D60" s="466">
        <v>10705</v>
      </c>
      <c r="E60" s="466">
        <v>9870</v>
      </c>
      <c r="F60" s="466">
        <v>513</v>
      </c>
      <c r="G60" s="466">
        <v>0</v>
      </c>
      <c r="H60" s="466">
        <v>0</v>
      </c>
      <c r="I60" s="467">
        <v>898</v>
      </c>
      <c r="J60" s="467">
        <v>0</v>
      </c>
      <c r="K60" s="1693">
        <f t="shared" si="7"/>
        <v>86092</v>
      </c>
      <c r="L60" s="466">
        <v>86437</v>
      </c>
      <c r="M60" s="610"/>
      <c r="N60" s="610"/>
    </row>
    <row r="61" spans="1:14" s="343" customFormat="1" x14ac:dyDescent="0.2">
      <c r="A61" s="1525" t="s">
        <v>206</v>
      </c>
      <c r="B61" s="615">
        <v>2540</v>
      </c>
      <c r="C61" s="466">
        <v>206010</v>
      </c>
      <c r="D61" s="466">
        <v>53517</v>
      </c>
      <c r="E61" s="466">
        <v>0</v>
      </c>
      <c r="F61" s="466">
        <v>0</v>
      </c>
      <c r="G61" s="466">
        <v>0</v>
      </c>
      <c r="H61" s="466">
        <v>0</v>
      </c>
      <c r="I61" s="467">
        <v>0</v>
      </c>
      <c r="J61" s="467">
        <v>0</v>
      </c>
      <c r="K61" s="1693">
        <f t="shared" si="7"/>
        <v>259527</v>
      </c>
      <c r="L61" s="466">
        <v>290745</v>
      </c>
      <c r="M61" s="610"/>
      <c r="N61" s="610"/>
    </row>
    <row r="62" spans="1:14" s="343" customFormat="1" x14ac:dyDescent="0.2">
      <c r="A62" s="1525" t="s">
        <v>1010</v>
      </c>
      <c r="B62" s="615">
        <v>2550</v>
      </c>
      <c r="C62" s="466">
        <v>0</v>
      </c>
      <c r="D62" s="466">
        <v>0</v>
      </c>
      <c r="E62" s="466">
        <v>0</v>
      </c>
      <c r="F62" s="466">
        <v>0</v>
      </c>
      <c r="G62" s="466">
        <v>0</v>
      </c>
      <c r="H62" s="466">
        <v>0</v>
      </c>
      <c r="I62" s="467">
        <v>0</v>
      </c>
      <c r="J62" s="467">
        <v>0</v>
      </c>
      <c r="K62" s="1693">
        <f t="shared" si="7"/>
        <v>0</v>
      </c>
      <c r="L62" s="466">
        <v>0</v>
      </c>
      <c r="M62" s="610"/>
      <c r="N62" s="610"/>
    </row>
    <row r="63" spans="1:14" s="610" customFormat="1" x14ac:dyDescent="0.2">
      <c r="A63" s="1525" t="s">
        <v>102</v>
      </c>
      <c r="B63" s="615">
        <v>2560</v>
      </c>
      <c r="C63" s="466">
        <v>57074</v>
      </c>
      <c r="D63" s="466">
        <v>29</v>
      </c>
      <c r="E63" s="466">
        <v>8699</v>
      </c>
      <c r="F63" s="466">
        <v>29725</v>
      </c>
      <c r="G63" s="466">
        <v>0</v>
      </c>
      <c r="H63" s="466">
        <v>288</v>
      </c>
      <c r="I63" s="467">
        <v>0</v>
      </c>
      <c r="J63" s="467">
        <v>0</v>
      </c>
      <c r="K63" s="1693">
        <f t="shared" si="7"/>
        <v>95815</v>
      </c>
      <c r="L63" s="466">
        <v>88815</v>
      </c>
    </row>
    <row r="64" spans="1:14" s="610" customFormat="1" x14ac:dyDescent="0.2">
      <c r="A64" s="1530" t="s">
        <v>103</v>
      </c>
      <c r="B64" s="631">
        <v>2570</v>
      </c>
      <c r="C64" s="481">
        <v>0</v>
      </c>
      <c r="D64" s="481">
        <v>0</v>
      </c>
      <c r="E64" s="481">
        <v>0</v>
      </c>
      <c r="F64" s="481">
        <v>0</v>
      </c>
      <c r="G64" s="481">
        <v>0</v>
      </c>
      <c r="H64" s="481">
        <v>0</v>
      </c>
      <c r="I64" s="467">
        <v>0</v>
      </c>
      <c r="J64" s="467">
        <v>0</v>
      </c>
      <c r="K64" s="1693">
        <f t="shared" si="7"/>
        <v>0</v>
      </c>
      <c r="L64" s="481">
        <v>0</v>
      </c>
    </row>
    <row r="65" spans="1:14" s="343" customFormat="1" ht="12.75" customHeight="1" thickBot="1" x14ac:dyDescent="0.25">
      <c r="A65" s="1689" t="s">
        <v>743</v>
      </c>
      <c r="B65" s="1690" t="s">
        <v>35</v>
      </c>
      <c r="C65" s="1691">
        <f>SUM(C59:C64)</f>
        <v>333339</v>
      </c>
      <c r="D65" s="1691">
        <f t="shared" ref="D65:L65" si="8">SUM(D59:D64)</f>
        <v>64251</v>
      </c>
      <c r="E65" s="1691">
        <f t="shared" si="8"/>
        <v>18569</v>
      </c>
      <c r="F65" s="1691">
        <f t="shared" si="8"/>
        <v>30238</v>
      </c>
      <c r="G65" s="1691">
        <f t="shared" si="8"/>
        <v>0</v>
      </c>
      <c r="H65" s="1691">
        <f t="shared" si="8"/>
        <v>288</v>
      </c>
      <c r="I65" s="1691">
        <f t="shared" si="8"/>
        <v>898</v>
      </c>
      <c r="J65" s="1691">
        <f t="shared" si="8"/>
        <v>0</v>
      </c>
      <c r="K65" s="1691">
        <f t="shared" si="8"/>
        <v>447583</v>
      </c>
      <c r="L65" s="1691">
        <f t="shared" si="8"/>
        <v>465997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v>0</v>
      </c>
      <c r="D67" s="466">
        <v>0</v>
      </c>
      <c r="E67" s="466">
        <v>0</v>
      </c>
      <c r="F67" s="466">
        <v>0</v>
      </c>
      <c r="G67" s="466">
        <v>0</v>
      </c>
      <c r="H67" s="466">
        <v>0</v>
      </c>
      <c r="I67" s="467">
        <v>0</v>
      </c>
      <c r="J67" s="467">
        <v>0</v>
      </c>
      <c r="K67" s="1693">
        <f>SUM(C67:J67)</f>
        <v>0</v>
      </c>
      <c r="L67" s="481">
        <v>0</v>
      </c>
      <c r="M67" s="610"/>
      <c r="N67" s="610"/>
    </row>
    <row r="68" spans="1:14" s="343" customFormat="1" x14ac:dyDescent="0.2">
      <c r="A68" s="1525" t="s">
        <v>628</v>
      </c>
      <c r="B68" s="615">
        <v>2620</v>
      </c>
      <c r="C68" s="466">
        <v>0</v>
      </c>
      <c r="D68" s="466">
        <v>0</v>
      </c>
      <c r="E68" s="466">
        <v>0</v>
      </c>
      <c r="F68" s="466">
        <v>0</v>
      </c>
      <c r="G68" s="466">
        <v>0</v>
      </c>
      <c r="H68" s="466">
        <v>0</v>
      </c>
      <c r="I68" s="467">
        <v>0</v>
      </c>
      <c r="J68" s="467">
        <v>0</v>
      </c>
      <c r="K68" s="1693">
        <f>SUM(C68:J68)</f>
        <v>0</v>
      </c>
      <c r="L68" s="466">
        <v>0</v>
      </c>
      <c r="M68" s="610"/>
      <c r="N68" s="610"/>
    </row>
    <row r="69" spans="1:14" s="343" customFormat="1" x14ac:dyDescent="0.2">
      <c r="A69" s="1525" t="s">
        <v>1121</v>
      </c>
      <c r="B69" s="615">
        <v>2630</v>
      </c>
      <c r="C69" s="466">
        <v>0</v>
      </c>
      <c r="D69" s="466">
        <v>0</v>
      </c>
      <c r="E69" s="466">
        <v>0</v>
      </c>
      <c r="F69" s="466">
        <v>0</v>
      </c>
      <c r="G69" s="466">
        <v>0</v>
      </c>
      <c r="H69" s="466">
        <v>0</v>
      </c>
      <c r="I69" s="467">
        <v>0</v>
      </c>
      <c r="J69" s="467">
        <v>0</v>
      </c>
      <c r="K69" s="1693">
        <f>SUM(C69:J69)</f>
        <v>0</v>
      </c>
      <c r="L69" s="466">
        <v>0</v>
      </c>
      <c r="M69" s="610"/>
      <c r="N69" s="610"/>
    </row>
    <row r="70" spans="1:14" s="343" customFormat="1" x14ac:dyDescent="0.2">
      <c r="A70" s="1525" t="s">
        <v>423</v>
      </c>
      <c r="B70" s="615">
        <v>2640</v>
      </c>
      <c r="C70" s="466">
        <v>0</v>
      </c>
      <c r="D70" s="466">
        <v>0</v>
      </c>
      <c r="E70" s="466">
        <v>0</v>
      </c>
      <c r="F70" s="466">
        <v>0</v>
      </c>
      <c r="G70" s="466">
        <v>0</v>
      </c>
      <c r="H70" s="466">
        <v>0</v>
      </c>
      <c r="I70" s="467">
        <v>0</v>
      </c>
      <c r="J70" s="467">
        <v>0</v>
      </c>
      <c r="K70" s="1693">
        <f>SUM(C70:J70)</f>
        <v>0</v>
      </c>
      <c r="L70" s="466">
        <v>0</v>
      </c>
      <c r="M70" s="610"/>
      <c r="N70" s="610"/>
    </row>
    <row r="71" spans="1:14" s="343" customFormat="1" x14ac:dyDescent="0.2">
      <c r="A71" s="1525" t="s">
        <v>424</v>
      </c>
      <c r="B71" s="615">
        <v>2660</v>
      </c>
      <c r="C71" s="466">
        <v>0</v>
      </c>
      <c r="D71" s="466">
        <v>0</v>
      </c>
      <c r="E71" s="466">
        <v>68328</v>
      </c>
      <c r="F71" s="466">
        <v>0</v>
      </c>
      <c r="G71" s="466">
        <v>0</v>
      </c>
      <c r="H71" s="466">
        <v>0</v>
      </c>
      <c r="I71" s="467">
        <v>0</v>
      </c>
      <c r="J71" s="467">
        <v>0</v>
      </c>
      <c r="K71" s="1693">
        <f>SUM(C71:J71)</f>
        <v>68328</v>
      </c>
      <c r="L71" s="466">
        <v>68266</v>
      </c>
      <c r="M71" s="610"/>
      <c r="N71" s="610"/>
    </row>
    <row r="72" spans="1:14" s="343" customFormat="1" ht="12.75" customHeight="1" thickBot="1" x14ac:dyDescent="0.25">
      <c r="A72" s="1689" t="s">
        <v>37</v>
      </c>
      <c r="B72" s="1696" t="s">
        <v>36</v>
      </c>
      <c r="C72" s="1691">
        <f>SUM(C67:C71)</f>
        <v>0</v>
      </c>
      <c r="D72" s="1691">
        <f t="shared" ref="D72:K72" si="9">SUM(D67:D71)</f>
        <v>0</v>
      </c>
      <c r="E72" s="1691">
        <f t="shared" si="9"/>
        <v>68328</v>
      </c>
      <c r="F72" s="1691">
        <f t="shared" si="9"/>
        <v>0</v>
      </c>
      <c r="G72" s="1691">
        <f t="shared" si="9"/>
        <v>0</v>
      </c>
      <c r="H72" s="1691">
        <f t="shared" si="9"/>
        <v>0</v>
      </c>
      <c r="I72" s="1691">
        <f t="shared" si="9"/>
        <v>0</v>
      </c>
      <c r="J72" s="1691">
        <f t="shared" si="9"/>
        <v>0</v>
      </c>
      <c r="K72" s="1691">
        <f t="shared" si="9"/>
        <v>68328</v>
      </c>
      <c r="L72" s="1691">
        <f>SUM(L67:L71)</f>
        <v>68266</v>
      </c>
      <c r="M72" s="610"/>
      <c r="N72" s="610"/>
    </row>
    <row r="73" spans="1:14" s="343" customFormat="1" ht="14.25" thickTop="1" thickBot="1" x14ac:dyDescent="0.25">
      <c r="A73" s="1531" t="s">
        <v>1037</v>
      </c>
      <c r="B73" s="633" t="s">
        <v>595</v>
      </c>
      <c r="C73" s="573">
        <v>0</v>
      </c>
      <c r="D73" s="573">
        <v>0</v>
      </c>
      <c r="E73" s="573">
        <v>0</v>
      </c>
      <c r="F73" s="573">
        <v>0</v>
      </c>
      <c r="G73" s="573">
        <v>0</v>
      </c>
      <c r="H73" s="573">
        <v>0</v>
      </c>
      <c r="I73" s="531">
        <v>0</v>
      </c>
      <c r="J73" s="531">
        <v>0</v>
      </c>
      <c r="K73" s="1691">
        <f>SUM(C73:J73)</f>
        <v>0</v>
      </c>
      <c r="L73" s="576">
        <v>0</v>
      </c>
      <c r="M73" s="610"/>
      <c r="N73" s="610"/>
    </row>
    <row r="74" spans="1:14" ht="12.75" customHeight="1" thickTop="1" thickBot="1" x14ac:dyDescent="0.25">
      <c r="A74" s="1689" t="s">
        <v>865</v>
      </c>
      <c r="B74" s="1697">
        <v>2000</v>
      </c>
      <c r="C74" s="1698">
        <f>SUM(C42,C47,C53,C57,C65,C72,C73)</f>
        <v>1202259</v>
      </c>
      <c r="D74" s="1698">
        <f t="shared" ref="D74:K74" si="10">SUM(D42,D47,D53,D57,D65,D72,D73)</f>
        <v>295628</v>
      </c>
      <c r="E74" s="1698">
        <f t="shared" si="10"/>
        <v>152642</v>
      </c>
      <c r="F74" s="1698">
        <f t="shared" si="10"/>
        <v>50949</v>
      </c>
      <c r="G74" s="1698">
        <f t="shared" si="10"/>
        <v>0</v>
      </c>
      <c r="H74" s="1698">
        <f t="shared" si="10"/>
        <v>7442</v>
      </c>
      <c r="I74" s="1698">
        <f t="shared" si="10"/>
        <v>5708</v>
      </c>
      <c r="J74" s="1698">
        <f t="shared" si="10"/>
        <v>0</v>
      </c>
      <c r="K74" s="1698">
        <f t="shared" si="10"/>
        <v>1714628</v>
      </c>
      <c r="L74" s="1698">
        <f>SUM(L42,L47,L53,L57,L65,L72,L73)</f>
        <v>1797300</v>
      </c>
    </row>
    <row r="75" spans="1:14" s="259" customFormat="1" ht="15.75" customHeight="1" thickTop="1" thickBot="1" x14ac:dyDescent="0.25">
      <c r="A75" s="1631" t="s">
        <v>49</v>
      </c>
      <c r="B75" s="1632" t="s">
        <v>596</v>
      </c>
      <c r="C75" s="573">
        <v>0</v>
      </c>
      <c r="D75" s="573">
        <v>0</v>
      </c>
      <c r="E75" s="573">
        <v>0</v>
      </c>
      <c r="F75" s="573">
        <v>0</v>
      </c>
      <c r="G75" s="573">
        <v>0</v>
      </c>
      <c r="H75" s="573">
        <v>0</v>
      </c>
      <c r="I75" s="531">
        <v>0</v>
      </c>
      <c r="J75" s="531">
        <v>0</v>
      </c>
      <c r="K75" s="1691">
        <f>SUM(C75:J75)</f>
        <v>0</v>
      </c>
      <c r="L75" s="576">
        <v>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v>0</v>
      </c>
      <c r="F78" s="617"/>
      <c r="G78" s="617"/>
      <c r="H78" s="635">
        <v>0</v>
      </c>
      <c r="I78" s="477"/>
      <c r="J78" s="477"/>
      <c r="K78" s="1692">
        <f t="shared" ref="K78:K83" si="11">SUM(C78:J78)</f>
        <v>0</v>
      </c>
      <c r="L78" s="481">
        <v>0</v>
      </c>
    </row>
    <row r="79" spans="1:14" x14ac:dyDescent="0.2">
      <c r="A79" s="1525" t="s">
        <v>322</v>
      </c>
      <c r="B79" s="615">
        <v>4120</v>
      </c>
      <c r="C79" s="617"/>
      <c r="D79" s="617"/>
      <c r="E79" s="466">
        <v>61551</v>
      </c>
      <c r="F79" s="617"/>
      <c r="G79" s="617"/>
      <c r="H79" s="466">
        <v>0</v>
      </c>
      <c r="I79" s="477"/>
      <c r="J79" s="477"/>
      <c r="K79" s="1692">
        <f t="shared" si="11"/>
        <v>61551</v>
      </c>
      <c r="L79" s="466">
        <v>66585</v>
      </c>
    </row>
    <row r="80" spans="1:14" x14ac:dyDescent="0.2">
      <c r="A80" s="1525" t="s">
        <v>323</v>
      </c>
      <c r="B80" s="615">
        <v>4130</v>
      </c>
      <c r="C80" s="617"/>
      <c r="D80" s="617"/>
      <c r="E80" s="466">
        <v>0</v>
      </c>
      <c r="F80" s="617"/>
      <c r="G80" s="617"/>
      <c r="H80" s="466">
        <v>0</v>
      </c>
      <c r="I80" s="477"/>
      <c r="J80" s="477"/>
      <c r="K80" s="1692">
        <f t="shared" si="11"/>
        <v>0</v>
      </c>
      <c r="L80" s="466">
        <v>0</v>
      </c>
    </row>
    <row r="81" spans="1:12" x14ac:dyDescent="0.2">
      <c r="A81" s="1525" t="s">
        <v>721</v>
      </c>
      <c r="B81" s="615">
        <v>4140</v>
      </c>
      <c r="C81" s="617"/>
      <c r="D81" s="617"/>
      <c r="E81" s="466">
        <v>0</v>
      </c>
      <c r="F81" s="617"/>
      <c r="G81" s="617"/>
      <c r="H81" s="466">
        <v>0</v>
      </c>
      <c r="I81" s="477"/>
      <c r="J81" s="477"/>
      <c r="K81" s="1692">
        <f t="shared" si="11"/>
        <v>0</v>
      </c>
      <c r="L81" s="466">
        <v>0</v>
      </c>
    </row>
    <row r="82" spans="1:12" x14ac:dyDescent="0.2">
      <c r="A82" s="1525" t="s">
        <v>88</v>
      </c>
      <c r="B82" s="615">
        <v>4170</v>
      </c>
      <c r="C82" s="617"/>
      <c r="D82" s="617"/>
      <c r="E82" s="466">
        <v>0</v>
      </c>
      <c r="F82" s="617"/>
      <c r="G82" s="617"/>
      <c r="H82" s="466">
        <v>0</v>
      </c>
      <c r="I82" s="477"/>
      <c r="J82" s="477"/>
      <c r="K82" s="1692">
        <f t="shared" si="11"/>
        <v>0</v>
      </c>
      <c r="L82" s="466">
        <v>0</v>
      </c>
    </row>
    <row r="83" spans="1:12" x14ac:dyDescent="0.2">
      <c r="A83" s="1529" t="s">
        <v>722</v>
      </c>
      <c r="B83" s="629">
        <v>4190</v>
      </c>
      <c r="C83" s="617"/>
      <c r="D83" s="617"/>
      <c r="E83" s="466">
        <v>0</v>
      </c>
      <c r="F83" s="617"/>
      <c r="G83" s="617"/>
      <c r="H83" s="466">
        <v>0</v>
      </c>
      <c r="I83" s="477"/>
      <c r="J83" s="477"/>
      <c r="K83" s="1692">
        <f t="shared" si="11"/>
        <v>0</v>
      </c>
      <c r="L83" s="466">
        <v>0</v>
      </c>
    </row>
    <row r="84" spans="1:12" ht="13.5" thickBot="1" x14ac:dyDescent="0.25">
      <c r="A84" s="1689" t="s">
        <v>1565</v>
      </c>
      <c r="B84" s="1699">
        <v>4100</v>
      </c>
      <c r="C84" s="617"/>
      <c r="D84" s="617"/>
      <c r="E84" s="1691">
        <f>SUM(E78:E83)</f>
        <v>61551</v>
      </c>
      <c r="F84" s="617"/>
      <c r="G84" s="617"/>
      <c r="H84" s="1691">
        <f>SUM(H78:H83)</f>
        <v>0</v>
      </c>
      <c r="I84" s="477"/>
      <c r="J84" s="477"/>
      <c r="K84" s="1691">
        <f>SUM(K78:K83)</f>
        <v>61551</v>
      </c>
      <c r="L84" s="1691">
        <f>SUM(L78:L83)</f>
        <v>66585</v>
      </c>
    </row>
    <row r="85" spans="1:12" ht="12.75" customHeight="1" thickTop="1" thickBot="1" x14ac:dyDescent="0.25">
      <c r="A85" s="1532" t="s">
        <v>273</v>
      </c>
      <c r="B85" s="636">
        <v>4210</v>
      </c>
      <c r="C85" s="617"/>
      <c r="D85" s="617"/>
      <c r="E85" s="637"/>
      <c r="F85" s="617"/>
      <c r="G85" s="617"/>
      <c r="H85" s="535">
        <v>0</v>
      </c>
      <c r="I85" s="477"/>
      <c r="J85" s="477"/>
      <c r="K85" s="1698">
        <f>H85</f>
        <v>0</v>
      </c>
      <c r="L85" s="530">
        <v>0</v>
      </c>
    </row>
    <row r="86" spans="1:12" ht="12.75" customHeight="1" thickTop="1" thickBot="1" x14ac:dyDescent="0.25">
      <c r="A86" s="1533" t="s">
        <v>723</v>
      </c>
      <c r="B86" s="638">
        <v>4220</v>
      </c>
      <c r="C86" s="617"/>
      <c r="D86" s="617"/>
      <c r="E86" s="639"/>
      <c r="F86" s="617"/>
      <c r="G86" s="617"/>
      <c r="H86" s="467">
        <v>419918</v>
      </c>
      <c r="I86" s="477"/>
      <c r="J86" s="477"/>
      <c r="K86" s="1698">
        <f t="shared" ref="K86:K98" si="12">H86</f>
        <v>419918</v>
      </c>
      <c r="L86" s="530">
        <v>502256</v>
      </c>
    </row>
    <row r="87" spans="1:12" ht="14.25" thickTop="1" thickBot="1" x14ac:dyDescent="0.25">
      <c r="A87" s="1534" t="s">
        <v>724</v>
      </c>
      <c r="B87" s="640">
        <v>4230</v>
      </c>
      <c r="C87" s="617"/>
      <c r="D87" s="617"/>
      <c r="E87" s="639"/>
      <c r="F87" s="617"/>
      <c r="G87" s="617"/>
      <c r="H87" s="467">
        <v>0</v>
      </c>
      <c r="I87" s="477"/>
      <c r="J87" s="477"/>
      <c r="K87" s="1698">
        <f t="shared" si="12"/>
        <v>0</v>
      </c>
      <c r="L87" s="530">
        <v>0</v>
      </c>
    </row>
    <row r="88" spans="1:12" ht="12.75" customHeight="1" thickTop="1" thickBot="1" x14ac:dyDescent="0.25">
      <c r="A88" s="1534" t="s">
        <v>789</v>
      </c>
      <c r="B88" s="640">
        <v>4240</v>
      </c>
      <c r="C88" s="617"/>
      <c r="D88" s="617"/>
      <c r="E88" s="639"/>
      <c r="F88" s="617"/>
      <c r="G88" s="617"/>
      <c r="H88" s="467">
        <v>0</v>
      </c>
      <c r="I88" s="477"/>
      <c r="J88" s="477"/>
      <c r="K88" s="1698">
        <f t="shared" si="12"/>
        <v>0</v>
      </c>
      <c r="L88" s="530">
        <v>0</v>
      </c>
    </row>
    <row r="89" spans="1:12" ht="12.75" customHeight="1" thickTop="1" thickBot="1" x14ac:dyDescent="0.25">
      <c r="A89" s="1534" t="s">
        <v>725</v>
      </c>
      <c r="B89" s="640">
        <v>4270</v>
      </c>
      <c r="C89" s="617"/>
      <c r="D89" s="617"/>
      <c r="E89" s="639"/>
      <c r="F89" s="617"/>
      <c r="G89" s="617"/>
      <c r="H89" s="467">
        <v>0</v>
      </c>
      <c r="I89" s="477"/>
      <c r="J89" s="477"/>
      <c r="K89" s="1698">
        <f t="shared" si="12"/>
        <v>0</v>
      </c>
      <c r="L89" s="530">
        <v>0</v>
      </c>
    </row>
    <row r="90" spans="1:12" ht="12.75" customHeight="1" thickTop="1" thickBot="1" x14ac:dyDescent="0.25">
      <c r="A90" s="1534" t="s">
        <v>710</v>
      </c>
      <c r="B90" s="640">
        <v>4280</v>
      </c>
      <c r="C90" s="617"/>
      <c r="D90" s="617"/>
      <c r="E90" s="639"/>
      <c r="F90" s="617"/>
      <c r="G90" s="617"/>
      <c r="H90" s="467">
        <v>0</v>
      </c>
      <c r="I90" s="477"/>
      <c r="J90" s="477"/>
      <c r="K90" s="1698">
        <f t="shared" si="12"/>
        <v>0</v>
      </c>
      <c r="L90" s="530">
        <v>0</v>
      </c>
    </row>
    <row r="91" spans="1:12" ht="12.75" customHeight="1" thickTop="1" thickBot="1" x14ac:dyDescent="0.25">
      <c r="A91" s="1534" t="s">
        <v>711</v>
      </c>
      <c r="B91" s="640">
        <v>4290</v>
      </c>
      <c r="C91" s="617"/>
      <c r="D91" s="617"/>
      <c r="E91" s="639"/>
      <c r="F91" s="617"/>
      <c r="G91" s="617"/>
      <c r="H91" s="467">
        <v>0</v>
      </c>
      <c r="I91" s="477"/>
      <c r="J91" s="477"/>
      <c r="K91" s="1698">
        <f t="shared" si="12"/>
        <v>0</v>
      </c>
      <c r="L91" s="530">
        <v>0</v>
      </c>
    </row>
    <row r="92" spans="1:12" ht="14.25" thickTop="1" thickBot="1" x14ac:dyDescent="0.25">
      <c r="A92" s="1701" t="s">
        <v>1641</v>
      </c>
      <c r="B92" s="1699">
        <v>4200</v>
      </c>
      <c r="C92" s="617"/>
      <c r="D92" s="617"/>
      <c r="E92" s="639"/>
      <c r="F92" s="617"/>
      <c r="G92" s="617"/>
      <c r="H92" s="1691">
        <f>SUM(H85:H91)</f>
        <v>419918</v>
      </c>
      <c r="I92" s="477"/>
      <c r="J92" s="477"/>
      <c r="K92" s="1698">
        <f t="shared" si="12"/>
        <v>419918</v>
      </c>
      <c r="L92" s="1691">
        <f>SUM(L85:L91)</f>
        <v>502256</v>
      </c>
    </row>
    <row r="93" spans="1:12" ht="14.25" thickTop="1" thickBot="1" x14ac:dyDescent="0.25">
      <c r="A93" s="1533" t="s">
        <v>712</v>
      </c>
      <c r="B93" s="641">
        <v>4310</v>
      </c>
      <c r="C93" s="617"/>
      <c r="D93" s="617"/>
      <c r="E93" s="639"/>
      <c r="F93" s="617"/>
      <c r="G93" s="617"/>
      <c r="H93" s="642">
        <v>0</v>
      </c>
      <c r="I93" s="477"/>
      <c r="J93" s="477"/>
      <c r="K93" s="1698">
        <f t="shared" si="12"/>
        <v>0</v>
      </c>
      <c r="L93" s="532">
        <v>0</v>
      </c>
    </row>
    <row r="94" spans="1:12" ht="12.75" customHeight="1" thickTop="1" thickBot="1" x14ac:dyDescent="0.25">
      <c r="A94" s="1534" t="s">
        <v>713</v>
      </c>
      <c r="B94" s="640">
        <v>4320</v>
      </c>
      <c r="C94" s="617"/>
      <c r="D94" s="617"/>
      <c r="E94" s="639"/>
      <c r="F94" s="617"/>
      <c r="G94" s="617"/>
      <c r="H94" s="467">
        <v>0</v>
      </c>
      <c r="I94" s="477"/>
      <c r="J94" s="477"/>
      <c r="K94" s="1698">
        <f t="shared" si="12"/>
        <v>0</v>
      </c>
      <c r="L94" s="530">
        <v>0</v>
      </c>
    </row>
    <row r="95" spans="1:12" ht="15" customHeight="1" thickTop="1" thickBot="1" x14ac:dyDescent="0.25">
      <c r="A95" s="1534" t="s">
        <v>1568</v>
      </c>
      <c r="B95" s="640">
        <v>4330</v>
      </c>
      <c r="C95" s="617"/>
      <c r="D95" s="617"/>
      <c r="E95" s="639"/>
      <c r="F95" s="617"/>
      <c r="G95" s="617"/>
      <c r="H95" s="467">
        <v>0</v>
      </c>
      <c r="I95" s="477"/>
      <c r="J95" s="477"/>
      <c r="K95" s="1698">
        <f t="shared" si="12"/>
        <v>0</v>
      </c>
      <c r="L95" s="530">
        <v>0</v>
      </c>
    </row>
    <row r="96" spans="1:12" ht="14.25" thickTop="1" thickBot="1" x14ac:dyDescent="0.25">
      <c r="A96" s="1534" t="s">
        <v>714</v>
      </c>
      <c r="B96" s="640">
        <v>4340</v>
      </c>
      <c r="C96" s="617"/>
      <c r="D96" s="617"/>
      <c r="E96" s="639"/>
      <c r="F96" s="617"/>
      <c r="G96" s="617"/>
      <c r="H96" s="467">
        <v>0</v>
      </c>
      <c r="I96" s="477"/>
      <c r="J96" s="477"/>
      <c r="K96" s="1698">
        <f t="shared" si="12"/>
        <v>0</v>
      </c>
      <c r="L96" s="530">
        <v>0</v>
      </c>
    </row>
    <row r="97" spans="1:14" ht="12.75" customHeight="1" thickTop="1" thickBot="1" x14ac:dyDescent="0.25">
      <c r="A97" s="1534" t="s">
        <v>787</v>
      </c>
      <c r="B97" s="640">
        <v>4370</v>
      </c>
      <c r="C97" s="617"/>
      <c r="D97" s="617"/>
      <c r="E97" s="639"/>
      <c r="F97" s="617"/>
      <c r="G97" s="617"/>
      <c r="H97" s="467">
        <v>0</v>
      </c>
      <c r="I97" s="477"/>
      <c r="J97" s="477"/>
      <c r="K97" s="1698">
        <f t="shared" si="12"/>
        <v>0</v>
      </c>
      <c r="L97" s="530">
        <v>0</v>
      </c>
    </row>
    <row r="98" spans="1:14" ht="14.25" thickTop="1" thickBot="1" x14ac:dyDescent="0.25">
      <c r="A98" s="1534" t="s">
        <v>788</v>
      </c>
      <c r="B98" s="640">
        <v>4380</v>
      </c>
      <c r="C98" s="617"/>
      <c r="D98" s="617"/>
      <c r="E98" s="643"/>
      <c r="F98" s="617"/>
      <c r="G98" s="617"/>
      <c r="H98" s="467">
        <v>0</v>
      </c>
      <c r="I98" s="477"/>
      <c r="J98" s="477"/>
      <c r="K98" s="1698">
        <f t="shared" si="12"/>
        <v>0</v>
      </c>
      <c r="L98" s="530">
        <v>0</v>
      </c>
    </row>
    <row r="99" spans="1:14" ht="14.25" thickTop="1" thickBot="1" x14ac:dyDescent="0.25">
      <c r="A99" s="1534" t="s">
        <v>385</v>
      </c>
      <c r="B99" s="640">
        <v>4390</v>
      </c>
      <c r="C99" s="617"/>
      <c r="D99" s="617"/>
      <c r="E99" s="532">
        <v>0</v>
      </c>
      <c r="F99" s="617"/>
      <c r="G99" s="617"/>
      <c r="H99" s="467">
        <v>0</v>
      </c>
      <c r="I99" s="477"/>
      <c r="J99" s="477"/>
      <c r="K99" s="1698">
        <f>SUM(E99,H99)</f>
        <v>0</v>
      </c>
      <c r="L99" s="530">
        <v>0</v>
      </c>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v>0</v>
      </c>
      <c r="F101" s="617"/>
      <c r="G101" s="617"/>
      <c r="H101" s="531">
        <v>0</v>
      </c>
      <c r="I101" s="477"/>
      <c r="J101" s="477"/>
      <c r="K101" s="1700">
        <f>SUM(C101:J101)</f>
        <v>0</v>
      </c>
      <c r="L101" s="530">
        <v>0</v>
      </c>
    </row>
    <row r="102" spans="1:14" ht="12.75" customHeight="1" thickTop="1" thickBot="1" x14ac:dyDescent="0.25">
      <c r="A102" s="1689" t="s">
        <v>1567</v>
      </c>
      <c r="B102" s="1699">
        <v>4000</v>
      </c>
      <c r="C102" s="617"/>
      <c r="D102" s="617"/>
      <c r="E102" s="1698">
        <f>SUM(E84,E92,E100,E101)</f>
        <v>61551</v>
      </c>
      <c r="F102" s="617"/>
      <c r="G102" s="617"/>
      <c r="H102" s="1698">
        <f>SUM(H84,H92,H100,H101)</f>
        <v>419918</v>
      </c>
      <c r="I102" s="477"/>
      <c r="J102" s="477"/>
      <c r="K102" s="1698">
        <f>SUM(K84,K92,K100,K101)</f>
        <v>481469</v>
      </c>
      <c r="L102" s="1698">
        <f>SUM(L84,L92,L100,L101)</f>
        <v>568841</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v>0</v>
      </c>
      <c r="I105" s="468"/>
      <c r="J105" s="468"/>
      <c r="K105" s="1692">
        <f>H105</f>
        <v>0</v>
      </c>
      <c r="L105" s="481">
        <v>0</v>
      </c>
      <c r="M105" s="210"/>
      <c r="N105" s="210"/>
    </row>
    <row r="106" spans="1:14" s="598" customFormat="1" x14ac:dyDescent="0.2">
      <c r="A106" s="1525" t="s">
        <v>90</v>
      </c>
      <c r="B106" s="615">
        <v>5120</v>
      </c>
      <c r="C106" s="617"/>
      <c r="D106" s="617"/>
      <c r="E106" s="617"/>
      <c r="F106" s="617"/>
      <c r="G106" s="617"/>
      <c r="H106" s="466">
        <v>0</v>
      </c>
      <c r="I106" s="468"/>
      <c r="J106" s="468"/>
      <c r="K106" s="1692">
        <f>H106</f>
        <v>0</v>
      </c>
      <c r="L106" s="466">
        <v>0</v>
      </c>
      <c r="M106" s="210"/>
      <c r="N106" s="210"/>
    </row>
    <row r="107" spans="1:14" s="598" customFormat="1" ht="12.75" customHeight="1" x14ac:dyDescent="0.2">
      <c r="A107" s="1525" t="s">
        <v>1232</v>
      </c>
      <c r="B107" s="615">
        <v>5130</v>
      </c>
      <c r="C107" s="617"/>
      <c r="D107" s="617"/>
      <c r="E107" s="617"/>
      <c r="F107" s="617"/>
      <c r="G107" s="617"/>
      <c r="H107" s="466">
        <v>0</v>
      </c>
      <c r="I107" s="468"/>
      <c r="J107" s="468"/>
      <c r="K107" s="1692">
        <f>H107</f>
        <v>0</v>
      </c>
      <c r="L107" s="466">
        <v>0</v>
      </c>
      <c r="M107" s="210"/>
      <c r="N107" s="210"/>
    </row>
    <row r="108" spans="1:14" s="598" customFormat="1" x14ac:dyDescent="0.2">
      <c r="A108" s="1525" t="s">
        <v>91</v>
      </c>
      <c r="B108" s="615" t="s">
        <v>610</v>
      </c>
      <c r="C108" s="617"/>
      <c r="D108" s="617"/>
      <c r="E108" s="617"/>
      <c r="F108" s="617"/>
      <c r="G108" s="617"/>
      <c r="H108" s="466">
        <v>0</v>
      </c>
      <c r="I108" s="468"/>
      <c r="J108" s="468"/>
      <c r="K108" s="1692">
        <f>H108</f>
        <v>0</v>
      </c>
      <c r="L108" s="466">
        <v>0</v>
      </c>
      <c r="M108" s="210"/>
      <c r="N108" s="210"/>
    </row>
    <row r="109" spans="1:14" s="598" customFormat="1" x14ac:dyDescent="0.2">
      <c r="A109" s="1525" t="s">
        <v>272</v>
      </c>
      <c r="B109" s="629">
        <v>5150</v>
      </c>
      <c r="C109" s="617"/>
      <c r="D109" s="617"/>
      <c r="E109" s="617"/>
      <c r="F109" s="617"/>
      <c r="G109" s="617"/>
      <c r="H109" s="466">
        <v>0</v>
      </c>
      <c r="I109" s="468"/>
      <c r="J109" s="468"/>
      <c r="K109" s="1692">
        <f>H109</f>
        <v>0</v>
      </c>
      <c r="L109" s="466">
        <v>0</v>
      </c>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v>0</v>
      </c>
      <c r="I111" s="468"/>
      <c r="J111" s="468"/>
      <c r="K111" s="1704">
        <f>H111</f>
        <v>0</v>
      </c>
      <c r="L111" s="532">
        <v>0</v>
      </c>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0</v>
      </c>
      <c r="M113" s="614"/>
      <c r="N113" s="614"/>
    </row>
    <row r="114" spans="1:14" ht="12.75" customHeight="1" thickTop="1" thickBot="1" x14ac:dyDescent="0.25">
      <c r="A114" s="1689" t="s">
        <v>50</v>
      </c>
      <c r="B114" s="1703"/>
      <c r="C114" s="1691">
        <f>SUM(C33,C74,C75,C102,C112,C113)</f>
        <v>3608130</v>
      </c>
      <c r="D114" s="1691">
        <f t="shared" ref="D114:K114" si="13">SUM(D33,D74,D75,D102,D112,D113)</f>
        <v>656204</v>
      </c>
      <c r="E114" s="1691">
        <f t="shared" si="13"/>
        <v>342393</v>
      </c>
      <c r="F114" s="1691">
        <f t="shared" si="13"/>
        <v>171832</v>
      </c>
      <c r="G114" s="1691">
        <f t="shared" si="13"/>
        <v>32281</v>
      </c>
      <c r="H114" s="1691">
        <f>SUM(H33,H74,H75,H102,H112,H113)</f>
        <v>428386</v>
      </c>
      <c r="I114" s="1691">
        <f t="shared" si="13"/>
        <v>9037</v>
      </c>
      <c r="J114" s="1691">
        <f t="shared" si="13"/>
        <v>0</v>
      </c>
      <c r="K114" s="1691">
        <f t="shared" si="13"/>
        <v>5248263</v>
      </c>
      <c r="L114" s="1691">
        <f>SUM(L33,L74,L75,L102,L112,L113)</f>
        <v>5473178</v>
      </c>
    </row>
    <row r="115" spans="1:14" ht="13.5" thickTop="1" x14ac:dyDescent="0.2">
      <c r="A115" s="2197" t="s">
        <v>1053</v>
      </c>
      <c r="B115" s="2198"/>
      <c r="C115" s="619"/>
      <c r="D115" s="619"/>
      <c r="E115" s="619"/>
      <c r="F115" s="619"/>
      <c r="G115" s="619"/>
      <c r="H115" s="619"/>
      <c r="I115" s="619"/>
      <c r="J115" s="619"/>
      <c r="K115" s="1705">
        <f>'Revenues 9-14'!C275-'Expenditures 15-22'!K114</f>
        <v>622494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v>0</v>
      </c>
      <c r="D120" s="466">
        <v>0</v>
      </c>
      <c r="E120" s="466">
        <v>0</v>
      </c>
      <c r="F120" s="466">
        <v>0</v>
      </c>
      <c r="G120" s="466">
        <v>0</v>
      </c>
      <c r="H120" s="466">
        <v>0</v>
      </c>
      <c r="I120" s="467">
        <v>0</v>
      </c>
      <c r="J120" s="467">
        <v>0</v>
      </c>
      <c r="K120" s="1692">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v>0</v>
      </c>
      <c r="D122" s="466">
        <v>0</v>
      </c>
      <c r="E122" s="466">
        <v>0</v>
      </c>
      <c r="F122" s="466">
        <v>0</v>
      </c>
      <c r="G122" s="466">
        <v>0</v>
      </c>
      <c r="H122" s="466">
        <v>0</v>
      </c>
      <c r="I122" s="467">
        <v>0</v>
      </c>
      <c r="J122" s="467">
        <v>0</v>
      </c>
      <c r="K122" s="1691">
        <f>SUM(C122:J122)</f>
        <v>0</v>
      </c>
      <c r="L122" s="466">
        <v>0</v>
      </c>
    </row>
    <row r="123" spans="1:14" ht="14.25" thickTop="1" thickBot="1" x14ac:dyDescent="0.25">
      <c r="A123" s="1525" t="s">
        <v>4</v>
      </c>
      <c r="B123" s="615">
        <v>2530</v>
      </c>
      <c r="C123" s="466">
        <v>0</v>
      </c>
      <c r="D123" s="466">
        <v>0</v>
      </c>
      <c r="E123" s="466">
        <v>0</v>
      </c>
      <c r="F123" s="466">
        <v>0</v>
      </c>
      <c r="G123" s="466">
        <v>0</v>
      </c>
      <c r="H123" s="466">
        <v>0</v>
      </c>
      <c r="I123" s="467">
        <v>0</v>
      </c>
      <c r="J123" s="467">
        <v>0</v>
      </c>
      <c r="K123" s="1691">
        <f>SUM(C123:J123)</f>
        <v>0</v>
      </c>
      <c r="L123" s="466">
        <v>0</v>
      </c>
    </row>
    <row r="124" spans="1:14" ht="14.25" thickTop="1" thickBot="1" x14ac:dyDescent="0.25">
      <c r="A124" s="1525" t="s">
        <v>206</v>
      </c>
      <c r="B124" s="615">
        <v>2540</v>
      </c>
      <c r="C124" s="466">
        <v>61641</v>
      </c>
      <c r="D124" s="466">
        <v>8832</v>
      </c>
      <c r="E124" s="466">
        <v>86797</v>
      </c>
      <c r="F124" s="466">
        <v>121433</v>
      </c>
      <c r="G124" s="466">
        <v>204058</v>
      </c>
      <c r="H124" s="466">
        <v>0</v>
      </c>
      <c r="I124" s="467">
        <v>1078</v>
      </c>
      <c r="J124" s="467">
        <v>0</v>
      </c>
      <c r="K124" s="1691">
        <f>SUM(C124:J124)</f>
        <v>483839</v>
      </c>
      <c r="L124" s="466">
        <v>531680</v>
      </c>
    </row>
    <row r="125" spans="1:14" ht="14.25" thickTop="1" thickBot="1" x14ac:dyDescent="0.25">
      <c r="A125" s="1525" t="s">
        <v>1010</v>
      </c>
      <c r="B125" s="615">
        <v>2550</v>
      </c>
      <c r="C125" s="466">
        <v>0</v>
      </c>
      <c r="D125" s="466">
        <v>0</v>
      </c>
      <c r="E125" s="466">
        <v>0</v>
      </c>
      <c r="F125" s="466">
        <v>0</v>
      </c>
      <c r="G125" s="466">
        <v>0</v>
      </c>
      <c r="H125" s="466">
        <v>0</v>
      </c>
      <c r="I125" s="467">
        <v>0</v>
      </c>
      <c r="J125" s="467">
        <v>0</v>
      </c>
      <c r="K125" s="1691">
        <f>SUM(C125:J125)</f>
        <v>0</v>
      </c>
      <c r="L125" s="466">
        <v>0</v>
      </c>
    </row>
    <row r="126" spans="1:14" ht="14.25" thickTop="1" thickBot="1" x14ac:dyDescent="0.25">
      <c r="A126" s="1525" t="s">
        <v>102</v>
      </c>
      <c r="B126" s="615">
        <v>2560</v>
      </c>
      <c r="C126" s="655"/>
      <c r="D126" s="655"/>
      <c r="E126" s="655"/>
      <c r="F126" s="655"/>
      <c r="G126" s="466">
        <v>0</v>
      </c>
      <c r="H126" s="655"/>
      <c r="I126" s="474">
        <v>0</v>
      </c>
      <c r="J126" s="617"/>
      <c r="K126" s="1691">
        <f>SUM(C126:J126)</f>
        <v>0</v>
      </c>
      <c r="L126" s="466">
        <v>0</v>
      </c>
    </row>
    <row r="127" spans="1:14" ht="12.75" customHeight="1" thickTop="1" thickBot="1" x14ac:dyDescent="0.25">
      <c r="A127" s="1689" t="s">
        <v>743</v>
      </c>
      <c r="B127" s="1690" t="s">
        <v>35</v>
      </c>
      <c r="C127" s="1691">
        <f>SUM(C122:C126)</f>
        <v>61641</v>
      </c>
      <c r="D127" s="1691">
        <f t="shared" ref="D127:L127" si="14">SUM(D122:D126)</f>
        <v>8832</v>
      </c>
      <c r="E127" s="1691">
        <f t="shared" si="14"/>
        <v>86797</v>
      </c>
      <c r="F127" s="1691">
        <f t="shared" si="14"/>
        <v>121433</v>
      </c>
      <c r="G127" s="1691">
        <f t="shared" si="14"/>
        <v>204058</v>
      </c>
      <c r="H127" s="1691">
        <f t="shared" si="14"/>
        <v>0</v>
      </c>
      <c r="I127" s="1691">
        <f t="shared" si="14"/>
        <v>1078</v>
      </c>
      <c r="J127" s="1691">
        <f t="shared" si="14"/>
        <v>0</v>
      </c>
      <c r="K127" s="1691">
        <f t="shared" si="14"/>
        <v>483839</v>
      </c>
      <c r="L127" s="1691">
        <f t="shared" si="14"/>
        <v>531680</v>
      </c>
    </row>
    <row r="128" spans="1:14" ht="12.75" customHeight="1" thickTop="1" x14ac:dyDescent="0.2">
      <c r="A128" s="1532" t="s">
        <v>1037</v>
      </c>
      <c r="B128" s="656" t="s">
        <v>595</v>
      </c>
      <c r="C128" s="657">
        <v>0</v>
      </c>
      <c r="D128" s="657">
        <v>0</v>
      </c>
      <c r="E128" s="657">
        <v>0</v>
      </c>
      <c r="F128" s="657">
        <v>0</v>
      </c>
      <c r="G128" s="657">
        <v>0</v>
      </c>
      <c r="H128" s="657">
        <v>0</v>
      </c>
      <c r="I128" s="535">
        <v>0</v>
      </c>
      <c r="J128" s="535">
        <v>0</v>
      </c>
      <c r="K128" s="1706">
        <f>SUM(C128:J128)</f>
        <v>0</v>
      </c>
      <c r="L128" s="657">
        <v>0</v>
      </c>
    </row>
    <row r="129" spans="1:14" ht="12.75" customHeight="1" thickBot="1" x14ac:dyDescent="0.25">
      <c r="A129" s="1707" t="s">
        <v>865</v>
      </c>
      <c r="B129" s="1708" t="s">
        <v>590</v>
      </c>
      <c r="C129" s="1698">
        <f>SUM(C120,C127,C128)</f>
        <v>61641</v>
      </c>
      <c r="D129" s="1698">
        <f t="shared" ref="D129:L129" si="15">SUM(D120,D127,D128)</f>
        <v>8832</v>
      </c>
      <c r="E129" s="1698">
        <f t="shared" si="15"/>
        <v>86797</v>
      </c>
      <c r="F129" s="1698">
        <f t="shared" si="15"/>
        <v>121433</v>
      </c>
      <c r="G129" s="1698">
        <f t="shared" si="15"/>
        <v>204058</v>
      </c>
      <c r="H129" s="1698">
        <f t="shared" si="15"/>
        <v>0</v>
      </c>
      <c r="I129" s="1698">
        <f t="shared" si="15"/>
        <v>1078</v>
      </c>
      <c r="J129" s="1698">
        <f t="shared" si="15"/>
        <v>0</v>
      </c>
      <c r="K129" s="1698">
        <f t="shared" si="15"/>
        <v>483839</v>
      </c>
      <c r="L129" s="1698">
        <f t="shared" si="15"/>
        <v>531680</v>
      </c>
    </row>
    <row r="130" spans="1:14" ht="15.75" customHeight="1" thickTop="1" thickBot="1" x14ac:dyDescent="0.25">
      <c r="A130" s="1631" t="s">
        <v>1096</v>
      </c>
      <c r="B130" s="1632" t="s">
        <v>596</v>
      </c>
      <c r="C130" s="576">
        <v>0</v>
      </c>
      <c r="D130" s="576">
        <v>0</v>
      </c>
      <c r="E130" s="576">
        <v>0</v>
      </c>
      <c r="F130" s="576">
        <v>0</v>
      </c>
      <c r="G130" s="576">
        <v>0</v>
      </c>
      <c r="H130" s="576">
        <v>0</v>
      </c>
      <c r="I130" s="531">
        <v>0</v>
      </c>
      <c r="J130" s="531">
        <v>0</v>
      </c>
      <c r="K130" s="1691">
        <f>SUM(C130:J130)</f>
        <v>0</v>
      </c>
      <c r="L130" s="576">
        <v>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v>0</v>
      </c>
      <c r="F133" s="468"/>
      <c r="G133" s="468"/>
      <c r="H133" s="642">
        <v>0</v>
      </c>
      <c r="I133" s="468"/>
      <c r="J133" s="468"/>
      <c r="K133" s="1843">
        <f>SUM(E133,H133)</f>
        <v>0</v>
      </c>
      <c r="L133" s="642">
        <v>0</v>
      </c>
      <c r="M133" s="206"/>
      <c r="N133" s="206"/>
    </row>
    <row r="134" spans="1:14" x14ac:dyDescent="0.2">
      <c r="A134" s="1525" t="s">
        <v>322</v>
      </c>
      <c r="B134" s="615">
        <v>4120</v>
      </c>
      <c r="C134" s="617"/>
      <c r="D134" s="617"/>
      <c r="E134" s="478">
        <v>0</v>
      </c>
      <c r="F134" s="617"/>
      <c r="G134" s="617"/>
      <c r="H134" s="481">
        <v>0</v>
      </c>
      <c r="I134" s="477"/>
      <c r="J134" s="617"/>
      <c r="K134" s="1693">
        <f>SUM(E134,H134)</f>
        <v>0</v>
      </c>
      <c r="L134" s="481">
        <v>0</v>
      </c>
    </row>
    <row r="135" spans="1:14" x14ac:dyDescent="0.2">
      <c r="A135" s="1525" t="s">
        <v>721</v>
      </c>
      <c r="B135" s="615">
        <v>4140</v>
      </c>
      <c r="C135" s="617"/>
      <c r="D135" s="617"/>
      <c r="E135" s="467">
        <v>0</v>
      </c>
      <c r="F135" s="617"/>
      <c r="G135" s="617"/>
      <c r="H135" s="466">
        <v>0</v>
      </c>
      <c r="I135" s="477"/>
      <c r="J135" s="617"/>
      <c r="K135" s="1693">
        <f>SUM(E135,H135)</f>
        <v>0</v>
      </c>
      <c r="L135" s="466">
        <v>0</v>
      </c>
    </row>
    <row r="136" spans="1:14" x14ac:dyDescent="0.2">
      <c r="A136" s="1529" t="s">
        <v>722</v>
      </c>
      <c r="B136" s="629">
        <v>4190</v>
      </c>
      <c r="C136" s="617"/>
      <c r="D136" s="617"/>
      <c r="E136" s="467">
        <v>0</v>
      </c>
      <c r="F136" s="617"/>
      <c r="G136" s="617"/>
      <c r="H136" s="466">
        <v>0</v>
      </c>
      <c r="I136" s="477"/>
      <c r="J136" s="617"/>
      <c r="K136" s="1693">
        <f>SUM(E136,H136)</f>
        <v>0</v>
      </c>
      <c r="L136" s="466">
        <v>0</v>
      </c>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v>0</v>
      </c>
      <c r="I138" s="477"/>
      <c r="J138" s="617"/>
      <c r="K138" s="1693">
        <f>SUM(E138,H138)</f>
        <v>0</v>
      </c>
      <c r="L138" s="576">
        <v>0</v>
      </c>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v>0</v>
      </c>
      <c r="I142" s="468"/>
      <c r="J142" s="617"/>
      <c r="K142" s="1693">
        <f>SUM(H142)</f>
        <v>0</v>
      </c>
      <c r="L142" s="481">
        <v>0</v>
      </c>
    </row>
    <row r="143" spans="1:14" x14ac:dyDescent="0.2">
      <c r="A143" s="1525" t="s">
        <v>90</v>
      </c>
      <c r="B143" s="615">
        <v>5120</v>
      </c>
      <c r="C143" s="617"/>
      <c r="D143" s="617"/>
      <c r="E143" s="617"/>
      <c r="F143" s="617"/>
      <c r="G143" s="617"/>
      <c r="H143" s="466">
        <v>0</v>
      </c>
      <c r="I143" s="468"/>
      <c r="J143" s="617"/>
      <c r="K143" s="1693">
        <f>SUM(H143)</f>
        <v>0</v>
      </c>
      <c r="L143" s="466">
        <v>0</v>
      </c>
    </row>
    <row r="144" spans="1:14" ht="12.75" customHeight="1" x14ac:dyDescent="0.2">
      <c r="A144" s="1525" t="s">
        <v>1232</v>
      </c>
      <c r="B144" s="629" t="s">
        <v>638</v>
      </c>
      <c r="C144" s="617"/>
      <c r="D144" s="617"/>
      <c r="E144" s="617"/>
      <c r="F144" s="617"/>
      <c r="G144" s="617"/>
      <c r="H144" s="466">
        <v>0</v>
      </c>
      <c r="I144" s="468"/>
      <c r="J144" s="617"/>
      <c r="K144" s="1693">
        <f>SUM(H144)</f>
        <v>0</v>
      </c>
      <c r="L144" s="466">
        <v>0</v>
      </c>
    </row>
    <row r="145" spans="1:14" x14ac:dyDescent="0.2">
      <c r="A145" s="1525" t="s">
        <v>91</v>
      </c>
      <c r="B145" s="615" t="s">
        <v>610</v>
      </c>
      <c r="C145" s="617"/>
      <c r="D145" s="617"/>
      <c r="E145" s="617"/>
      <c r="F145" s="617"/>
      <c r="G145" s="617"/>
      <c r="H145" s="466">
        <v>0</v>
      </c>
      <c r="I145" s="468"/>
      <c r="J145" s="617"/>
      <c r="K145" s="1693">
        <f>SUM(H145)</f>
        <v>0</v>
      </c>
      <c r="L145" s="466">
        <v>0</v>
      </c>
    </row>
    <row r="146" spans="1:14" ht="12.75" customHeight="1" x14ac:dyDescent="0.2">
      <c r="A146" s="1525" t="s">
        <v>640</v>
      </c>
      <c r="B146" s="615" t="s">
        <v>639</v>
      </c>
      <c r="C146" s="617"/>
      <c r="D146" s="617"/>
      <c r="E146" s="617"/>
      <c r="F146" s="617"/>
      <c r="G146" s="617"/>
      <c r="H146" s="466">
        <v>0</v>
      </c>
      <c r="I146" s="468"/>
      <c r="J146" s="617"/>
      <c r="K146" s="1693">
        <f>SUM(H146)</f>
        <v>0</v>
      </c>
      <c r="L146" s="466">
        <v>0</v>
      </c>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v>0</v>
      </c>
      <c r="I148" s="468"/>
      <c r="J148" s="617"/>
      <c r="K148" s="1693">
        <f>SUM(H148)</f>
        <v>0</v>
      </c>
      <c r="L148" s="492">
        <v>0</v>
      </c>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0</v>
      </c>
    </row>
    <row r="151" spans="1:14" ht="12.75" customHeight="1" thickTop="1" thickBot="1" x14ac:dyDescent="0.25">
      <c r="A151" s="2187" t="s">
        <v>641</v>
      </c>
      <c r="B151" s="2169"/>
      <c r="C151" s="1691">
        <f>SUM(C129,C130,C139,C149,C150)</f>
        <v>61641</v>
      </c>
      <c r="D151" s="1691">
        <f t="shared" ref="D151:K151" si="16">SUM(D129,D130,D139,D149,D150)</f>
        <v>8832</v>
      </c>
      <c r="E151" s="1691">
        <f t="shared" si="16"/>
        <v>86797</v>
      </c>
      <c r="F151" s="1691">
        <f t="shared" si="16"/>
        <v>121433</v>
      </c>
      <c r="G151" s="1691">
        <f t="shared" si="16"/>
        <v>204058</v>
      </c>
      <c r="H151" s="1691">
        <f t="shared" si="16"/>
        <v>0</v>
      </c>
      <c r="I151" s="1691">
        <f t="shared" si="16"/>
        <v>1078</v>
      </c>
      <c r="J151" s="1691">
        <f t="shared" si="16"/>
        <v>0</v>
      </c>
      <c r="K151" s="1691">
        <f t="shared" si="16"/>
        <v>483839</v>
      </c>
      <c r="L151" s="1691">
        <f>SUM(L129,L130,L139,L149,L150)</f>
        <v>531680</v>
      </c>
    </row>
    <row r="152" spans="1:14" ht="12.75" customHeight="1" thickTop="1" x14ac:dyDescent="0.2">
      <c r="A152" s="2190" t="s">
        <v>1240</v>
      </c>
      <c r="B152" s="2191"/>
      <c r="C152" s="619"/>
      <c r="D152" s="619"/>
      <c r="E152" s="619"/>
      <c r="F152" s="619"/>
      <c r="G152" s="619"/>
      <c r="H152" s="619"/>
      <c r="I152" s="619"/>
      <c r="J152" s="617"/>
      <c r="K152" s="1705">
        <f>'Revenues 9-14'!D275-'Expenditures 15-22'!K151</f>
        <v>111495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v>0</v>
      </c>
      <c r="I157" s="617"/>
      <c r="J157" s="617"/>
      <c r="K157" s="1692">
        <f>H157</f>
        <v>0</v>
      </c>
      <c r="L157" s="467">
        <v>0</v>
      </c>
      <c r="M157" s="620"/>
      <c r="N157" s="620"/>
    </row>
    <row r="158" spans="1:14" s="621" customFormat="1" ht="12" x14ac:dyDescent="0.2">
      <c r="A158" s="1848" t="s">
        <v>322</v>
      </c>
      <c r="B158" s="1849" t="s">
        <v>1959</v>
      </c>
      <c r="C158" s="617"/>
      <c r="D158" s="617"/>
      <c r="E158" s="617"/>
      <c r="F158" s="617"/>
      <c r="G158" s="617"/>
      <c r="H158" s="467">
        <v>0</v>
      </c>
      <c r="I158" s="617"/>
      <c r="J158" s="617"/>
      <c r="K158" s="1692">
        <f>H158</f>
        <v>0</v>
      </c>
      <c r="L158" s="467">
        <v>0</v>
      </c>
      <c r="M158" s="620"/>
      <c r="N158" s="620"/>
    </row>
    <row r="159" spans="1:14" s="621" customFormat="1" ht="12" x14ac:dyDescent="0.2">
      <c r="A159" s="1848" t="s">
        <v>1960</v>
      </c>
      <c r="B159" s="1849" t="s">
        <v>579</v>
      </c>
      <c r="C159" s="617"/>
      <c r="D159" s="617"/>
      <c r="E159" s="617"/>
      <c r="F159" s="617"/>
      <c r="G159" s="617"/>
      <c r="H159" s="467">
        <v>0</v>
      </c>
      <c r="I159" s="617"/>
      <c r="J159" s="617"/>
      <c r="K159" s="1692">
        <f>H159</f>
        <v>0</v>
      </c>
      <c r="L159" s="467">
        <v>0</v>
      </c>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v>0</v>
      </c>
      <c r="I163" s="617"/>
      <c r="J163" s="617"/>
      <c r="K163" s="1692">
        <f>SUM(C163:J163)</f>
        <v>0</v>
      </c>
      <c r="L163" s="466">
        <v>0</v>
      </c>
    </row>
    <row r="164" spans="1:14" x14ac:dyDescent="0.2">
      <c r="A164" s="1525" t="s">
        <v>90</v>
      </c>
      <c r="B164" s="615">
        <v>5120</v>
      </c>
      <c r="C164" s="617"/>
      <c r="D164" s="617"/>
      <c r="E164" s="617"/>
      <c r="F164" s="617"/>
      <c r="G164" s="617"/>
      <c r="H164" s="466">
        <v>0</v>
      </c>
      <c r="I164" s="617"/>
      <c r="J164" s="617"/>
      <c r="K164" s="1692">
        <f>SUM(C164:J164)</f>
        <v>0</v>
      </c>
      <c r="L164" s="466">
        <v>0</v>
      </c>
    </row>
    <row r="165" spans="1:14" ht="12.75" customHeight="1" x14ac:dyDescent="0.2">
      <c r="A165" s="1525" t="s">
        <v>1232</v>
      </c>
      <c r="B165" s="615" t="s">
        <v>638</v>
      </c>
      <c r="C165" s="617"/>
      <c r="D165" s="617"/>
      <c r="E165" s="617"/>
      <c r="F165" s="617"/>
      <c r="G165" s="617"/>
      <c r="H165" s="466">
        <v>0</v>
      </c>
      <c r="I165" s="617"/>
      <c r="J165" s="617"/>
      <c r="K165" s="1692">
        <f>SUM(C165:J165)</f>
        <v>0</v>
      </c>
      <c r="L165" s="466">
        <v>0</v>
      </c>
    </row>
    <row r="166" spans="1:14" x14ac:dyDescent="0.2">
      <c r="A166" s="1525" t="s">
        <v>91</v>
      </c>
      <c r="B166" s="629" t="s">
        <v>610</v>
      </c>
      <c r="C166" s="617"/>
      <c r="D166" s="617"/>
      <c r="E166" s="617"/>
      <c r="F166" s="617"/>
      <c r="G166" s="617"/>
      <c r="H166" s="466">
        <v>0</v>
      </c>
      <c r="I166" s="617"/>
      <c r="J166" s="617"/>
      <c r="K166" s="1692">
        <f>SUM(C166:J166)</f>
        <v>0</v>
      </c>
      <c r="L166" s="466">
        <v>0</v>
      </c>
    </row>
    <row r="167" spans="1:14" ht="12.75" customHeight="1" x14ac:dyDescent="0.2">
      <c r="A167" s="1525" t="s">
        <v>640</v>
      </c>
      <c r="B167" s="615" t="s">
        <v>639</v>
      </c>
      <c r="C167" s="617"/>
      <c r="D167" s="617"/>
      <c r="E167" s="617"/>
      <c r="F167" s="617"/>
      <c r="G167" s="617"/>
      <c r="H167" s="466">
        <v>0</v>
      </c>
      <c r="I167" s="617"/>
      <c r="J167" s="617"/>
      <c r="K167" s="1692">
        <f>SUM(C167:J167)</f>
        <v>0</v>
      </c>
      <c r="L167" s="466">
        <v>0</v>
      </c>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40895</v>
      </c>
      <c r="I169" s="617"/>
      <c r="J169" s="617"/>
      <c r="K169" s="1692">
        <f>SUM(C169:H169)</f>
        <v>40895</v>
      </c>
      <c r="L169" s="657">
        <v>40895</v>
      </c>
    </row>
    <row r="170" spans="1:14" ht="33.75" customHeight="1" x14ac:dyDescent="0.2">
      <c r="A170" s="670" t="s">
        <v>1769</v>
      </c>
      <c r="B170" s="672" t="s">
        <v>31</v>
      </c>
      <c r="C170" s="617"/>
      <c r="D170" s="617"/>
      <c r="E170" s="617"/>
      <c r="F170" s="617"/>
      <c r="G170" s="617"/>
      <c r="H170" s="569">
        <v>455000</v>
      </c>
      <c r="I170" s="617"/>
      <c r="J170" s="617"/>
      <c r="K170" s="1692">
        <f>SUM(C170:J170)</f>
        <v>455000</v>
      </c>
      <c r="L170" s="569">
        <v>455000</v>
      </c>
    </row>
    <row r="171" spans="1:14" ht="15.75" customHeight="1" x14ac:dyDescent="0.2">
      <c r="A171" s="622" t="s">
        <v>790</v>
      </c>
      <c r="B171" s="673" t="s">
        <v>86</v>
      </c>
      <c r="C171" s="617"/>
      <c r="D171" s="617"/>
      <c r="E171" s="466">
        <v>0</v>
      </c>
      <c r="F171" s="617"/>
      <c r="G171" s="617"/>
      <c r="H171" s="569">
        <v>1250</v>
      </c>
      <c r="I171" s="477"/>
      <c r="J171" s="617"/>
      <c r="K171" s="1692">
        <f>SUM(C171:J171)</f>
        <v>1250</v>
      </c>
      <c r="L171" s="569">
        <v>1300</v>
      </c>
    </row>
    <row r="172" spans="1:14" ht="12.75" customHeight="1" thickBot="1" x14ac:dyDescent="0.25">
      <c r="A172" s="1689" t="s">
        <v>659</v>
      </c>
      <c r="B172" s="1690" t="s">
        <v>513</v>
      </c>
      <c r="C172" s="617"/>
      <c r="D172" s="617"/>
      <c r="E172" s="1698">
        <f>SUM(E168,E169,E170,E171)</f>
        <v>0</v>
      </c>
      <c r="F172" s="617"/>
      <c r="G172" s="617"/>
      <c r="H172" s="1698">
        <f>SUM(H168,H169,H170,H171)</f>
        <v>497145</v>
      </c>
      <c r="I172" s="639"/>
      <c r="J172" s="617"/>
      <c r="K172" s="1698">
        <f>SUM(K168,K169,K170,K171)</f>
        <v>497145</v>
      </c>
      <c r="L172" s="1698">
        <f>SUM(L168,L169,L170,L171)</f>
        <v>497195</v>
      </c>
    </row>
    <row r="173" spans="1:14" ht="15.75" customHeight="1" thickTop="1" thickBot="1" x14ac:dyDescent="0.25">
      <c r="A173" s="1640" t="s">
        <v>87</v>
      </c>
      <c r="B173" s="1632" t="s">
        <v>916</v>
      </c>
      <c r="C173" s="617"/>
      <c r="D173" s="617"/>
      <c r="E173" s="624"/>
      <c r="F173" s="617"/>
      <c r="G173" s="617"/>
      <c r="H173" s="627"/>
      <c r="I173" s="639"/>
      <c r="J173" s="617"/>
      <c r="K173" s="624"/>
      <c r="L173" s="576">
        <v>0</v>
      </c>
    </row>
    <row r="174" spans="1:14" ht="12.75" customHeight="1" thickTop="1" thickBot="1" x14ac:dyDescent="0.25">
      <c r="A174" s="1710" t="s">
        <v>92</v>
      </c>
      <c r="B174" s="1711"/>
      <c r="C174" s="617"/>
      <c r="D174" s="617"/>
      <c r="E174" s="1698">
        <f>SUM(E155,E172,E173)</f>
        <v>0</v>
      </c>
      <c r="F174" s="617"/>
      <c r="G174" s="617"/>
      <c r="H174" s="1698">
        <f>SUM(H160,H172,H173)</f>
        <v>497145</v>
      </c>
      <c r="I174" s="639"/>
      <c r="J174" s="617"/>
      <c r="K174" s="1698">
        <f>SUM(K160,K172,K173)</f>
        <v>497145</v>
      </c>
      <c r="L174" s="1698">
        <f>SUM(L160,L172,L173)</f>
        <v>497195</v>
      </c>
    </row>
    <row r="175" spans="1:14" ht="13.5" thickTop="1" x14ac:dyDescent="0.2">
      <c r="A175" s="2197" t="s">
        <v>1053</v>
      </c>
      <c r="B175" s="2198"/>
      <c r="C175" s="617"/>
      <c r="D175" s="617"/>
      <c r="E175" s="617"/>
      <c r="F175" s="617"/>
      <c r="G175" s="617"/>
      <c r="H175" s="619"/>
      <c r="I175" s="617"/>
      <c r="J175" s="617"/>
      <c r="K175" s="1705">
        <f>'Revenues 9-14'!E275-'Expenditures 15-22'!K174</f>
        <v>-137693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v>0</v>
      </c>
      <c r="D180" s="466">
        <v>0</v>
      </c>
      <c r="E180" s="466">
        <v>0</v>
      </c>
      <c r="F180" s="466">
        <v>0</v>
      </c>
      <c r="G180" s="466">
        <v>0</v>
      </c>
      <c r="H180" s="466">
        <v>0</v>
      </c>
      <c r="I180" s="467">
        <v>0</v>
      </c>
      <c r="J180" s="467">
        <v>0</v>
      </c>
      <c r="K180" s="1692">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119279</v>
      </c>
      <c r="D182" s="466">
        <v>25980</v>
      </c>
      <c r="E182" s="466">
        <v>133064</v>
      </c>
      <c r="F182" s="466">
        <v>12888</v>
      </c>
      <c r="G182" s="466">
        <v>0</v>
      </c>
      <c r="H182" s="466">
        <v>75</v>
      </c>
      <c r="I182" s="467">
        <v>0</v>
      </c>
      <c r="J182" s="467">
        <v>0</v>
      </c>
      <c r="K182" s="1692">
        <f>SUM(C182:J182)</f>
        <v>291286</v>
      </c>
      <c r="L182" s="466">
        <v>287156</v>
      </c>
    </row>
    <row r="183" spans="1:14" ht="12.75" customHeight="1" thickBot="1" x14ac:dyDescent="0.25">
      <c r="A183" s="1530" t="s">
        <v>1037</v>
      </c>
      <c r="B183" s="678">
        <v>2900</v>
      </c>
      <c r="C183" s="573">
        <v>0</v>
      </c>
      <c r="D183" s="573">
        <v>0</v>
      </c>
      <c r="E183" s="573">
        <v>0</v>
      </c>
      <c r="F183" s="573">
        <v>0</v>
      </c>
      <c r="G183" s="573">
        <v>0</v>
      </c>
      <c r="H183" s="573">
        <v>0</v>
      </c>
      <c r="I183" s="532">
        <v>0</v>
      </c>
      <c r="J183" s="532">
        <v>0</v>
      </c>
      <c r="K183" s="1698">
        <f>SUM(C183:J183)</f>
        <v>0</v>
      </c>
      <c r="L183" s="573">
        <v>0</v>
      </c>
    </row>
    <row r="184" spans="1:14" ht="12.75" customHeight="1" thickTop="1" thickBot="1" x14ac:dyDescent="0.25">
      <c r="A184" s="1712" t="s">
        <v>865</v>
      </c>
      <c r="B184" s="1690" t="s">
        <v>590</v>
      </c>
      <c r="C184" s="1698">
        <f>SUM(C180,C182,C183)</f>
        <v>119279</v>
      </c>
      <c r="D184" s="1698">
        <f t="shared" ref="D184:J184" si="17">SUM(D180,D182,D183)</f>
        <v>25980</v>
      </c>
      <c r="E184" s="1698">
        <f t="shared" si="17"/>
        <v>133064</v>
      </c>
      <c r="F184" s="1698">
        <f t="shared" si="17"/>
        <v>12888</v>
      </c>
      <c r="G184" s="1698">
        <f t="shared" si="17"/>
        <v>0</v>
      </c>
      <c r="H184" s="1698">
        <f t="shared" si="17"/>
        <v>75</v>
      </c>
      <c r="I184" s="1698">
        <f t="shared" si="17"/>
        <v>0</v>
      </c>
      <c r="J184" s="1698">
        <f t="shared" si="17"/>
        <v>0</v>
      </c>
      <c r="K184" s="1698">
        <f>SUM(K180,K182,K183)</f>
        <v>291286</v>
      </c>
      <c r="L184" s="1698">
        <f>SUM(L180, L182:L183)</f>
        <v>287156</v>
      </c>
    </row>
    <row r="185" spans="1:14" ht="15.75" customHeight="1" thickTop="1" thickBot="1" x14ac:dyDescent="0.25">
      <c r="A185" s="1643" t="s">
        <v>996</v>
      </c>
      <c r="B185" s="1632">
        <v>3000</v>
      </c>
      <c r="C185" s="576">
        <v>0</v>
      </c>
      <c r="D185" s="576">
        <v>0</v>
      </c>
      <c r="E185" s="576">
        <v>0</v>
      </c>
      <c r="F185" s="576">
        <v>0</v>
      </c>
      <c r="G185" s="576">
        <v>0</v>
      </c>
      <c r="H185" s="576">
        <v>0</v>
      </c>
      <c r="I185" s="531">
        <v>0</v>
      </c>
      <c r="J185" s="531">
        <v>0</v>
      </c>
      <c r="K185" s="1691">
        <f>SUM(C185:J185)</f>
        <v>0</v>
      </c>
      <c r="L185" s="576">
        <v>0</v>
      </c>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v>0</v>
      </c>
      <c r="F188" s="617"/>
      <c r="G188" s="617"/>
      <c r="H188" s="466">
        <v>0</v>
      </c>
      <c r="I188" s="477"/>
      <c r="J188" s="617"/>
      <c r="K188" s="1692">
        <f t="shared" ref="K188:K193" si="18">SUM(E188,H188)</f>
        <v>0</v>
      </c>
      <c r="L188" s="466">
        <v>0</v>
      </c>
    </row>
    <row r="189" spans="1:14" x14ac:dyDescent="0.2">
      <c r="A189" s="1525" t="s">
        <v>322</v>
      </c>
      <c r="B189" s="615">
        <v>4120</v>
      </c>
      <c r="C189" s="617"/>
      <c r="D189" s="617"/>
      <c r="E189" s="466">
        <v>1573</v>
      </c>
      <c r="F189" s="617"/>
      <c r="G189" s="617"/>
      <c r="H189" s="466">
        <v>0</v>
      </c>
      <c r="I189" s="477"/>
      <c r="J189" s="617"/>
      <c r="K189" s="1692">
        <f t="shared" si="18"/>
        <v>1573</v>
      </c>
      <c r="L189" s="466">
        <v>18500</v>
      </c>
    </row>
    <row r="190" spans="1:14" x14ac:dyDescent="0.2">
      <c r="A190" s="1525" t="s">
        <v>323</v>
      </c>
      <c r="B190" s="629">
        <v>4130</v>
      </c>
      <c r="C190" s="617"/>
      <c r="D190" s="617"/>
      <c r="E190" s="466">
        <v>0</v>
      </c>
      <c r="F190" s="617"/>
      <c r="G190" s="617"/>
      <c r="H190" s="466">
        <v>0</v>
      </c>
      <c r="I190" s="477"/>
      <c r="J190" s="617"/>
      <c r="K190" s="1692">
        <f t="shared" si="18"/>
        <v>0</v>
      </c>
      <c r="L190" s="466">
        <v>0</v>
      </c>
    </row>
    <row r="191" spans="1:14" x14ac:dyDescent="0.2">
      <c r="A191" s="1525" t="s">
        <v>721</v>
      </c>
      <c r="B191" s="615">
        <v>4140</v>
      </c>
      <c r="C191" s="617"/>
      <c r="D191" s="617"/>
      <c r="E191" s="466">
        <v>0</v>
      </c>
      <c r="F191" s="617"/>
      <c r="G191" s="617"/>
      <c r="H191" s="466">
        <v>0</v>
      </c>
      <c r="I191" s="477"/>
      <c r="J191" s="617"/>
      <c r="K191" s="1692">
        <f t="shared" si="18"/>
        <v>0</v>
      </c>
      <c r="L191" s="466">
        <v>0</v>
      </c>
    </row>
    <row r="192" spans="1:14" x14ac:dyDescent="0.2">
      <c r="A192" s="1525" t="s">
        <v>88</v>
      </c>
      <c r="B192" s="615">
        <v>4170</v>
      </c>
      <c r="C192" s="617"/>
      <c r="D192" s="617"/>
      <c r="E192" s="466">
        <v>0</v>
      </c>
      <c r="F192" s="617"/>
      <c r="G192" s="617"/>
      <c r="H192" s="466">
        <v>0</v>
      </c>
      <c r="I192" s="477"/>
      <c r="J192" s="617"/>
      <c r="K192" s="1692">
        <f t="shared" si="18"/>
        <v>0</v>
      </c>
      <c r="L192" s="466">
        <v>0</v>
      </c>
    </row>
    <row r="193" spans="1:14" x14ac:dyDescent="0.2">
      <c r="A193" s="1529" t="s">
        <v>722</v>
      </c>
      <c r="B193" s="629">
        <v>4190</v>
      </c>
      <c r="C193" s="617"/>
      <c r="D193" s="617"/>
      <c r="E193" s="466">
        <v>0</v>
      </c>
      <c r="F193" s="617"/>
      <c r="G193" s="617"/>
      <c r="H193" s="466">
        <v>0</v>
      </c>
      <c r="I193" s="477"/>
      <c r="J193" s="617"/>
      <c r="K193" s="1692">
        <f t="shared" si="18"/>
        <v>0</v>
      </c>
      <c r="L193" s="466">
        <v>0</v>
      </c>
    </row>
    <row r="194" spans="1:14" ht="12.75" customHeight="1" thickBot="1" x14ac:dyDescent="0.25">
      <c r="A194" s="1689" t="s">
        <v>1202</v>
      </c>
      <c r="B194" s="1690" t="s">
        <v>580</v>
      </c>
      <c r="C194" s="617"/>
      <c r="D194" s="617"/>
      <c r="E194" s="1691">
        <f>SUM(E188:E193)</f>
        <v>1573</v>
      </c>
      <c r="F194" s="617"/>
      <c r="G194" s="617"/>
      <c r="H194" s="1691">
        <f>SUM(H188:H193)</f>
        <v>0</v>
      </c>
      <c r="I194" s="477"/>
      <c r="J194" s="617"/>
      <c r="K194" s="1691">
        <f>SUM(K188:K193)</f>
        <v>1573</v>
      </c>
      <c r="L194" s="1691">
        <f>SUM(L188:L193)</f>
        <v>18500</v>
      </c>
    </row>
    <row r="195" spans="1:14" ht="15.75" customHeight="1" thickTop="1" x14ac:dyDescent="0.2">
      <c r="A195" s="670" t="s">
        <v>94</v>
      </c>
      <c r="B195" s="679" t="s">
        <v>988</v>
      </c>
      <c r="C195" s="617"/>
      <c r="D195" s="617"/>
      <c r="E195" s="657">
        <v>0</v>
      </c>
      <c r="F195" s="617"/>
      <c r="G195" s="617"/>
      <c r="H195" s="657">
        <v>0</v>
      </c>
      <c r="I195" s="477"/>
      <c r="J195" s="617"/>
      <c r="K195" s="1706">
        <f>SUM(E195,H195)</f>
        <v>0</v>
      </c>
      <c r="L195" s="657">
        <v>0</v>
      </c>
    </row>
    <row r="196" spans="1:14" ht="12.75" customHeight="1" thickBot="1" x14ac:dyDescent="0.25">
      <c r="A196" s="1689" t="s">
        <v>1567</v>
      </c>
      <c r="B196" s="1690" t="s">
        <v>915</v>
      </c>
      <c r="C196" s="617"/>
      <c r="D196" s="617"/>
      <c r="E196" s="1698">
        <f>SUM(E194,E195)</f>
        <v>1573</v>
      </c>
      <c r="F196" s="617"/>
      <c r="G196" s="617"/>
      <c r="H196" s="1698">
        <f>SUM(H194,H195)</f>
        <v>0</v>
      </c>
      <c r="I196" s="477"/>
      <c r="J196" s="617"/>
      <c r="K196" s="1698">
        <f>SUM(K194,K195)</f>
        <v>1573</v>
      </c>
      <c r="L196" s="1698">
        <f>SUM(L194,L195)</f>
        <v>18500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v>0</v>
      </c>
      <c r="I199" s="617"/>
      <c r="J199" s="617"/>
      <c r="K199" s="1692">
        <f>SUM(H199)</f>
        <v>0</v>
      </c>
      <c r="L199" s="466">
        <v>0</v>
      </c>
    </row>
    <row r="200" spans="1:14" x14ac:dyDescent="0.2">
      <c r="A200" s="1525" t="s">
        <v>90</v>
      </c>
      <c r="B200" s="615">
        <v>5120</v>
      </c>
      <c r="C200" s="617"/>
      <c r="D200" s="617"/>
      <c r="E200" s="617"/>
      <c r="F200" s="617"/>
      <c r="G200" s="617"/>
      <c r="H200" s="466">
        <v>0</v>
      </c>
      <c r="I200" s="617"/>
      <c r="J200" s="617"/>
      <c r="K200" s="1692">
        <f>SUM(H200)</f>
        <v>0</v>
      </c>
      <c r="L200" s="466">
        <v>0</v>
      </c>
    </row>
    <row r="201" spans="1:14" ht="12.75" customHeight="1" x14ac:dyDescent="0.2">
      <c r="A201" s="1525" t="s">
        <v>1232</v>
      </c>
      <c r="B201" s="629" t="s">
        <v>638</v>
      </c>
      <c r="C201" s="617"/>
      <c r="D201" s="617"/>
      <c r="E201" s="617"/>
      <c r="F201" s="617"/>
      <c r="G201" s="617"/>
      <c r="H201" s="466">
        <v>0</v>
      </c>
      <c r="I201" s="617"/>
      <c r="J201" s="617"/>
      <c r="K201" s="1692">
        <f>SUM(H201)</f>
        <v>0</v>
      </c>
      <c r="L201" s="466">
        <v>0</v>
      </c>
    </row>
    <row r="202" spans="1:14" x14ac:dyDescent="0.2">
      <c r="A202" s="1525" t="s">
        <v>91</v>
      </c>
      <c r="B202" s="615" t="s">
        <v>610</v>
      </c>
      <c r="C202" s="617"/>
      <c r="D202" s="617"/>
      <c r="E202" s="617"/>
      <c r="F202" s="617"/>
      <c r="G202" s="617"/>
      <c r="H202" s="466">
        <v>0</v>
      </c>
      <c r="I202" s="617"/>
      <c r="J202" s="617"/>
      <c r="K202" s="1692">
        <f>SUM(H202)</f>
        <v>0</v>
      </c>
      <c r="L202" s="466">
        <v>0</v>
      </c>
    </row>
    <row r="203" spans="1:14" x14ac:dyDescent="0.2">
      <c r="A203" s="1537" t="s">
        <v>640</v>
      </c>
      <c r="B203" s="615" t="s">
        <v>639</v>
      </c>
      <c r="C203" s="617"/>
      <c r="D203" s="617"/>
      <c r="E203" s="617"/>
      <c r="F203" s="617"/>
      <c r="G203" s="617"/>
      <c r="H203" s="471">
        <v>0</v>
      </c>
      <c r="I203" s="617"/>
      <c r="J203" s="617"/>
      <c r="K203" s="1692">
        <f>SUM(H203)</f>
        <v>0</v>
      </c>
      <c r="L203" s="471">
        <v>0</v>
      </c>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0</v>
      </c>
      <c r="I205" s="617"/>
      <c r="J205" s="617"/>
      <c r="K205" s="1706">
        <f>SUM(H205)</f>
        <v>0</v>
      </c>
      <c r="L205" s="535">
        <v>0</v>
      </c>
    </row>
    <row r="206" spans="1:14" ht="30" customHeight="1" x14ac:dyDescent="0.2">
      <c r="A206" s="682" t="s">
        <v>1770</v>
      </c>
      <c r="B206" s="673" t="s">
        <v>31</v>
      </c>
      <c r="C206" s="617"/>
      <c r="D206" s="617"/>
      <c r="E206" s="617"/>
      <c r="F206" s="617"/>
      <c r="G206" s="617"/>
      <c r="H206" s="466">
        <v>0</v>
      </c>
      <c r="I206" s="617"/>
      <c r="J206" s="617"/>
      <c r="K206" s="1692">
        <f>SUM(H206)</f>
        <v>0</v>
      </c>
      <c r="L206" s="466">
        <v>0</v>
      </c>
    </row>
    <row r="207" spans="1:14" ht="15.75" customHeight="1" x14ac:dyDescent="0.2">
      <c r="A207" s="622" t="s">
        <v>790</v>
      </c>
      <c r="B207" s="673" t="s">
        <v>86</v>
      </c>
      <c r="C207" s="617"/>
      <c r="D207" s="617"/>
      <c r="E207" s="617"/>
      <c r="F207" s="617"/>
      <c r="G207" s="617"/>
      <c r="H207" s="467">
        <v>0</v>
      </c>
      <c r="I207" s="617"/>
      <c r="J207" s="617"/>
      <c r="K207" s="1692">
        <f>H207</f>
        <v>0</v>
      </c>
      <c r="L207" s="466">
        <v>0</v>
      </c>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0</v>
      </c>
    </row>
    <row r="210" spans="1:14" ht="12.75" customHeight="1" thickTop="1" thickBot="1" x14ac:dyDescent="0.25">
      <c r="A210" s="1713" t="s">
        <v>295</v>
      </c>
      <c r="B210" s="1714"/>
      <c r="C210" s="1691">
        <f>SUM(C184,C185)</f>
        <v>119279</v>
      </c>
      <c r="D210" s="1691">
        <f>SUM(D184,D185)</f>
        <v>25980</v>
      </c>
      <c r="E210" s="1691">
        <f>SUM(E184,E185,E196)</f>
        <v>134637</v>
      </c>
      <c r="F210" s="1691">
        <f>SUM(F184,F185)</f>
        <v>12888</v>
      </c>
      <c r="G210" s="1691">
        <f>SUM(G184,G185)</f>
        <v>0</v>
      </c>
      <c r="H210" s="1691">
        <f>SUM(H184,H185,H196,H208,H209)</f>
        <v>75</v>
      </c>
      <c r="I210" s="1691">
        <f>SUM(I184,I185)</f>
        <v>0</v>
      </c>
      <c r="J210" s="1691">
        <f>SUM(J184,J185)</f>
        <v>0</v>
      </c>
      <c r="K210" s="1692">
        <f>SUM(K184,K185,K196,K208,K209)</f>
        <v>292859</v>
      </c>
      <c r="L210" s="1691">
        <f>SUM(L184,L185,L196,L208,L209)</f>
        <v>305656</v>
      </c>
    </row>
    <row r="211" spans="1:14" ht="13.5" thickTop="1" x14ac:dyDescent="0.2">
      <c r="A211" s="2197" t="s">
        <v>1053</v>
      </c>
      <c r="B211" s="2198"/>
      <c r="C211" s="619"/>
      <c r="D211" s="619"/>
      <c r="E211" s="619"/>
      <c r="F211" s="619"/>
      <c r="G211" s="619"/>
      <c r="H211" s="619"/>
      <c r="I211" s="617"/>
      <c r="J211" s="617"/>
      <c r="K211" s="1705">
        <f>'Revenues 9-14'!F275-'Expenditures 15-22'!K210</f>
        <v>251782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33165</v>
      </c>
      <c r="E215" s="617"/>
      <c r="F215" s="617"/>
      <c r="G215" s="617"/>
      <c r="H215" s="617"/>
      <c r="I215" s="617"/>
      <c r="J215" s="617"/>
      <c r="K215" s="1692">
        <f>D215</f>
        <v>33165</v>
      </c>
      <c r="L215" s="466">
        <v>32095</v>
      </c>
    </row>
    <row r="216" spans="1:14" x14ac:dyDescent="0.2">
      <c r="A216" s="1525" t="s">
        <v>165</v>
      </c>
      <c r="B216" s="615" t="s">
        <v>1024</v>
      </c>
      <c r="C216" s="617"/>
      <c r="D216" s="467">
        <v>0</v>
      </c>
      <c r="E216" s="617"/>
      <c r="F216" s="617"/>
      <c r="G216" s="617"/>
      <c r="H216" s="617"/>
      <c r="I216" s="617"/>
      <c r="J216" s="617"/>
      <c r="K216" s="1692">
        <f t="shared" ref="K216:K228" si="19">D216</f>
        <v>0</v>
      </c>
      <c r="L216" s="466">
        <v>0</v>
      </c>
    </row>
    <row r="217" spans="1:14" x14ac:dyDescent="0.2">
      <c r="A217" s="1525" t="s">
        <v>166</v>
      </c>
      <c r="B217" s="615">
        <v>1200</v>
      </c>
      <c r="C217" s="617"/>
      <c r="D217" s="466">
        <v>29080</v>
      </c>
      <c r="E217" s="617"/>
      <c r="F217" s="617"/>
      <c r="G217" s="617"/>
      <c r="H217" s="617"/>
      <c r="I217" s="617"/>
      <c r="J217" s="617"/>
      <c r="K217" s="1692">
        <f t="shared" si="19"/>
        <v>29080</v>
      </c>
      <c r="L217" s="466">
        <v>30347</v>
      </c>
    </row>
    <row r="218" spans="1:14" x14ac:dyDescent="0.2">
      <c r="A218" s="1525" t="s">
        <v>296</v>
      </c>
      <c r="B218" s="615" t="s">
        <v>1025</v>
      </c>
      <c r="C218" s="617"/>
      <c r="D218" s="467">
        <v>0</v>
      </c>
      <c r="E218" s="617"/>
      <c r="F218" s="617"/>
      <c r="G218" s="617"/>
      <c r="H218" s="617"/>
      <c r="I218" s="617"/>
      <c r="J218" s="617"/>
      <c r="K218" s="1692">
        <f t="shared" si="19"/>
        <v>0</v>
      </c>
      <c r="L218" s="466">
        <v>0</v>
      </c>
    </row>
    <row r="219" spans="1:14" x14ac:dyDescent="0.2">
      <c r="A219" s="1525" t="s">
        <v>297</v>
      </c>
      <c r="B219" s="615">
        <v>1250</v>
      </c>
      <c r="C219" s="617"/>
      <c r="D219" s="466">
        <v>4506</v>
      </c>
      <c r="E219" s="617"/>
      <c r="F219" s="617"/>
      <c r="G219" s="617"/>
      <c r="H219" s="617"/>
      <c r="I219" s="617"/>
      <c r="J219" s="617"/>
      <c r="K219" s="1692">
        <f t="shared" si="19"/>
        <v>4506</v>
      </c>
      <c r="L219" s="466">
        <v>4575</v>
      </c>
    </row>
    <row r="220" spans="1:14" x14ac:dyDescent="0.2">
      <c r="A220" s="1525" t="s">
        <v>298</v>
      </c>
      <c r="B220" s="615" t="s">
        <v>163</v>
      </c>
      <c r="C220" s="617"/>
      <c r="D220" s="467">
        <v>0</v>
      </c>
      <c r="E220" s="617"/>
      <c r="F220" s="617"/>
      <c r="G220" s="617"/>
      <c r="H220" s="617"/>
      <c r="I220" s="617"/>
      <c r="J220" s="617"/>
      <c r="K220" s="1692">
        <f t="shared" si="19"/>
        <v>0</v>
      </c>
      <c r="L220" s="466">
        <v>0</v>
      </c>
    </row>
    <row r="221" spans="1:14" x14ac:dyDescent="0.2">
      <c r="A221" s="1525" t="s">
        <v>1019</v>
      </c>
      <c r="B221" s="615">
        <v>1300</v>
      </c>
      <c r="C221" s="617"/>
      <c r="D221" s="466">
        <v>0</v>
      </c>
      <c r="E221" s="617"/>
      <c r="F221" s="617"/>
      <c r="G221" s="617"/>
      <c r="H221" s="617"/>
      <c r="I221" s="617"/>
      <c r="J221" s="617"/>
      <c r="K221" s="1692">
        <f t="shared" si="19"/>
        <v>0</v>
      </c>
      <c r="L221" s="466">
        <v>0</v>
      </c>
    </row>
    <row r="222" spans="1:14" x14ac:dyDescent="0.2">
      <c r="A222" s="1525" t="s">
        <v>747</v>
      </c>
      <c r="B222" s="615">
        <v>1400</v>
      </c>
      <c r="C222" s="617"/>
      <c r="D222" s="466">
        <v>0</v>
      </c>
      <c r="E222" s="617"/>
      <c r="F222" s="617"/>
      <c r="G222" s="617"/>
      <c r="H222" s="617"/>
      <c r="I222" s="617"/>
      <c r="J222" s="617"/>
      <c r="K222" s="1692">
        <f t="shared" si="19"/>
        <v>0</v>
      </c>
      <c r="L222" s="466">
        <v>0</v>
      </c>
    </row>
    <row r="223" spans="1:14" x14ac:dyDescent="0.2">
      <c r="A223" s="1525" t="s">
        <v>1020</v>
      </c>
      <c r="B223" s="615">
        <v>1500</v>
      </c>
      <c r="C223" s="617"/>
      <c r="D223" s="466">
        <v>2137</v>
      </c>
      <c r="E223" s="617"/>
      <c r="F223" s="617"/>
      <c r="G223" s="617"/>
      <c r="H223" s="617"/>
      <c r="I223" s="617"/>
      <c r="J223" s="617"/>
      <c r="K223" s="1692">
        <f t="shared" si="19"/>
        <v>2137</v>
      </c>
      <c r="L223" s="466">
        <v>2142</v>
      </c>
    </row>
    <row r="224" spans="1:14" x14ac:dyDescent="0.2">
      <c r="A224" s="1525" t="s">
        <v>1021</v>
      </c>
      <c r="B224" s="615">
        <v>1600</v>
      </c>
      <c r="C224" s="617"/>
      <c r="D224" s="466">
        <v>0</v>
      </c>
      <c r="E224" s="617"/>
      <c r="F224" s="617"/>
      <c r="G224" s="617"/>
      <c r="H224" s="617"/>
      <c r="I224" s="617"/>
      <c r="J224" s="617"/>
      <c r="K224" s="1692">
        <f t="shared" si="19"/>
        <v>0</v>
      </c>
      <c r="L224" s="466">
        <v>0</v>
      </c>
    </row>
    <row r="225" spans="1:12" x14ac:dyDescent="0.2">
      <c r="A225" s="1525" t="s">
        <v>1044</v>
      </c>
      <c r="B225" s="615">
        <v>1650</v>
      </c>
      <c r="C225" s="617"/>
      <c r="D225" s="466">
        <v>14</v>
      </c>
      <c r="E225" s="617"/>
      <c r="F225" s="617"/>
      <c r="G225" s="617"/>
      <c r="H225" s="617"/>
      <c r="I225" s="617"/>
      <c r="J225" s="617"/>
      <c r="K225" s="1692">
        <f t="shared" si="19"/>
        <v>14</v>
      </c>
      <c r="L225" s="466">
        <v>14</v>
      </c>
    </row>
    <row r="226" spans="1:12" x14ac:dyDescent="0.2">
      <c r="A226" s="1525" t="s">
        <v>748</v>
      </c>
      <c r="B226" s="615" t="s">
        <v>164</v>
      </c>
      <c r="C226" s="617"/>
      <c r="D226" s="467">
        <v>0</v>
      </c>
      <c r="E226" s="617"/>
      <c r="F226" s="617"/>
      <c r="G226" s="617"/>
      <c r="H226" s="617"/>
      <c r="I226" s="617"/>
      <c r="J226" s="617"/>
      <c r="K226" s="1692">
        <f t="shared" si="19"/>
        <v>0</v>
      </c>
      <c r="L226" s="466">
        <v>0</v>
      </c>
    </row>
    <row r="227" spans="1:12" x14ac:dyDescent="0.2">
      <c r="A227" s="1525" t="s">
        <v>1148</v>
      </c>
      <c r="B227" s="615">
        <v>1800</v>
      </c>
      <c r="C227" s="617"/>
      <c r="D227" s="466">
        <v>4260</v>
      </c>
      <c r="E227" s="617"/>
      <c r="F227" s="617"/>
      <c r="G227" s="617"/>
      <c r="H227" s="617"/>
      <c r="I227" s="617"/>
      <c r="J227" s="617"/>
      <c r="K227" s="1692">
        <f t="shared" si="19"/>
        <v>4260</v>
      </c>
      <c r="L227" s="466">
        <v>4356</v>
      </c>
    </row>
    <row r="228" spans="1:12" x14ac:dyDescent="0.2">
      <c r="A228" s="1525" t="s">
        <v>1149</v>
      </c>
      <c r="B228" s="615">
        <v>1900</v>
      </c>
      <c r="C228" s="617"/>
      <c r="D228" s="466">
        <v>0</v>
      </c>
      <c r="E228" s="617"/>
      <c r="F228" s="617"/>
      <c r="G228" s="617"/>
      <c r="H228" s="617"/>
      <c r="I228" s="617"/>
      <c r="J228" s="617"/>
      <c r="K228" s="1692">
        <f t="shared" si="19"/>
        <v>0</v>
      </c>
      <c r="L228" s="466">
        <v>0</v>
      </c>
    </row>
    <row r="229" spans="1:12" ht="12.75" customHeight="1" thickBot="1" x14ac:dyDescent="0.25">
      <c r="A229" s="1689" t="s">
        <v>739</v>
      </c>
      <c r="B229" s="1696" t="s">
        <v>591</v>
      </c>
      <c r="C229" s="617"/>
      <c r="D229" s="1691">
        <f>SUM(D215:D228)</f>
        <v>73162</v>
      </c>
      <c r="E229" s="617"/>
      <c r="F229" s="617"/>
      <c r="G229" s="617"/>
      <c r="H229" s="617"/>
      <c r="I229" s="617"/>
      <c r="J229" s="617"/>
      <c r="K229" s="1691">
        <f>SUM(K215:K228)</f>
        <v>73162</v>
      </c>
      <c r="L229" s="1691">
        <f>SUM(L215:L228)</f>
        <v>73529</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1017</v>
      </c>
      <c r="E232" s="617"/>
      <c r="F232" s="617"/>
      <c r="G232" s="617"/>
      <c r="H232" s="617"/>
      <c r="I232" s="617"/>
      <c r="J232" s="617"/>
      <c r="K232" s="1692">
        <f t="shared" ref="K232:K237" si="20">D232</f>
        <v>1017</v>
      </c>
      <c r="L232" s="466">
        <v>914</v>
      </c>
    </row>
    <row r="233" spans="1:12" x14ac:dyDescent="0.2">
      <c r="A233" s="1525" t="s">
        <v>1151</v>
      </c>
      <c r="B233" s="615">
        <v>2120</v>
      </c>
      <c r="C233" s="617"/>
      <c r="D233" s="466">
        <v>0</v>
      </c>
      <c r="E233" s="617"/>
      <c r="F233" s="617"/>
      <c r="G233" s="617"/>
      <c r="H233" s="617"/>
      <c r="I233" s="617"/>
      <c r="J233" s="617"/>
      <c r="K233" s="1692">
        <f t="shared" si="20"/>
        <v>0</v>
      </c>
      <c r="L233" s="466">
        <v>0</v>
      </c>
    </row>
    <row r="234" spans="1:12" x14ac:dyDescent="0.2">
      <c r="A234" s="1525" t="s">
        <v>207</v>
      </c>
      <c r="B234" s="615">
        <v>2130</v>
      </c>
      <c r="C234" s="617"/>
      <c r="D234" s="466">
        <v>12245</v>
      </c>
      <c r="E234" s="617"/>
      <c r="F234" s="617"/>
      <c r="G234" s="617"/>
      <c r="H234" s="617"/>
      <c r="I234" s="617"/>
      <c r="J234" s="617"/>
      <c r="K234" s="1692">
        <f t="shared" si="20"/>
        <v>12245</v>
      </c>
      <c r="L234" s="466">
        <v>13349</v>
      </c>
    </row>
    <row r="235" spans="1:12" x14ac:dyDescent="0.2">
      <c r="A235" s="1525" t="s">
        <v>208</v>
      </c>
      <c r="B235" s="615">
        <v>2140</v>
      </c>
      <c r="C235" s="617"/>
      <c r="D235" s="466">
        <v>461</v>
      </c>
      <c r="E235" s="617"/>
      <c r="F235" s="617"/>
      <c r="G235" s="617"/>
      <c r="H235" s="617"/>
      <c r="I235" s="617"/>
      <c r="J235" s="617"/>
      <c r="K235" s="1692">
        <f t="shared" si="20"/>
        <v>461</v>
      </c>
      <c r="L235" s="466">
        <v>466</v>
      </c>
    </row>
    <row r="236" spans="1:12" x14ac:dyDescent="0.2">
      <c r="A236" s="1525" t="s">
        <v>209</v>
      </c>
      <c r="B236" s="615">
        <v>2150</v>
      </c>
      <c r="C236" s="617"/>
      <c r="D236" s="466">
        <v>653</v>
      </c>
      <c r="E236" s="617"/>
      <c r="F236" s="617"/>
      <c r="G236" s="617"/>
      <c r="H236" s="617"/>
      <c r="I236" s="617"/>
      <c r="J236" s="617"/>
      <c r="K236" s="1692">
        <f t="shared" si="20"/>
        <v>653</v>
      </c>
      <c r="L236" s="466">
        <v>778</v>
      </c>
    </row>
    <row r="237" spans="1:12" x14ac:dyDescent="0.2">
      <c r="A237" s="1525" t="s">
        <v>167</v>
      </c>
      <c r="B237" s="615">
        <v>2190</v>
      </c>
      <c r="C237" s="617"/>
      <c r="D237" s="466">
        <v>0</v>
      </c>
      <c r="E237" s="617"/>
      <c r="F237" s="617"/>
      <c r="G237" s="617"/>
      <c r="H237" s="617"/>
      <c r="I237" s="617"/>
      <c r="J237" s="617"/>
      <c r="K237" s="1692">
        <f t="shared" si="20"/>
        <v>0</v>
      </c>
      <c r="L237" s="466">
        <v>0</v>
      </c>
    </row>
    <row r="238" spans="1:12" ht="12.75" customHeight="1" thickBot="1" x14ac:dyDescent="0.25">
      <c r="A238" s="1689" t="s">
        <v>581</v>
      </c>
      <c r="B238" s="1696" t="s">
        <v>740</v>
      </c>
      <c r="C238" s="617"/>
      <c r="D238" s="1691">
        <f>SUM(D232:D237)</f>
        <v>14376</v>
      </c>
      <c r="E238" s="617"/>
      <c r="F238" s="617"/>
      <c r="G238" s="617"/>
      <c r="H238" s="617"/>
      <c r="I238" s="617"/>
      <c r="J238" s="617"/>
      <c r="K238" s="1691">
        <f>SUM(K232:K237)</f>
        <v>14376</v>
      </c>
      <c r="L238" s="1691">
        <f>SUM(L232:L237)</f>
        <v>15507</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382</v>
      </c>
      <c r="E240" s="617"/>
      <c r="F240" s="617"/>
      <c r="G240" s="617"/>
      <c r="H240" s="617"/>
      <c r="I240" s="617"/>
      <c r="J240" s="617"/>
      <c r="K240" s="1693">
        <f>D240</f>
        <v>382</v>
      </c>
      <c r="L240" s="481">
        <v>532</v>
      </c>
    </row>
    <row r="241" spans="1:12" x14ac:dyDescent="0.2">
      <c r="A241" s="1525" t="s">
        <v>869</v>
      </c>
      <c r="B241" s="615">
        <v>2220</v>
      </c>
      <c r="C241" s="617"/>
      <c r="D241" s="466">
        <v>6142</v>
      </c>
      <c r="E241" s="617"/>
      <c r="F241" s="617"/>
      <c r="G241" s="617"/>
      <c r="H241" s="617"/>
      <c r="I241" s="617"/>
      <c r="J241" s="617"/>
      <c r="K241" s="1693">
        <f>D241</f>
        <v>6142</v>
      </c>
      <c r="L241" s="466">
        <v>6151</v>
      </c>
    </row>
    <row r="242" spans="1:12" x14ac:dyDescent="0.2">
      <c r="A242" s="1525" t="s">
        <v>870</v>
      </c>
      <c r="B242" s="615">
        <v>2230</v>
      </c>
      <c r="C242" s="617"/>
      <c r="D242" s="466">
        <v>0</v>
      </c>
      <c r="E242" s="617"/>
      <c r="F242" s="617"/>
      <c r="G242" s="617"/>
      <c r="H242" s="617"/>
      <c r="I242" s="617"/>
      <c r="J242" s="617"/>
      <c r="K242" s="1693">
        <f>D242</f>
        <v>0</v>
      </c>
      <c r="L242" s="466">
        <v>0</v>
      </c>
    </row>
    <row r="243" spans="1:12" ht="12.75" customHeight="1" thickBot="1" x14ac:dyDescent="0.25">
      <c r="A243" s="1715" t="s">
        <v>582</v>
      </c>
      <c r="B243" s="1716">
        <v>2200</v>
      </c>
      <c r="C243" s="617"/>
      <c r="D243" s="1691">
        <f>SUM(D240:D242)</f>
        <v>6524</v>
      </c>
      <c r="E243" s="617"/>
      <c r="F243" s="617"/>
      <c r="G243" s="617"/>
      <c r="H243" s="617"/>
      <c r="I243" s="617"/>
      <c r="J243" s="617"/>
      <c r="K243" s="1691">
        <f>SUM(K240:K242)</f>
        <v>6524</v>
      </c>
      <c r="L243" s="1691">
        <f>SUM(L240:L242)</f>
        <v>6683</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3219</v>
      </c>
      <c r="E245" s="617"/>
      <c r="F245" s="617"/>
      <c r="G245" s="617"/>
      <c r="H245" s="617"/>
      <c r="I245" s="617"/>
      <c r="J245" s="617"/>
      <c r="K245" s="1693">
        <f>D245</f>
        <v>3219</v>
      </c>
      <c r="L245" s="481">
        <v>3079</v>
      </c>
    </row>
    <row r="246" spans="1:12" x14ac:dyDescent="0.2">
      <c r="A246" s="1525" t="s">
        <v>872</v>
      </c>
      <c r="B246" s="615">
        <v>2320</v>
      </c>
      <c r="C246" s="617"/>
      <c r="D246" s="466">
        <v>10143</v>
      </c>
      <c r="E246" s="617"/>
      <c r="F246" s="617"/>
      <c r="G246" s="617"/>
      <c r="H246" s="617"/>
      <c r="I246" s="617"/>
      <c r="J246" s="617"/>
      <c r="K246" s="1693">
        <f t="shared" ref="K246:K256" si="21">D246</f>
        <v>10143</v>
      </c>
      <c r="L246" s="466">
        <v>10633</v>
      </c>
    </row>
    <row r="247" spans="1:12" x14ac:dyDescent="0.2">
      <c r="A247" s="1525" t="s">
        <v>873</v>
      </c>
      <c r="B247" s="615">
        <v>2330</v>
      </c>
      <c r="C247" s="617"/>
      <c r="D247" s="466">
        <v>1073</v>
      </c>
      <c r="E247" s="617"/>
      <c r="F247" s="617"/>
      <c r="G247" s="617"/>
      <c r="H247" s="617"/>
      <c r="I247" s="617"/>
      <c r="J247" s="617"/>
      <c r="K247" s="1693">
        <f t="shared" si="21"/>
        <v>1073</v>
      </c>
      <c r="L247" s="466">
        <v>1102</v>
      </c>
    </row>
    <row r="248" spans="1:12" x14ac:dyDescent="0.2">
      <c r="A248" s="1526" t="s">
        <v>317</v>
      </c>
      <c r="B248" s="603" t="s">
        <v>299</v>
      </c>
      <c r="C248" s="617"/>
      <c r="D248" s="474">
        <v>0</v>
      </c>
      <c r="E248" s="617"/>
      <c r="F248" s="617"/>
      <c r="G248" s="617"/>
      <c r="H248" s="617"/>
      <c r="I248" s="617"/>
      <c r="J248" s="617"/>
      <c r="K248" s="1693">
        <f t="shared" si="21"/>
        <v>0</v>
      </c>
      <c r="L248" s="466">
        <v>0</v>
      </c>
    </row>
    <row r="249" spans="1:12" x14ac:dyDescent="0.2">
      <c r="A249" s="1527" t="s">
        <v>1908</v>
      </c>
      <c r="B249" s="684" t="s">
        <v>300</v>
      </c>
      <c r="C249" s="617"/>
      <c r="D249" s="474">
        <v>0</v>
      </c>
      <c r="E249" s="617"/>
      <c r="F249" s="617"/>
      <c r="G249" s="617"/>
      <c r="H249" s="617"/>
      <c r="I249" s="617"/>
      <c r="J249" s="617"/>
      <c r="K249" s="1693">
        <f t="shared" si="21"/>
        <v>0</v>
      </c>
      <c r="L249" s="466">
        <v>0</v>
      </c>
    </row>
    <row r="250" spans="1:12" x14ac:dyDescent="0.2">
      <c r="A250" s="1526" t="s">
        <v>1909</v>
      </c>
      <c r="B250" s="603" t="s">
        <v>301</v>
      </c>
      <c r="C250" s="617"/>
      <c r="D250" s="474">
        <v>0</v>
      </c>
      <c r="E250" s="617"/>
      <c r="F250" s="617"/>
      <c r="G250" s="617"/>
      <c r="H250" s="617"/>
      <c r="I250" s="617"/>
      <c r="J250" s="617"/>
      <c r="K250" s="1693">
        <f t="shared" si="21"/>
        <v>0</v>
      </c>
      <c r="L250" s="466">
        <v>0</v>
      </c>
    </row>
    <row r="251" spans="1:12" x14ac:dyDescent="0.2">
      <c r="A251" s="1526" t="s">
        <v>256</v>
      </c>
      <c r="B251" s="603" t="s">
        <v>302</v>
      </c>
      <c r="C251" s="617"/>
      <c r="D251" s="474">
        <v>0</v>
      </c>
      <c r="E251" s="617"/>
      <c r="F251" s="617"/>
      <c r="G251" s="617"/>
      <c r="H251" s="617"/>
      <c r="I251" s="617"/>
      <c r="J251" s="617"/>
      <c r="K251" s="1693">
        <f t="shared" si="21"/>
        <v>0</v>
      </c>
      <c r="L251" s="466">
        <v>0</v>
      </c>
    </row>
    <row r="252" spans="1:12" x14ac:dyDescent="0.2">
      <c r="A252" s="1526" t="s">
        <v>726</v>
      </c>
      <c r="B252" s="603" t="s">
        <v>303</v>
      </c>
      <c r="C252" s="617"/>
      <c r="D252" s="474">
        <v>0</v>
      </c>
      <c r="E252" s="617"/>
      <c r="F252" s="617"/>
      <c r="G252" s="617"/>
      <c r="H252" s="617"/>
      <c r="I252" s="617"/>
      <c r="J252" s="617"/>
      <c r="K252" s="1693">
        <f t="shared" si="21"/>
        <v>0</v>
      </c>
      <c r="L252" s="466">
        <v>0</v>
      </c>
    </row>
    <row r="253" spans="1:12" x14ac:dyDescent="0.2">
      <c r="A253" s="1526" t="s">
        <v>257</v>
      </c>
      <c r="B253" s="603" t="s">
        <v>304</v>
      </c>
      <c r="C253" s="617"/>
      <c r="D253" s="474">
        <v>0</v>
      </c>
      <c r="E253" s="617"/>
      <c r="F253" s="617"/>
      <c r="G253" s="617"/>
      <c r="H253" s="617"/>
      <c r="I253" s="617"/>
      <c r="J253" s="617"/>
      <c r="K253" s="1693">
        <f t="shared" si="21"/>
        <v>0</v>
      </c>
      <c r="L253" s="466">
        <v>0</v>
      </c>
    </row>
    <row r="254" spans="1:12" ht="22.5" x14ac:dyDescent="0.2">
      <c r="A254" s="1526" t="s">
        <v>1087</v>
      </c>
      <c r="B254" s="684" t="s">
        <v>305</v>
      </c>
      <c r="C254" s="617"/>
      <c r="D254" s="474">
        <v>0</v>
      </c>
      <c r="E254" s="617"/>
      <c r="F254" s="617"/>
      <c r="G254" s="617"/>
      <c r="H254" s="617"/>
      <c r="I254" s="617"/>
      <c r="J254" s="617"/>
      <c r="K254" s="1693">
        <f t="shared" si="21"/>
        <v>0</v>
      </c>
      <c r="L254" s="466">
        <v>0</v>
      </c>
    </row>
    <row r="255" spans="1:12" x14ac:dyDescent="0.2">
      <c r="A255" s="1526" t="s">
        <v>1088</v>
      </c>
      <c r="B255" s="603" t="s">
        <v>306</v>
      </c>
      <c r="C255" s="617"/>
      <c r="D255" s="474">
        <v>0</v>
      </c>
      <c r="E255" s="617"/>
      <c r="F255" s="617"/>
      <c r="G255" s="617"/>
      <c r="H255" s="617"/>
      <c r="I255" s="617"/>
      <c r="J255" s="617"/>
      <c r="K255" s="1693">
        <f t="shared" si="21"/>
        <v>0</v>
      </c>
      <c r="L255" s="466">
        <v>0</v>
      </c>
    </row>
    <row r="256" spans="1:12" x14ac:dyDescent="0.2">
      <c r="A256" s="1526" t="s">
        <v>1028</v>
      </c>
      <c r="B256" s="615" t="s">
        <v>307</v>
      </c>
      <c r="C256" s="617"/>
      <c r="D256" s="474">
        <v>0</v>
      </c>
      <c r="E256" s="617"/>
      <c r="F256" s="617"/>
      <c r="G256" s="617"/>
      <c r="H256" s="617"/>
      <c r="I256" s="617"/>
      <c r="J256" s="617"/>
      <c r="K256" s="1693">
        <f t="shared" si="21"/>
        <v>0</v>
      </c>
      <c r="L256" s="466">
        <v>0</v>
      </c>
    </row>
    <row r="257" spans="1:14" ht="12.75" customHeight="1" thickBot="1" x14ac:dyDescent="0.25">
      <c r="A257" s="1689" t="s">
        <v>741</v>
      </c>
      <c r="B257" s="1717">
        <v>2300</v>
      </c>
      <c r="C257" s="617"/>
      <c r="D257" s="1691">
        <f>SUM(D245:D256)</f>
        <v>14435</v>
      </c>
      <c r="E257" s="617"/>
      <c r="F257" s="617"/>
      <c r="G257" s="617"/>
      <c r="H257" s="617"/>
      <c r="I257" s="617"/>
      <c r="J257" s="617"/>
      <c r="K257" s="1691">
        <f>SUM(K245:K256)</f>
        <v>14435</v>
      </c>
      <c r="L257" s="1691">
        <f>SUM(L245:L256)</f>
        <v>14814</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15667</v>
      </c>
      <c r="E259" s="617"/>
      <c r="F259" s="617"/>
      <c r="G259" s="617"/>
      <c r="H259" s="617"/>
      <c r="I259" s="617"/>
      <c r="J259" s="617"/>
      <c r="K259" s="1693">
        <f>D259</f>
        <v>15667</v>
      </c>
      <c r="L259" s="481">
        <v>16947</v>
      </c>
    </row>
    <row r="260" spans="1:14" s="598" customFormat="1" x14ac:dyDescent="0.2">
      <c r="A260" s="1543" t="s">
        <v>1907</v>
      </c>
      <c r="B260" s="629">
        <v>2490</v>
      </c>
      <c r="C260" s="617"/>
      <c r="D260" s="466">
        <v>0</v>
      </c>
      <c r="E260" s="617"/>
      <c r="F260" s="617"/>
      <c r="G260" s="617"/>
      <c r="H260" s="617"/>
      <c r="I260" s="617"/>
      <c r="J260" s="617"/>
      <c r="K260" s="1693">
        <f>D260</f>
        <v>0</v>
      </c>
      <c r="L260" s="466">
        <v>0</v>
      </c>
      <c r="M260" s="210"/>
      <c r="N260" s="210"/>
    </row>
    <row r="261" spans="1:14" ht="12.75" customHeight="1" thickBot="1" x14ac:dyDescent="0.25">
      <c r="A261" s="1713" t="s">
        <v>281</v>
      </c>
      <c r="B261" s="1718" t="s">
        <v>34</v>
      </c>
      <c r="C261" s="617"/>
      <c r="D261" s="1691">
        <f>SUM(D259:D260)</f>
        <v>15667</v>
      </c>
      <c r="E261" s="617"/>
      <c r="F261" s="617"/>
      <c r="G261" s="617"/>
      <c r="H261" s="617"/>
      <c r="I261" s="617"/>
      <c r="J261" s="617"/>
      <c r="K261" s="1691">
        <f>SUM(K259:K260)</f>
        <v>15667</v>
      </c>
      <c r="L261" s="1691">
        <f>SUM(L259:L260)</f>
        <v>16947</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v>0</v>
      </c>
      <c r="E263" s="617"/>
      <c r="F263" s="617"/>
      <c r="G263" s="617"/>
      <c r="H263" s="617"/>
      <c r="I263" s="617"/>
      <c r="J263" s="617"/>
      <c r="K263" s="1693">
        <f>D263</f>
        <v>0</v>
      </c>
      <c r="L263" s="481">
        <v>0</v>
      </c>
    </row>
    <row r="264" spans="1:14" x14ac:dyDescent="0.2">
      <c r="A264" s="1525" t="s">
        <v>483</v>
      </c>
      <c r="B264" s="686">
        <v>2520</v>
      </c>
      <c r="C264" s="617"/>
      <c r="D264" s="466">
        <v>11592</v>
      </c>
      <c r="E264" s="617"/>
      <c r="F264" s="617"/>
      <c r="G264" s="617"/>
      <c r="H264" s="617"/>
      <c r="I264" s="617"/>
      <c r="J264" s="617"/>
      <c r="K264" s="1693">
        <f t="shared" ref="K264:K269" si="22">D264</f>
        <v>11592</v>
      </c>
      <c r="L264" s="466">
        <v>11771</v>
      </c>
    </row>
    <row r="265" spans="1:14" x14ac:dyDescent="0.2">
      <c r="A265" s="1525" t="s">
        <v>4</v>
      </c>
      <c r="B265" s="615">
        <v>2530</v>
      </c>
      <c r="C265" s="617"/>
      <c r="D265" s="466">
        <v>0</v>
      </c>
      <c r="E265" s="617"/>
      <c r="F265" s="617"/>
      <c r="G265" s="617"/>
      <c r="H265" s="617"/>
      <c r="I265" s="617"/>
      <c r="J265" s="617"/>
      <c r="K265" s="1693">
        <f t="shared" si="22"/>
        <v>0</v>
      </c>
      <c r="L265" s="466">
        <v>0</v>
      </c>
    </row>
    <row r="266" spans="1:14" x14ac:dyDescent="0.2">
      <c r="A266" s="1525" t="s">
        <v>206</v>
      </c>
      <c r="B266" s="615">
        <v>2540</v>
      </c>
      <c r="C266" s="617"/>
      <c r="D266" s="466">
        <v>47616</v>
      </c>
      <c r="E266" s="617"/>
      <c r="F266" s="617"/>
      <c r="G266" s="617"/>
      <c r="H266" s="617"/>
      <c r="I266" s="617"/>
      <c r="J266" s="617"/>
      <c r="K266" s="1693">
        <f t="shared" si="22"/>
        <v>47616</v>
      </c>
      <c r="L266" s="466">
        <v>52977</v>
      </c>
    </row>
    <row r="267" spans="1:14" x14ac:dyDescent="0.2">
      <c r="A267" s="1525" t="s">
        <v>1010</v>
      </c>
      <c r="B267" s="615">
        <v>2550</v>
      </c>
      <c r="C267" s="617"/>
      <c r="D267" s="466">
        <v>20914</v>
      </c>
      <c r="E267" s="617"/>
      <c r="F267" s="617"/>
      <c r="G267" s="617"/>
      <c r="H267" s="617"/>
      <c r="I267" s="617"/>
      <c r="J267" s="617"/>
      <c r="K267" s="1693">
        <f t="shared" si="22"/>
        <v>20914</v>
      </c>
      <c r="L267" s="466">
        <v>22096</v>
      </c>
    </row>
    <row r="268" spans="1:14" x14ac:dyDescent="0.2">
      <c r="A268" s="1525" t="s">
        <v>102</v>
      </c>
      <c r="B268" s="615">
        <v>2560</v>
      </c>
      <c r="C268" s="617"/>
      <c r="D268" s="466">
        <v>8947</v>
      </c>
      <c r="E268" s="617"/>
      <c r="F268" s="617"/>
      <c r="G268" s="617"/>
      <c r="H268" s="617"/>
      <c r="I268" s="617"/>
      <c r="J268" s="617"/>
      <c r="K268" s="1693">
        <f t="shared" si="22"/>
        <v>8947</v>
      </c>
      <c r="L268" s="466">
        <v>10702</v>
      </c>
    </row>
    <row r="269" spans="1:14" x14ac:dyDescent="0.2">
      <c r="A269" s="1525" t="s">
        <v>103</v>
      </c>
      <c r="B269" s="615">
        <v>2570</v>
      </c>
      <c r="C269" s="617"/>
      <c r="D269" s="466">
        <v>0</v>
      </c>
      <c r="E269" s="617"/>
      <c r="F269" s="617"/>
      <c r="G269" s="617"/>
      <c r="H269" s="617"/>
      <c r="I269" s="617"/>
      <c r="J269" s="617"/>
      <c r="K269" s="1693">
        <f t="shared" si="22"/>
        <v>0</v>
      </c>
      <c r="L269" s="466">
        <v>0</v>
      </c>
    </row>
    <row r="270" spans="1:14" ht="12.75" customHeight="1" thickBot="1" x14ac:dyDescent="0.25">
      <c r="A270" s="1689" t="s">
        <v>743</v>
      </c>
      <c r="B270" s="1696" t="s">
        <v>35</v>
      </c>
      <c r="C270" s="617"/>
      <c r="D270" s="1691">
        <f>SUM(D263:D269)</f>
        <v>89069</v>
      </c>
      <c r="E270" s="617"/>
      <c r="F270" s="617"/>
      <c r="G270" s="617"/>
      <c r="H270" s="617"/>
      <c r="I270" s="617"/>
      <c r="J270" s="617"/>
      <c r="K270" s="1691">
        <f>SUM(K263:K269)</f>
        <v>89069</v>
      </c>
      <c r="L270" s="1691">
        <f>SUM(L263:L269)</f>
        <v>97546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v>0</v>
      </c>
      <c r="E272" s="617"/>
      <c r="F272" s="617"/>
      <c r="G272" s="617"/>
      <c r="H272" s="617"/>
      <c r="I272" s="617"/>
      <c r="J272" s="617"/>
      <c r="K272" s="1693">
        <f>D272</f>
        <v>0</v>
      </c>
      <c r="L272" s="481">
        <v>0</v>
      </c>
    </row>
    <row r="273" spans="1:12" x14ac:dyDescent="0.2">
      <c r="A273" s="1525" t="s">
        <v>628</v>
      </c>
      <c r="B273" s="629">
        <v>2620</v>
      </c>
      <c r="C273" s="617"/>
      <c r="D273" s="466">
        <v>0</v>
      </c>
      <c r="E273" s="617"/>
      <c r="F273" s="617"/>
      <c r="G273" s="617"/>
      <c r="H273" s="617"/>
      <c r="I273" s="617"/>
      <c r="J273" s="617"/>
      <c r="K273" s="1693">
        <f>D273</f>
        <v>0</v>
      </c>
      <c r="L273" s="466">
        <v>0</v>
      </c>
    </row>
    <row r="274" spans="1:12" ht="12" customHeight="1" x14ac:dyDescent="0.2">
      <c r="A274" s="1525" t="s">
        <v>1121</v>
      </c>
      <c r="B274" s="615">
        <v>2630</v>
      </c>
      <c r="C274" s="617"/>
      <c r="D274" s="466">
        <v>0</v>
      </c>
      <c r="E274" s="617"/>
      <c r="F274" s="617"/>
      <c r="G274" s="617"/>
      <c r="H274" s="617"/>
      <c r="I274" s="617"/>
      <c r="J274" s="617"/>
      <c r="K274" s="1693">
        <f>D274</f>
        <v>0</v>
      </c>
      <c r="L274" s="466">
        <v>0</v>
      </c>
    </row>
    <row r="275" spans="1:12" x14ac:dyDescent="0.2">
      <c r="A275" s="1525" t="s">
        <v>423</v>
      </c>
      <c r="B275" s="615">
        <v>2640</v>
      </c>
      <c r="C275" s="617"/>
      <c r="D275" s="466">
        <v>0</v>
      </c>
      <c r="E275" s="617"/>
      <c r="F275" s="617"/>
      <c r="G275" s="617"/>
      <c r="H275" s="617"/>
      <c r="I275" s="617"/>
      <c r="J275" s="617"/>
      <c r="K275" s="1693">
        <f>D275</f>
        <v>0</v>
      </c>
      <c r="L275" s="466">
        <v>0</v>
      </c>
    </row>
    <row r="276" spans="1:12" x14ac:dyDescent="0.2">
      <c r="A276" s="1525" t="s">
        <v>424</v>
      </c>
      <c r="B276" s="615">
        <v>2660</v>
      </c>
      <c r="C276" s="617"/>
      <c r="D276" s="466">
        <v>0</v>
      </c>
      <c r="E276" s="617"/>
      <c r="F276" s="617"/>
      <c r="G276" s="617"/>
      <c r="H276" s="617"/>
      <c r="I276" s="617"/>
      <c r="J276" s="617"/>
      <c r="K276" s="1693">
        <f>D276</f>
        <v>0</v>
      </c>
      <c r="L276" s="466">
        <v>0</v>
      </c>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v>0</v>
      </c>
      <c r="E278" s="617"/>
      <c r="F278" s="617"/>
      <c r="G278" s="617"/>
      <c r="H278" s="617"/>
      <c r="I278" s="617"/>
      <c r="J278" s="617"/>
      <c r="K278" s="1706">
        <f>D278</f>
        <v>0</v>
      </c>
      <c r="L278" s="657">
        <v>0</v>
      </c>
    </row>
    <row r="279" spans="1:12" ht="12.75" customHeight="1" thickBot="1" x14ac:dyDescent="0.25">
      <c r="A279" s="1719" t="s">
        <v>865</v>
      </c>
      <c r="B279" s="1702">
        <v>2000</v>
      </c>
      <c r="C279" s="617"/>
      <c r="D279" s="1698">
        <f>SUM(D238,D243,D257,D261,D270,D277,D278)</f>
        <v>140071</v>
      </c>
      <c r="E279" s="617"/>
      <c r="F279" s="617"/>
      <c r="G279" s="617"/>
      <c r="H279" s="617"/>
      <c r="I279" s="617"/>
      <c r="J279" s="617"/>
      <c r="K279" s="1698">
        <f>SUM(K238,K243,K257,K261,K270,K277,K278)</f>
        <v>140071</v>
      </c>
      <c r="L279" s="1698">
        <f>SUM(L238,L243,L257,L261,L270,L277,L278)</f>
        <v>151497</v>
      </c>
    </row>
    <row r="280" spans="1:12" ht="15.75" customHeight="1" thickTop="1" thickBot="1" x14ac:dyDescent="0.25">
      <c r="A280" s="1645" t="s">
        <v>930</v>
      </c>
      <c r="B280" s="1634">
        <v>3000</v>
      </c>
      <c r="C280" s="617"/>
      <c r="D280" s="576">
        <v>0</v>
      </c>
      <c r="E280" s="617"/>
      <c r="F280" s="617"/>
      <c r="G280" s="617"/>
      <c r="H280" s="617"/>
      <c r="I280" s="617"/>
      <c r="J280" s="617"/>
      <c r="K280" s="1700">
        <f>D280</f>
        <v>0</v>
      </c>
      <c r="L280" s="576">
        <v>0</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v>0</v>
      </c>
      <c r="E282" s="617"/>
      <c r="F282" s="617"/>
      <c r="G282" s="617"/>
      <c r="H282" s="617"/>
      <c r="I282" s="617"/>
      <c r="J282" s="617"/>
      <c r="K282" s="1692">
        <f>D282</f>
        <v>0</v>
      </c>
      <c r="L282" s="467">
        <v>0</v>
      </c>
    </row>
    <row r="283" spans="1:12" x14ac:dyDescent="0.2">
      <c r="A283" s="1525" t="s">
        <v>322</v>
      </c>
      <c r="B283" s="615">
        <v>4120</v>
      </c>
      <c r="C283" s="617"/>
      <c r="D283" s="466">
        <v>0</v>
      </c>
      <c r="E283" s="617"/>
      <c r="F283" s="617"/>
      <c r="G283" s="617"/>
      <c r="H283" s="617"/>
      <c r="I283" s="617"/>
      <c r="J283" s="617"/>
      <c r="K283" s="1692">
        <f>D283</f>
        <v>0</v>
      </c>
      <c r="L283" s="466">
        <v>0</v>
      </c>
    </row>
    <row r="284" spans="1:12" x14ac:dyDescent="0.2">
      <c r="A284" s="1525" t="s">
        <v>721</v>
      </c>
      <c r="B284" s="615">
        <v>4140</v>
      </c>
      <c r="C284" s="617"/>
      <c r="D284" s="467">
        <v>0</v>
      </c>
      <c r="E284" s="617"/>
      <c r="F284" s="617"/>
      <c r="G284" s="617"/>
      <c r="H284" s="617"/>
      <c r="I284" s="617"/>
      <c r="J284" s="617"/>
      <c r="K284" s="1692">
        <f>D284</f>
        <v>0</v>
      </c>
      <c r="L284" s="466">
        <v>0</v>
      </c>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v>0</v>
      </c>
      <c r="I288" s="617"/>
      <c r="J288" s="617"/>
      <c r="K288" s="1692">
        <f>H288</f>
        <v>0</v>
      </c>
      <c r="L288" s="466">
        <v>0</v>
      </c>
    </row>
    <row r="289" spans="1:14" x14ac:dyDescent="0.2">
      <c r="A289" s="1525" t="s">
        <v>90</v>
      </c>
      <c r="B289" s="615">
        <v>5120</v>
      </c>
      <c r="C289" s="617"/>
      <c r="D289" s="617"/>
      <c r="E289" s="617"/>
      <c r="F289" s="617"/>
      <c r="G289" s="617"/>
      <c r="H289" s="466">
        <v>0</v>
      </c>
      <c r="I289" s="617"/>
      <c r="J289" s="617"/>
      <c r="K289" s="1692">
        <f>H289</f>
        <v>0</v>
      </c>
      <c r="L289" s="466">
        <v>0</v>
      </c>
    </row>
    <row r="290" spans="1:14" ht="12.75" customHeight="1" x14ac:dyDescent="0.2">
      <c r="A290" s="1525" t="s">
        <v>1232</v>
      </c>
      <c r="B290" s="629" t="s">
        <v>638</v>
      </c>
      <c r="C290" s="617"/>
      <c r="D290" s="617"/>
      <c r="E290" s="617"/>
      <c r="F290" s="617"/>
      <c r="G290" s="617"/>
      <c r="H290" s="466">
        <v>0</v>
      </c>
      <c r="I290" s="617"/>
      <c r="J290" s="617"/>
      <c r="K290" s="1692">
        <f>H290</f>
        <v>0</v>
      </c>
      <c r="L290" s="466">
        <v>0</v>
      </c>
    </row>
    <row r="291" spans="1:14" x14ac:dyDescent="0.2">
      <c r="A291" s="1525" t="s">
        <v>91</v>
      </c>
      <c r="B291" s="615" t="s">
        <v>610</v>
      </c>
      <c r="C291" s="617"/>
      <c r="D291" s="617"/>
      <c r="E291" s="617"/>
      <c r="F291" s="617"/>
      <c r="G291" s="617"/>
      <c r="H291" s="466">
        <v>0</v>
      </c>
      <c r="I291" s="617"/>
      <c r="J291" s="617"/>
      <c r="K291" s="1692">
        <f>H291</f>
        <v>0</v>
      </c>
      <c r="L291" s="466">
        <v>0</v>
      </c>
    </row>
    <row r="292" spans="1:14" x14ac:dyDescent="0.2">
      <c r="A292" s="1525" t="s">
        <v>786</v>
      </c>
      <c r="B292" s="615" t="s">
        <v>639</v>
      </c>
      <c r="C292" s="617"/>
      <c r="D292" s="617"/>
      <c r="E292" s="617"/>
      <c r="F292" s="617"/>
      <c r="G292" s="617"/>
      <c r="H292" s="466">
        <v>0</v>
      </c>
      <c r="I292" s="617"/>
      <c r="J292" s="617"/>
      <c r="K292" s="1692">
        <f>H292</f>
        <v>0</v>
      </c>
      <c r="L292" s="466">
        <v>0</v>
      </c>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0</v>
      </c>
    </row>
    <row r="295" spans="1:14" ht="12.75" customHeight="1" thickTop="1" thickBot="1" x14ac:dyDescent="0.25">
      <c r="A295" s="2188" t="s">
        <v>526</v>
      </c>
      <c r="B295" s="2189"/>
      <c r="C295" s="617"/>
      <c r="D295" s="1691">
        <f>SUM(D229,D279,D280,D285)</f>
        <v>213233</v>
      </c>
      <c r="E295" s="617"/>
      <c r="F295" s="617"/>
      <c r="G295" s="617"/>
      <c r="H295" s="1691">
        <f>H293</f>
        <v>0</v>
      </c>
      <c r="I295" s="617"/>
      <c r="J295" s="617"/>
      <c r="K295" s="1691">
        <f>SUM(K229,K279,K280,K285,K293,K294)</f>
        <v>213233</v>
      </c>
      <c r="L295" s="1691">
        <f>SUM(L229,L279,L280,L285,L293,L294)</f>
        <v>225026</v>
      </c>
    </row>
    <row r="296" spans="1:14" ht="13.5" thickTop="1" x14ac:dyDescent="0.2">
      <c r="A296" s="2197" t="s">
        <v>1053</v>
      </c>
      <c r="B296" s="2198"/>
      <c r="C296" s="617"/>
      <c r="D296" s="619"/>
      <c r="E296" s="617"/>
      <c r="F296" s="617"/>
      <c r="G296" s="617"/>
      <c r="H296" s="688"/>
      <c r="I296" s="617"/>
      <c r="J296" s="617"/>
      <c r="K296" s="1705">
        <f>'Revenues 9-14'!G275-'Expenditures 15-22'!K295</f>
        <v>33352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v>0</v>
      </c>
      <c r="D301" s="466">
        <v>0</v>
      </c>
      <c r="E301" s="466">
        <v>0</v>
      </c>
      <c r="F301" s="466">
        <v>0</v>
      </c>
      <c r="G301" s="466">
        <v>0</v>
      </c>
      <c r="H301" s="466">
        <v>0</v>
      </c>
      <c r="I301" s="467">
        <v>0</v>
      </c>
      <c r="J301" s="467">
        <v>0</v>
      </c>
      <c r="K301" s="1692">
        <f>SUM(C301:J301)</f>
        <v>0</v>
      </c>
      <c r="L301" s="467">
        <v>0</v>
      </c>
    </row>
    <row r="302" spans="1:14" ht="13.5" customHeight="1" x14ac:dyDescent="0.2">
      <c r="A302" s="1538" t="s">
        <v>1037</v>
      </c>
      <c r="B302" s="615" t="s">
        <v>595</v>
      </c>
      <c r="C302" s="466">
        <v>0</v>
      </c>
      <c r="D302" s="466">
        <v>0</v>
      </c>
      <c r="E302" s="466">
        <v>0</v>
      </c>
      <c r="F302" s="466">
        <v>0</v>
      </c>
      <c r="G302" s="466">
        <v>0</v>
      </c>
      <c r="H302" s="466">
        <v>0</v>
      </c>
      <c r="I302" s="467">
        <v>0</v>
      </c>
      <c r="J302" s="467">
        <v>0</v>
      </c>
      <c r="K302" s="1692">
        <f>SUM(C302:J302)</f>
        <v>0</v>
      </c>
      <c r="L302" s="466">
        <v>0</v>
      </c>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v>0</v>
      </c>
      <c r="F306" s="617"/>
      <c r="G306" s="617"/>
      <c r="H306" s="467">
        <v>0</v>
      </c>
      <c r="I306" s="617"/>
      <c r="J306" s="617"/>
      <c r="K306" s="1692">
        <f>SUM(E306,H306)</f>
        <v>0</v>
      </c>
      <c r="L306" s="467">
        <v>0</v>
      </c>
    </row>
    <row r="307" spans="1:14" x14ac:dyDescent="0.2">
      <c r="A307" s="1525" t="s">
        <v>322</v>
      </c>
      <c r="B307" s="615">
        <v>4120</v>
      </c>
      <c r="C307" s="617"/>
      <c r="D307" s="617"/>
      <c r="E307" s="467">
        <v>0</v>
      </c>
      <c r="F307" s="617"/>
      <c r="G307" s="617"/>
      <c r="H307" s="467">
        <v>0</v>
      </c>
      <c r="I307" s="477"/>
      <c r="J307" s="617"/>
      <c r="K307" s="1692">
        <f>SUM(E307,H307)</f>
        <v>0</v>
      </c>
      <c r="L307" s="466">
        <v>0</v>
      </c>
    </row>
    <row r="308" spans="1:14" x14ac:dyDescent="0.2">
      <c r="A308" s="1525" t="s">
        <v>721</v>
      </c>
      <c r="B308" s="615">
        <v>4140</v>
      </c>
      <c r="C308" s="617"/>
      <c r="D308" s="617"/>
      <c r="E308" s="467">
        <v>0</v>
      </c>
      <c r="F308" s="617"/>
      <c r="G308" s="617"/>
      <c r="H308" s="467">
        <v>0</v>
      </c>
      <c r="I308" s="477"/>
      <c r="J308" s="617"/>
      <c r="K308" s="1692">
        <f>SUM(E308,H308)</f>
        <v>0</v>
      </c>
      <c r="L308" s="466">
        <v>0</v>
      </c>
    </row>
    <row r="309" spans="1:14" ht="12.75" customHeight="1" x14ac:dyDescent="0.2">
      <c r="A309" s="1529" t="s">
        <v>722</v>
      </c>
      <c r="B309" s="629">
        <v>4190</v>
      </c>
      <c r="C309" s="617"/>
      <c r="D309" s="617"/>
      <c r="E309" s="467">
        <v>0</v>
      </c>
      <c r="F309" s="617"/>
      <c r="G309" s="617"/>
      <c r="H309" s="467">
        <v>0</v>
      </c>
      <c r="I309" s="477"/>
      <c r="J309" s="617"/>
      <c r="K309" s="1692">
        <f>SUM(E309,H309)</f>
        <v>0</v>
      </c>
      <c r="L309" s="466">
        <v>0</v>
      </c>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5" customFormat="1" ht="12.75" customHeight="1" thickTop="1" thickBot="1" x14ac:dyDescent="0.25">
      <c r="A312" s="2185" t="s">
        <v>295</v>
      </c>
      <c r="B312" s="2186"/>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81" t="s">
        <v>1053</v>
      </c>
      <c r="B313" s="2182"/>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v>0</v>
      </c>
      <c r="D319" s="467">
        <v>0</v>
      </c>
      <c r="E319" s="467">
        <v>0</v>
      </c>
      <c r="F319" s="467">
        <v>0</v>
      </c>
      <c r="G319" s="467">
        <v>0</v>
      </c>
      <c r="H319" s="467">
        <v>0</v>
      </c>
      <c r="I319" s="467">
        <v>0</v>
      </c>
      <c r="J319" s="467">
        <v>0</v>
      </c>
      <c r="K319" s="1692">
        <f>SUM(C319:J319)</f>
        <v>0</v>
      </c>
      <c r="L319" s="467">
        <v>0</v>
      </c>
      <c r="M319" s="666"/>
      <c r="N319" s="666"/>
    </row>
    <row r="320" spans="1:14" s="675" customFormat="1" x14ac:dyDescent="0.2">
      <c r="A320" s="1544" t="s">
        <v>1908</v>
      </c>
      <c r="B320" s="699" t="s">
        <v>300</v>
      </c>
      <c r="C320" s="467">
        <v>0</v>
      </c>
      <c r="D320" s="467">
        <v>0</v>
      </c>
      <c r="E320" s="467">
        <v>41438</v>
      </c>
      <c r="F320" s="467">
        <v>0</v>
      </c>
      <c r="G320" s="467">
        <v>0</v>
      </c>
      <c r="H320" s="467">
        <v>0</v>
      </c>
      <c r="I320" s="467">
        <v>0</v>
      </c>
      <c r="J320" s="467">
        <v>0</v>
      </c>
      <c r="K320" s="1692">
        <f t="shared" ref="K320:K327" si="24">SUM(C320:J320)</f>
        <v>41438</v>
      </c>
      <c r="L320" s="467">
        <v>41438</v>
      </c>
      <c r="M320" s="666"/>
      <c r="N320" s="666"/>
    </row>
    <row r="321" spans="1:14" s="675" customFormat="1" x14ac:dyDescent="0.2">
      <c r="A321" s="1540" t="s">
        <v>318</v>
      </c>
      <c r="B321" s="698" t="s">
        <v>301</v>
      </c>
      <c r="C321" s="467">
        <v>0</v>
      </c>
      <c r="D321" s="467">
        <v>0</v>
      </c>
      <c r="E321" s="467">
        <v>0</v>
      </c>
      <c r="F321" s="467">
        <v>0</v>
      </c>
      <c r="G321" s="467">
        <v>0</v>
      </c>
      <c r="H321" s="467">
        <v>0</v>
      </c>
      <c r="I321" s="467">
        <v>0</v>
      </c>
      <c r="J321" s="467">
        <v>0</v>
      </c>
      <c r="K321" s="1692">
        <f t="shared" si="24"/>
        <v>0</v>
      </c>
      <c r="L321" s="467">
        <v>0</v>
      </c>
      <c r="M321" s="666"/>
      <c r="N321" s="666"/>
    </row>
    <row r="322" spans="1:14" s="675" customFormat="1" x14ac:dyDescent="0.2">
      <c r="A322" s="1540" t="s">
        <v>256</v>
      </c>
      <c r="B322" s="698" t="s">
        <v>302</v>
      </c>
      <c r="C322" s="467">
        <v>0</v>
      </c>
      <c r="D322" s="467">
        <v>0</v>
      </c>
      <c r="E322" s="467">
        <v>29724</v>
      </c>
      <c r="F322" s="467">
        <v>0</v>
      </c>
      <c r="G322" s="467">
        <v>0</v>
      </c>
      <c r="H322" s="467">
        <v>0</v>
      </c>
      <c r="I322" s="467">
        <v>0</v>
      </c>
      <c r="J322" s="467">
        <v>0</v>
      </c>
      <c r="K322" s="1692">
        <f t="shared" si="24"/>
        <v>29724</v>
      </c>
      <c r="L322" s="467">
        <v>29724</v>
      </c>
      <c r="M322" s="666"/>
      <c r="N322" s="666"/>
    </row>
    <row r="323" spans="1:14" s="675" customFormat="1" x14ac:dyDescent="0.2">
      <c r="A323" s="1540" t="s">
        <v>726</v>
      </c>
      <c r="B323" s="698" t="s">
        <v>303</v>
      </c>
      <c r="C323" s="467">
        <v>0</v>
      </c>
      <c r="D323" s="467">
        <v>0</v>
      </c>
      <c r="E323" s="467">
        <v>0</v>
      </c>
      <c r="F323" s="467">
        <v>0</v>
      </c>
      <c r="G323" s="467">
        <v>0</v>
      </c>
      <c r="H323" s="467">
        <v>0</v>
      </c>
      <c r="I323" s="467">
        <v>0</v>
      </c>
      <c r="J323" s="467">
        <v>0</v>
      </c>
      <c r="K323" s="1692">
        <f t="shared" si="24"/>
        <v>0</v>
      </c>
      <c r="L323" s="467">
        <v>0</v>
      </c>
      <c r="M323" s="666"/>
      <c r="N323" s="666"/>
    </row>
    <row r="324" spans="1:14" s="675" customFormat="1" x14ac:dyDescent="0.2">
      <c r="A324" s="1540" t="s">
        <v>257</v>
      </c>
      <c r="B324" s="698" t="s">
        <v>304</v>
      </c>
      <c r="C324" s="467">
        <v>0</v>
      </c>
      <c r="D324" s="467">
        <v>0</v>
      </c>
      <c r="E324" s="467">
        <v>0</v>
      </c>
      <c r="F324" s="467">
        <v>0</v>
      </c>
      <c r="G324" s="467">
        <v>0</v>
      </c>
      <c r="H324" s="467">
        <v>0</v>
      </c>
      <c r="I324" s="467">
        <v>0</v>
      </c>
      <c r="J324" s="467">
        <v>0</v>
      </c>
      <c r="K324" s="1692">
        <f t="shared" si="24"/>
        <v>0</v>
      </c>
      <c r="L324" s="467">
        <v>0</v>
      </c>
      <c r="M324" s="666"/>
      <c r="N324" s="666"/>
    </row>
    <row r="325" spans="1:14" s="675" customFormat="1" ht="22.5" x14ac:dyDescent="0.2">
      <c r="A325" s="1540" t="s">
        <v>1087</v>
      </c>
      <c r="B325" s="699" t="s">
        <v>305</v>
      </c>
      <c r="C325" s="467">
        <v>0</v>
      </c>
      <c r="D325" s="467">
        <v>0</v>
      </c>
      <c r="E325" s="467">
        <v>0</v>
      </c>
      <c r="F325" s="467">
        <v>0</v>
      </c>
      <c r="G325" s="467">
        <v>0</v>
      </c>
      <c r="H325" s="467">
        <v>0</v>
      </c>
      <c r="I325" s="467">
        <v>0</v>
      </c>
      <c r="J325" s="467">
        <v>0</v>
      </c>
      <c r="K325" s="1692">
        <f t="shared" si="24"/>
        <v>0</v>
      </c>
      <c r="L325" s="467">
        <v>0</v>
      </c>
      <c r="M325" s="666"/>
      <c r="N325" s="666"/>
    </row>
    <row r="326" spans="1:14" s="675" customFormat="1" x14ac:dyDescent="0.2">
      <c r="A326" s="1540" t="s">
        <v>1088</v>
      </c>
      <c r="B326" s="698" t="s">
        <v>306</v>
      </c>
      <c r="C326" s="467">
        <v>0</v>
      </c>
      <c r="D326" s="467">
        <v>0</v>
      </c>
      <c r="E326" s="467">
        <v>0</v>
      </c>
      <c r="F326" s="467">
        <v>0</v>
      </c>
      <c r="G326" s="467">
        <v>0</v>
      </c>
      <c r="H326" s="467">
        <v>0</v>
      </c>
      <c r="I326" s="467">
        <v>0</v>
      </c>
      <c r="J326" s="467">
        <v>0</v>
      </c>
      <c r="K326" s="1692">
        <f t="shared" si="24"/>
        <v>0</v>
      </c>
      <c r="L326" s="467">
        <v>0</v>
      </c>
      <c r="M326" s="666"/>
      <c r="N326" s="666"/>
    </row>
    <row r="327" spans="1:14" s="675" customFormat="1" x14ac:dyDescent="0.2">
      <c r="A327" s="1540" t="s">
        <v>1028</v>
      </c>
      <c r="B327" s="698" t="s">
        <v>307</v>
      </c>
      <c r="C327" s="467">
        <v>0</v>
      </c>
      <c r="D327" s="467">
        <v>0</v>
      </c>
      <c r="E327" s="467">
        <v>0</v>
      </c>
      <c r="F327" s="467">
        <v>0</v>
      </c>
      <c r="G327" s="467">
        <v>0</v>
      </c>
      <c r="H327" s="467">
        <v>0</v>
      </c>
      <c r="I327" s="467">
        <v>0</v>
      </c>
      <c r="J327" s="467">
        <v>0</v>
      </c>
      <c r="K327" s="1692">
        <f t="shared" si="24"/>
        <v>0</v>
      </c>
      <c r="L327" s="467">
        <v>0</v>
      </c>
      <c r="M327" s="666"/>
      <c r="N327" s="666"/>
    </row>
    <row r="328" spans="1:14" s="675" customFormat="1" x14ac:dyDescent="0.2">
      <c r="A328" s="1541" t="s">
        <v>492</v>
      </c>
      <c r="B328" s="691" t="s">
        <v>1194</v>
      </c>
      <c r="C328" s="474">
        <v>0</v>
      </c>
      <c r="D328" s="474">
        <v>0</v>
      </c>
      <c r="E328" s="474">
        <v>0</v>
      </c>
      <c r="F328" s="474">
        <v>0</v>
      </c>
      <c r="G328" s="474">
        <v>0</v>
      </c>
      <c r="H328" s="474">
        <v>0</v>
      </c>
      <c r="I328" s="474">
        <v>0</v>
      </c>
      <c r="J328" s="474">
        <v>0</v>
      </c>
      <c r="K328" s="1720">
        <f>SUM(C328:J328)</f>
        <v>0</v>
      </c>
      <c r="L328" s="474">
        <v>0</v>
      </c>
      <c r="M328" s="666"/>
      <c r="N328" s="666"/>
    </row>
    <row r="329" spans="1:14" s="675" customFormat="1" x14ac:dyDescent="0.2">
      <c r="A329" s="1541" t="s">
        <v>1195</v>
      </c>
      <c r="B329" s="691" t="s">
        <v>1196</v>
      </c>
      <c r="C329" s="474">
        <v>0</v>
      </c>
      <c r="D329" s="474">
        <v>0</v>
      </c>
      <c r="E329" s="474">
        <v>0</v>
      </c>
      <c r="F329" s="474">
        <v>0</v>
      </c>
      <c r="G329" s="474">
        <v>0</v>
      </c>
      <c r="H329" s="474">
        <v>0</v>
      </c>
      <c r="I329" s="474">
        <v>0</v>
      </c>
      <c r="J329" s="474">
        <v>0</v>
      </c>
      <c r="K329" s="1720">
        <f>SUM(C329:J329)</f>
        <v>0</v>
      </c>
      <c r="L329" s="474">
        <v>0</v>
      </c>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71162</v>
      </c>
      <c r="F330" s="1691">
        <f t="shared" si="25"/>
        <v>0</v>
      </c>
      <c r="G330" s="1691">
        <f t="shared" si="25"/>
        <v>0</v>
      </c>
      <c r="H330" s="1691">
        <f t="shared" si="25"/>
        <v>0</v>
      </c>
      <c r="I330" s="1691">
        <f t="shared" si="25"/>
        <v>0</v>
      </c>
      <c r="J330" s="1691">
        <f t="shared" si="25"/>
        <v>0</v>
      </c>
      <c r="K330" s="1691">
        <f>SUM(K319:K329)</f>
        <v>71162</v>
      </c>
      <c r="L330" s="1691">
        <f>SUM(L319:L329)</f>
        <v>71162</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v>0</v>
      </c>
      <c r="I332" s="1855"/>
      <c r="J332" s="1855"/>
      <c r="K332" s="1692">
        <f>H332</f>
        <v>0</v>
      </c>
      <c r="L332" s="467">
        <v>0</v>
      </c>
      <c r="M332" s="666"/>
      <c r="N332" s="666"/>
    </row>
    <row r="333" spans="1:14" s="675" customFormat="1" ht="12.75" customHeight="1" x14ac:dyDescent="0.2">
      <c r="A333" s="1854" t="s">
        <v>322</v>
      </c>
      <c r="B333" s="1849" t="s">
        <v>1959</v>
      </c>
      <c r="C333" s="1855"/>
      <c r="D333" s="1855"/>
      <c r="E333" s="1855"/>
      <c r="F333" s="1855"/>
      <c r="G333" s="1855"/>
      <c r="H333" s="467">
        <v>0</v>
      </c>
      <c r="I333" s="1855"/>
      <c r="J333" s="1855"/>
      <c r="K333" s="1692">
        <f>H333</f>
        <v>0</v>
      </c>
      <c r="L333" s="467">
        <v>0</v>
      </c>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v>0</v>
      </c>
      <c r="I337" s="639"/>
      <c r="J337" s="639"/>
      <c r="K337" s="1692">
        <f>H337</f>
        <v>0</v>
      </c>
      <c r="L337" s="478">
        <v>0</v>
      </c>
    </row>
    <row r="338" spans="1:14" ht="12.75" customHeight="1" x14ac:dyDescent="0.2">
      <c r="A338" s="1539" t="s">
        <v>1232</v>
      </c>
      <c r="B338" s="691" t="s">
        <v>638</v>
      </c>
      <c r="C338" s="639"/>
      <c r="D338" s="639"/>
      <c r="E338" s="639"/>
      <c r="F338" s="639"/>
      <c r="G338" s="639"/>
      <c r="H338" s="478">
        <v>0</v>
      </c>
      <c r="I338" s="639"/>
      <c r="J338" s="639"/>
      <c r="K338" s="1692">
        <f>H338</f>
        <v>0</v>
      </c>
      <c r="L338" s="478">
        <v>0</v>
      </c>
    </row>
    <row r="339" spans="1:14" x14ac:dyDescent="0.2">
      <c r="A339" s="1525" t="s">
        <v>957</v>
      </c>
      <c r="B339" s="629">
        <v>5150</v>
      </c>
      <c r="C339" s="639"/>
      <c r="D339" s="639"/>
      <c r="E339" s="639"/>
      <c r="F339" s="639"/>
      <c r="G339" s="639"/>
      <c r="H339" s="467">
        <v>0</v>
      </c>
      <c r="I339" s="639"/>
      <c r="J339" s="639"/>
      <c r="K339" s="1692">
        <f>H339</f>
        <v>0</v>
      </c>
      <c r="L339" s="467">
        <v>0</v>
      </c>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0</v>
      </c>
    </row>
    <row r="342" spans="1:14" ht="12.75" customHeight="1" thickTop="1" thickBot="1" x14ac:dyDescent="0.25">
      <c r="A342" s="1707" t="s">
        <v>526</v>
      </c>
      <c r="B342" s="1722"/>
      <c r="C342" s="1691">
        <f>SUM(C330)</f>
        <v>0</v>
      </c>
      <c r="D342" s="1691">
        <f>SUM(D330)</f>
        <v>0</v>
      </c>
      <c r="E342" s="1691">
        <f>SUM(E330)</f>
        <v>71162</v>
      </c>
      <c r="F342" s="1691">
        <f>SUM(F330)</f>
        <v>0</v>
      </c>
      <c r="G342" s="1691">
        <f>SUM(G330)</f>
        <v>0</v>
      </c>
      <c r="H342" s="1691">
        <f>SUM(H330,H334,H340)</f>
        <v>0</v>
      </c>
      <c r="I342" s="1691">
        <f>SUM(I330)</f>
        <v>0</v>
      </c>
      <c r="J342" s="1691">
        <f>SUM(J330)</f>
        <v>0</v>
      </c>
      <c r="K342" s="1691">
        <f>SUM(K330,K334,K340)</f>
        <v>71162</v>
      </c>
      <c r="L342" s="1698">
        <f>SUM(L330,L340,L341)</f>
        <v>71162</v>
      </c>
    </row>
    <row r="343" spans="1:14" ht="12.75" customHeight="1" thickTop="1" x14ac:dyDescent="0.2">
      <c r="A343" s="2183" t="s">
        <v>1053</v>
      </c>
      <c r="B343" s="2184"/>
      <c r="C343" s="617"/>
      <c r="D343" s="617"/>
      <c r="E343" s="617"/>
      <c r="F343" s="617"/>
      <c r="G343" s="617"/>
      <c r="H343" s="617"/>
      <c r="I343" s="617"/>
      <c r="J343" s="617"/>
      <c r="K343" s="1705">
        <f>'Revenues 9-14'!J275-'Expenditures 15-22'!K342</f>
        <v>6090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v>0</v>
      </c>
      <c r="D348" s="466">
        <v>0</v>
      </c>
      <c r="E348" s="466">
        <v>0</v>
      </c>
      <c r="F348" s="466">
        <v>0</v>
      </c>
      <c r="G348" s="466">
        <v>0</v>
      </c>
      <c r="H348" s="466">
        <v>0</v>
      </c>
      <c r="I348" s="467">
        <v>0</v>
      </c>
      <c r="J348" s="467">
        <v>0</v>
      </c>
      <c r="K348" s="1692">
        <f>SUM(C348:J348)</f>
        <v>0</v>
      </c>
      <c r="L348" s="466">
        <v>0</v>
      </c>
    </row>
    <row r="349" spans="1:14" x14ac:dyDescent="0.2">
      <c r="A349" s="1525" t="s">
        <v>206</v>
      </c>
      <c r="B349" s="615">
        <v>2540</v>
      </c>
      <c r="C349" s="466">
        <v>0</v>
      </c>
      <c r="D349" s="466">
        <v>0</v>
      </c>
      <c r="E349" s="466">
        <v>0</v>
      </c>
      <c r="F349" s="466">
        <v>0</v>
      </c>
      <c r="G349" s="466">
        <v>0</v>
      </c>
      <c r="H349" s="466">
        <v>0</v>
      </c>
      <c r="I349" s="467">
        <v>0</v>
      </c>
      <c r="J349" s="467">
        <v>0</v>
      </c>
      <c r="K349" s="1692">
        <f>SUM(C349:J349)</f>
        <v>0</v>
      </c>
      <c r="L349" s="466">
        <v>0</v>
      </c>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v>0</v>
      </c>
      <c r="I354" s="702"/>
      <c r="J354" s="617"/>
      <c r="K354" s="1720">
        <f>H354</f>
        <v>0</v>
      </c>
      <c r="L354" s="471">
        <v>0</v>
      </c>
    </row>
    <row r="355" spans="1:14" ht="12.75" customHeight="1" x14ac:dyDescent="0.2">
      <c r="A355" s="1534" t="s">
        <v>1966</v>
      </c>
      <c r="B355" s="691" t="s">
        <v>1959</v>
      </c>
      <c r="C355" s="617"/>
      <c r="D355" s="617"/>
      <c r="E355" s="617"/>
      <c r="F355" s="617"/>
      <c r="G355" s="617"/>
      <c r="H355" s="467">
        <v>0</v>
      </c>
      <c r="I355" s="702"/>
      <c r="J355" s="617"/>
      <c r="K355" s="1764">
        <f>H355</f>
        <v>0</v>
      </c>
      <c r="L355" s="467">
        <v>0</v>
      </c>
    </row>
    <row r="356" spans="1:14" ht="12.75" customHeight="1" x14ac:dyDescent="0.2">
      <c r="A356" s="1856" t="s">
        <v>722</v>
      </c>
      <c r="B356" s="684" t="s">
        <v>579</v>
      </c>
      <c r="C356" s="617"/>
      <c r="D356" s="617"/>
      <c r="E356" s="617"/>
      <c r="F356" s="617"/>
      <c r="G356" s="617"/>
      <c r="H356" s="479">
        <v>0</v>
      </c>
      <c r="I356" s="702"/>
      <c r="J356" s="617"/>
      <c r="K356" s="1761">
        <f>H356</f>
        <v>0</v>
      </c>
      <c r="L356" s="479">
        <v>0</v>
      </c>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v>0</v>
      </c>
      <c r="I360" s="617"/>
      <c r="J360" s="617"/>
      <c r="K360" s="1692">
        <f>SUM(C360:J360)</f>
        <v>0</v>
      </c>
      <c r="L360" s="466">
        <v>0</v>
      </c>
    </row>
    <row r="361" spans="1:14" ht="12.75" customHeight="1" x14ac:dyDescent="0.2">
      <c r="A361" s="1526" t="s">
        <v>640</v>
      </c>
      <c r="B361" s="603" t="s">
        <v>639</v>
      </c>
      <c r="C361" s="617"/>
      <c r="D361" s="617"/>
      <c r="E361" s="617"/>
      <c r="F361" s="617"/>
      <c r="G361" s="617"/>
      <c r="H361" s="467">
        <v>0</v>
      </c>
      <c r="I361" s="617"/>
      <c r="J361" s="617"/>
      <c r="K361" s="1692">
        <f>SUM(C361:J361)</f>
        <v>0</v>
      </c>
      <c r="L361" s="466">
        <v>0</v>
      </c>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v>0</v>
      </c>
      <c r="I363" s="639"/>
      <c r="J363" s="639"/>
      <c r="K363" s="1720">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92">
        <f>SUM(C364:J364)</f>
        <v>0</v>
      </c>
      <c r="L364" s="708">
        <v>0</v>
      </c>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97" t="s">
        <v>1053</v>
      </c>
      <c r="B368" s="2198"/>
      <c r="C368" s="655"/>
      <c r="D368" s="655"/>
      <c r="E368" s="627"/>
      <c r="F368" s="627"/>
      <c r="G368" s="627"/>
      <c r="H368" s="627"/>
      <c r="I368" s="627"/>
      <c r="J368" s="624"/>
      <c r="K368" s="1692">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dcmitype/"/>
    <ds:schemaRef ds:uri="http://schemas.microsoft.com/office/infopath/2007/PartnerControls"/>
    <ds:schemaRef ds:uri="http://schemas.openxmlformats.org/package/2006/metadata/core-properties"/>
    <ds:schemaRef ds:uri="6ce3111e-7420-4802-b50a-75d4e9a0b980"/>
    <ds:schemaRef ds:uri="http://purl.org/dc/elements/1.1/"/>
    <ds:schemaRef ds:uri="http://schemas.microsoft.com/sharepoint/v3"/>
    <ds:schemaRef ds:uri="http://purl.org/dc/terms/"/>
    <ds:schemaRef ds:uri="http://www.w3.org/XML/1998/namespace"/>
    <ds:schemaRef ds:uri="http://schemas.microsoft.com/office/2006/documentManagement/types"/>
    <ds:schemaRef ds:uri="4d435f69-8686-490b-bd6d-b153bf22ab50"/>
    <ds:schemaRef ds:uri="d21dc803-237d-4c68-8692-8d731fd2911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2018-08-27T20:04:57Z</cp:lastPrinted>
  <dcterms:created xsi:type="dcterms:W3CDTF">2003-10-29T19:06:34Z</dcterms:created>
  <dcterms:modified xsi:type="dcterms:W3CDTF">2018-09-25T20:45:50Z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2a</vt:lpwstr>
  </property>
</Properties>
</file>