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SEFA'!$B$11:$M$76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53" i="179" l="1"/>
  <c r="F53" i="179"/>
  <c r="G53" i="179"/>
  <c r="E53" i="179"/>
  <c r="I42" i="179"/>
  <c r="F42" i="179"/>
  <c r="G42" i="179"/>
  <c r="E42" i="179"/>
  <c r="L40" i="179"/>
  <c r="L39" i="179"/>
  <c r="L42" i="179" s="1"/>
  <c r="F34" i="179"/>
  <c r="E34" i="179"/>
  <c r="E55" i="179" s="1"/>
  <c r="L32" i="179"/>
  <c r="M27" i="179"/>
  <c r="I27" i="179"/>
  <c r="F27" i="179"/>
  <c r="G27" i="179"/>
  <c r="E27" i="179"/>
  <c r="L25" i="179"/>
  <c r="L24" i="179"/>
  <c r="L23" i="179"/>
  <c r="L22" i="179"/>
  <c r="L27" i="179" s="1"/>
  <c r="L15" i="179"/>
  <c r="M18" i="179"/>
  <c r="I18" i="179"/>
  <c r="I34" i="179" s="1"/>
  <c r="I55" i="179" s="1"/>
  <c r="F18" i="179"/>
  <c r="G18" i="179"/>
  <c r="G34" i="179" s="1"/>
  <c r="G55" i="179" s="1"/>
  <c r="E18" i="179"/>
  <c r="L13" i="179"/>
  <c r="L14" i="179"/>
  <c r="L16" i="179"/>
  <c r="H30" i="127"/>
  <c r="H19" i="127"/>
  <c r="D182" i="34"/>
  <c r="L18" i="179" l="1"/>
  <c r="L34" i="179" s="1"/>
  <c r="F55" i="179"/>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1" i="181"/>
  <c r="G21" i="181" s="1"/>
  <c r="E21" i="181"/>
  <c r="F20" i="181"/>
  <c r="G20" i="181" s="1"/>
  <c r="E20" i="181"/>
  <c r="E19" i="181"/>
  <c r="F19" i="181" s="1"/>
  <c r="G19" i="181" s="1"/>
  <c r="F18" i="181"/>
  <c r="G18" i="181" s="1"/>
  <c r="E18" i="181"/>
  <c r="D22" i="181" l="1"/>
  <c r="D80" i="36" l="1"/>
  <c r="B7797" i="106"/>
  <c r="E22" i="181"/>
  <c r="E17" i="181"/>
  <c r="E16" i="181"/>
  <c r="F16" i="181" s="1"/>
  <c r="G16" i="181" s="1"/>
  <c r="F17" i="181" l="1"/>
  <c r="G17" i="181" s="1"/>
  <c r="G22" i="181" s="1"/>
  <c r="G40" i="108" l="1"/>
  <c r="B7799" i="106"/>
  <c r="F22" i="181"/>
  <c r="B7798" i="106" s="1"/>
  <c r="E40" i="108"/>
  <c r="B4" i="179" l="1"/>
  <c r="D17" i="171" l="1"/>
  <c r="L57" i="179" l="1"/>
  <c r="L56" i="179"/>
  <c r="L55" i="179"/>
  <c r="L54" i="179"/>
  <c r="L53" i="179"/>
  <c r="L52" i="179"/>
  <c r="L51" i="179"/>
  <c r="L50" i="179"/>
  <c r="L49" i="179"/>
  <c r="L48" i="179"/>
  <c r="L47" i="179"/>
  <c r="L46" i="179"/>
  <c r="L45" i="179"/>
  <c r="L44" i="179"/>
  <c r="L43" i="179"/>
  <c r="L12" i="179"/>
  <c r="L11" i="179"/>
  <c r="D12"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B5260" i="106" s="1"/>
  <c r="D5260" i="106" s="1"/>
  <c r="C216" i="5"/>
  <c r="C224" i="5"/>
  <c r="B5286" i="106" s="1"/>
  <c r="D5286" i="106" s="1"/>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71" i="36"/>
  <c r="D72" i="36"/>
  <c r="D79" i="36"/>
  <c r="B64" i="127"/>
  <c r="B65" i="127"/>
  <c r="D26" i="108"/>
  <c r="E26" i="108"/>
  <c r="F26" i="108"/>
  <c r="G26" i="108"/>
  <c r="E27" i="108"/>
  <c r="F27" i="108"/>
  <c r="G27" i="108"/>
  <c r="E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N22" i="3"/>
  <c r="B283" i="106" s="1"/>
  <c r="D283" i="106" s="1"/>
  <c r="D7" i="118"/>
  <c r="D8" i="118"/>
  <c r="D9" i="118"/>
  <c r="H14" i="118"/>
  <c r="H19" i="118"/>
  <c r="H24" i="118"/>
  <c r="H28" i="118"/>
  <c r="H29" i="118"/>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1" i="34"/>
  <c r="F128" i="34"/>
  <c r="F127" i="34"/>
  <c r="F111" i="34"/>
  <c r="B5847" i="106"/>
  <c r="D5847" i="106" s="1"/>
  <c r="B5752" i="106"/>
  <c r="D5752" i="106" s="1"/>
  <c r="B5599" i="106"/>
  <c r="D5599" i="106" s="1"/>
  <c r="K274" i="5"/>
  <c r="H173" i="5"/>
  <c r="B5906" i="106" s="1"/>
  <c r="D5906" i="106" s="1"/>
  <c r="F106" i="34"/>
  <c r="D7" i="7"/>
  <c r="B1763" i="106" s="1"/>
  <c r="D1763" i="106" s="1"/>
  <c r="H6" i="4"/>
  <c r="B2656" i="106" s="1"/>
  <c r="D2656" i="106" s="1"/>
  <c r="B1746" i="106"/>
  <c r="D1746" i="106" s="1"/>
  <c r="D17" i="7"/>
  <c r="B4104" i="106" s="1"/>
  <c r="D4104" i="106" s="1"/>
  <c r="D15" i="7"/>
  <c r="B1772" i="106" s="1"/>
  <c r="D1772" i="106" s="1"/>
  <c r="G173" i="5" l="1"/>
  <c r="B5778" i="106" s="1"/>
  <c r="D5778" i="106" s="1"/>
  <c r="B5770" i="106"/>
  <c r="D5770" i="106" s="1"/>
  <c r="B7235" i="106"/>
  <c r="D7235" i="106" s="1"/>
  <c r="F172" i="5"/>
  <c r="B5644" i="106" s="1"/>
  <c r="D5644" i="106" s="1"/>
  <c r="E109" i="5"/>
  <c r="E4" i="4" s="1"/>
  <c r="B2630" i="106" s="1"/>
  <c r="D2630" i="106" s="1"/>
  <c r="L312" i="29"/>
  <c r="K76" i="4"/>
  <c r="B3586" i="106" s="1"/>
  <c r="D3586" i="106" s="1"/>
  <c r="K24" i="12"/>
  <c r="D6103" i="106"/>
  <c r="B3621" i="106"/>
  <c r="D3621" i="106" s="1"/>
  <c r="C367" i="29"/>
  <c r="K28" i="118"/>
  <c r="O27" i="118" s="1"/>
  <c r="O29" i="118" s="1"/>
  <c r="D68" i="36"/>
  <c r="D69" i="36"/>
  <c r="K352" i="29"/>
  <c r="K13" i="4" s="1"/>
  <c r="B3572" i="106" s="1"/>
  <c r="D3572" i="106" s="1"/>
  <c r="B3649" i="106"/>
  <c r="D3649" i="106" s="1"/>
  <c r="G367" i="29"/>
  <c r="L342" i="29"/>
  <c r="C342" i="29"/>
  <c r="B7216" i="106" s="1"/>
  <c r="D7216" i="106" s="1"/>
  <c r="B1410" i="106"/>
  <c r="D1410" i="106" s="1"/>
  <c r="F65" i="34"/>
  <c r="E29" i="108"/>
  <c r="G29" i="108"/>
  <c r="K184" i="29"/>
  <c r="F13" i="4" s="1"/>
  <c r="B2596" i="106" s="1"/>
  <c r="D2596" i="106" s="1"/>
  <c r="B1329" i="106"/>
  <c r="D1329" i="106" s="1"/>
  <c r="F61" i="34"/>
  <c r="F28" i="108"/>
  <c r="B1223" i="106"/>
  <c r="D1223" i="106" s="1"/>
  <c r="C14" i="4"/>
  <c r="B2558" i="106" s="1"/>
  <c r="D2558" i="106" s="1"/>
  <c r="G30" i="108"/>
  <c r="E30" i="108"/>
  <c r="F35" i="34"/>
  <c r="F34" i="34"/>
  <c r="F130" i="34"/>
  <c r="C172" i="5"/>
  <c r="H109" i="5"/>
  <c r="D109" i="5"/>
  <c r="G109" i="5"/>
  <c r="C109" i="5"/>
  <c r="B5121" i="106" s="1"/>
  <c r="D5121" i="106" s="1"/>
  <c r="D12" i="7"/>
  <c r="B1769" i="106" s="1"/>
  <c r="D1769" i="106" s="1"/>
  <c r="D11" i="7"/>
  <c r="B1768" i="106" s="1"/>
  <c r="D1768" i="106" s="1"/>
  <c r="D54" i="36"/>
  <c r="H33" i="118"/>
  <c r="D31" i="36"/>
  <c r="B4268" i="106"/>
  <c r="D4268"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D274" i="5"/>
  <c r="B7270" i="106"/>
  <c r="L114" i="29" l="1"/>
  <c r="H367" i="29"/>
  <c r="B3660" i="106" s="1"/>
  <c r="D3660" i="106" s="1"/>
  <c r="B7733" i="106"/>
  <c r="D7733" i="106" s="1"/>
  <c r="K26" i="12"/>
  <c r="B7743" i="106" s="1"/>
  <c r="D7743" i="106" s="1"/>
  <c r="H275" i="5"/>
  <c r="L16" i="11"/>
  <c r="B2061" i="106" s="1"/>
  <c r="D2061" i="106" s="1"/>
  <c r="B3672" i="106"/>
  <c r="D3672" i="106" s="1"/>
  <c r="K367" i="29"/>
  <c r="K342" i="29"/>
  <c r="F13" i="34" s="1"/>
  <c r="B1381" i="106"/>
  <c r="D1381" i="106" s="1"/>
  <c r="C114" i="29"/>
  <c r="B757" i="106" s="1"/>
  <c r="D757" i="106" s="1"/>
  <c r="B5653" i="106"/>
  <c r="D5653" i="106" s="1"/>
  <c r="F275" i="5"/>
  <c r="B5214" i="106"/>
  <c r="D5214" i="106" s="1"/>
  <c r="C173" i="5"/>
  <c r="B6025" i="106"/>
  <c r="D6025" i="106" s="1"/>
  <c r="H4" i="4"/>
  <c r="B5356" i="106"/>
  <c r="D5356" i="106" s="1"/>
  <c r="D4" i="4"/>
  <c r="B2564" i="106" s="1"/>
  <c r="D2564" i="106" s="1"/>
  <c r="B6024" i="106"/>
  <c r="D6024" i="106" s="1"/>
  <c r="G4" i="4"/>
  <c r="B2603" i="106" s="1"/>
  <c r="D2603" i="106" s="1"/>
  <c r="C4" i="4"/>
  <c r="B2551" i="106" s="1"/>
  <c r="D2551" i="106" s="1"/>
  <c r="D19" i="7"/>
  <c r="B1775" i="106" s="1"/>
  <c r="D1775"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7224" i="106" l="1"/>
  <c r="D7224" i="106" s="1"/>
  <c r="B1145" i="106"/>
  <c r="D1145" i="106" s="1"/>
  <c r="G41" i="108"/>
  <c r="G44" i="108" s="1"/>
  <c r="G45" i="108" s="1"/>
  <c r="B5223" i="106"/>
  <c r="D5223" i="106" s="1"/>
  <c r="C6" i="4"/>
  <c r="B2553" i="106" s="1"/>
  <c r="D2553" i="106" s="1"/>
  <c r="B2655" i="106"/>
  <c r="D2655" i="106" s="1"/>
  <c r="H8" i="4"/>
  <c r="J8" i="4"/>
  <c r="J10" i="4" s="1"/>
  <c r="B6225" i="106" s="1"/>
  <c r="D6225" i="106" s="1"/>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76" i="34" l="1"/>
  <c r="B6223" i="106"/>
  <c r="D6223" i="106" s="1"/>
  <c r="H10" i="4"/>
  <c r="B4127" i="106" s="1"/>
  <c r="D4127" i="106" s="1"/>
  <c r="B2658" i="106"/>
  <c r="D2658" i="106" s="1"/>
  <c r="J20" i="4"/>
  <c r="J78" i="4" s="1"/>
  <c r="F10" i="4"/>
  <c r="B4125" i="106" s="1"/>
  <c r="D4125" i="106" s="1"/>
  <c r="D10" i="171"/>
  <c r="D19"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<sst xmlns="http://schemas.openxmlformats.org/spreadsheetml/2006/main" count="5151" uniqueCount="2177">
  <si>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</si>
  <si>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</si>
  <si>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</si>
  <si>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</si>
  <si>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</si>
  <si>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</si>
  <si>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</si>
  <si>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</si>
  <si>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</si>
  <si>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</si>
  <si>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</si>
  <si>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</si>
  <si>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</si>
  <si>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</si>
  <si>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</si>
  <si>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</si>
  <si>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</si>
  <si>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</si>
  <si>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</si>
  <si>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</si>
  <si>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</si>
  <si>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</si>
  <si>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</si>
  <si>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</si>
  <si>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</si>
  <si>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</si>
  <si>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</si>
  <si>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</si>
  <si>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</si>
  <si>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</si>
  <si>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</si>
  <si>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</si>
  <si>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</si>
  <si>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</si>
  <si>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</si>
  <si>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</si>
  <si>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</si>
  <si>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</si>
  <si>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</si>
  <si>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</si>
  <si>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</si>
  <si>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</si>
  <si>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</si>
  <si>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</si>
  <si>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</si>
  <si>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</si>
  <si>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</si>
  <si>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</si>
  <si>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</si>
  <si>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</si>
  <si>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</si>
  <si>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</si>
  <si>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</si>
  <si>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</si>
  <si>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</si>
  <si>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</si>
  <si>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</si>
  <si>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</si>
  <si>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</si>
  <si>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</si>
  <si>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</si>
  <si>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</si>
  <si>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</si>
  <si>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</si>
  <si>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</si>
  <si>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</si>
  <si>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</si>
  <si>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</si>
  <si>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</si>
  <si>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</si>
  <si>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</si>
  <si>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</si>
  <si>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</si>
  <si>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</si>
  <si>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</si>
  <si>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</si>
  <si>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</si>
  <si>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</si>
  <si>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</si>
  <si>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</si>
  <si>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</si>
  <si>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</si>
  <si>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</si>
  <si>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</si>
  <si>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</si>
  <si>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</si>
  <si>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</si>
  <si>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</si>
  <si>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</si>
  <si>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</si>
  <si>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</si>
  <si>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</si>
  <si>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</si>
  <si>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</si>
  <si>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</si>
  <si>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</si>
  <si>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</si>
  <si>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</si>
  <si>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</si>
  <si>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</si>
  <si>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</si>
  <si>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</si>
  <si>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</si>
  <si>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</si>
  <si>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</si>
  <si>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</si>
  <si>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</si>
  <si>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</si>
  <si>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</si>
  <si>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</si>
  <si>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</si>
  <si>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</si>
  <si>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</si>
  <si>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</si>
  <si>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</si>
  <si>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</si>
  <si>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</si>
  <si>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</si>
  <si>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</si>
  <si>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</si>
  <si>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</si>
  <si>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</si>
  <si>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</si>
  <si>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</si>
  <si>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</si>
  <si>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</si>
  <si>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</si>
  <si>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</si>
  <si>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</si>
  <si>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</si>
  <si>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</si>
  <si>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</si>
  <si>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</si>
  <si>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</si>
  <si>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</si>
  <si>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</si>
  <si>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</si>
  <si>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</si>
  <si>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</si>
  <si>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</si>
  <si>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</si>
  <si>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</si>
  <si>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</si>
  <si>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</si>
  <si>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</si>
  <si>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</si>
  <si>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</si>
  <si>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</si>
  <si>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</si>
  <si>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</si>
  <si>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</si>
  <si>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</si>
  <si>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</si>
  <si>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</si>
  <si>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</si>
  <si>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</si>
  <si>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</si>
  <si>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</si>
  <si>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</si>
  <si>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</si>
  <si>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</si>
  <si>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</si>
  <si>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</si>
  <si>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</si>
  <si>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</si>
  <si>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</si>
  <si>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</si>
  <si>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</si>
  <si>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</si>
  <si>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</si>
  <si>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</si>
  <si>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</si>
  <si>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</si>
  <si>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</si>
  <si>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</si>
  <si>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</si>
  <si>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</si>
  <si>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</si>
  <si>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</si>
  <si>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</si>
  <si>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</si>
  <si>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</si>
  <si>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</si>
  <si>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</si>
  <si>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</si>
  <si>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</si>
  <si>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</si>
  <si>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</si>
  <si>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</si>
  <si>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</si>
  <si>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</si>
  <si>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</si>
  <si>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</si>
  <si>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</si>
  <si>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</si>
  <si>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</si>
  <si>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</si>
  <si>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</si>
  <si>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</si>
  <si>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</si>
  <si>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</si>
  <si>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</si>
  <si>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</si>
  <si>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</si>
  <si>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</si>
  <si>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</si>
  <si>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</si>
  <si>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</si>
  <si>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</si>
  <si>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</si>
  <si>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</si>
  <si>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</si>
  <si>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</si>
  <si>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</si>
  <si>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</si>
  <si>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</si>
  <si>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</si>
  <si>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</si>
  <si>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</si>
  <si>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</si>
  <si>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</si>
  <si>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</si>
  <si>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</si>
  <si>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</si>
  <si>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</si>
  <si>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</si>
  <si>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</si>
  <si>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</si>
  <si>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</si>
  <si>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</si>
  <si>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</si>
  <si>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</si>
  <si>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</si>
  <si>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</si>
  <si>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</si>
  <si>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</si>
  <si>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</si>
  <si>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</si>
  <si>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</si>
  <si>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</si>
  <si>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</si>
  <si>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</si>
  <si>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</si>
  <si>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</si>
  <si>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</si>
  <si>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</si>
  <si>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</si>
  <si>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</si>
  <si>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</si>
  <si>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</si>
  <si>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</si>
  <si>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</si>
  <si>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</si>
  <si>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</si>
  <si>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</si>
  <si>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</si>
  <si>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</si>
  <si>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</si>
  <si>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</si>
  <si>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</si>
  <si>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</si>
  <si>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</si>
  <si>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</si>
  <si>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</si>
  <si>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</si>
  <si>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</si>
  <si>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</si>
  <si>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</si>
  <si>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</si>
  <si>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</si>
  <si>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</si>
  <si>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</si>
  <si>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</si>
  <si>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</si>
  <si>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</si>
  <si>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</si>
  <si>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</si>
  <si>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</si>
  <si>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</si>
  <si>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</si>
  <si>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</si>
  <si>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</si>
  <si>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</si>
  <si>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</si>
  <si>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</si>
  <si>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</si>
  <si>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</si>
  <si>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</si>
  <si>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</si>
  <si>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</si>
  <si>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</si>
  <si>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</si>
  <si>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</si>
  <si>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</si>
  <si>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</si>
  <si>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</si>
  <si>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</si>
  <si>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</si>
  <si>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</si>
  <si>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</si>
  <si>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</si>
  <si>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</si>
  <si>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</si>
  <si>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</si>
  <si>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</si>
  <si>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</si>
  <si>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</si>
  <si>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</si>
  <si>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</si>
  <si>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</si>
  <si>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</si>
  <si>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</si>
  <si>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</si>
  <si>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</si>
  <si>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</si>
  <si>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</si>
  <si>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</si>
  <si>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</si>
  <si>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</si>
  <si>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</si>
  <si>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</si>
  <si>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</si>
  <si>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</si>
  <si>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</si>
  <si>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</si>
  <si>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</si>
  <si>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</si>
  <si>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</si>
  <si>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</si>
  <si>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</si>
  <si>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</si>
  <si>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</si>
  <si>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</si>
  <si>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</si>
  <si>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</si>
  <si>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</si>
  <si>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</si>
  <si>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</si>
  <si>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</si>
  <si>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</si>
  <si>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</si>
  <si>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</si>
  <si>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</si>
  <si>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</si>
  <si>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</si>
  <si>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</si>
  <si>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</si>
  <si>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</si>
  <si>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</si>
  <si>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</si>
  <si>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</si>
  <si>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</si>
  <si>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</si>
  <si>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</si>
  <si>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</si>
  <si>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</si>
  <si>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</si>
  <si>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</si>
  <si>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</si>
  <si>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</si>
  <si>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</si>
  <si>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</si>
  <si>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</si>
  <si>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</si>
  <si>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</si>
  <si>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</si>
  <si>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</si>
  <si>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</si>
  <si>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</si>
  <si>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</si>
  <si>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</si>
  <si>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</si>
  <si>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</si>
  <si>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</si>
  <si>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</si>
  <si>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</si>
  <si>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</si>
  <si>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</si>
  <si>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</si>
  <si>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</si>
  <si>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</si>
  <si>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</si>
  <si>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</si>
  <si>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</si>
  <si>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</si>
  <si>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</si>
  <si>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</si>
  <si>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</si>
  <si>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</si>
  <si>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</si>
  <si>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</si>
  <si>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</si>
  <si>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</si>
  <si>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</si>
  <si>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</si>
  <si>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</si>
  <si>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</si>
  <si>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</si>
  <si>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</si>
  <si>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</si>
  <si>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</si>
  <si>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</si>
  <si>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</si>
  <si>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</si>
  <si>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</si>
  <si>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</si>
  <si>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</si>
  <si>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</si>
  <si>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</si>
  <si>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</si>
  <si>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</si>
  <si>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</si>
  <si>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</si>
  <si>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</si>
  <si>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</si>
  <si>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</si>
  <si>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</si>
  <si>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</si>
  <si>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</si>
  <si>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</si>
  <si>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</si>
  <si>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</si>
  <si>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</si>
  <si>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</si>
  <si>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</si>
  <si>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</si>
  <si>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</si>
  <si>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</si>
  <si>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</si>
  <si>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</si>
  <si>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</si>
  <si>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</si>
  <si>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</si>
  <si>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</si>
  <si>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</si>
  <si>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</si>
  <si>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</si>
  <si>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</si>
  <si>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</si>
  <si>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</si>
  <si>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</si>
  <si>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</si>
  <si>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</si>
  <si>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</si>
  <si>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</si>
  <si>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</si>
  <si>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</si>
  <si>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</si>
  <si>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</si>
  <si>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</si>
  <si>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</si>
  <si>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</si>
  <si>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</si>
  <si>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</si>
  <si>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</si>
  <si>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</si>
  <si>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</si>
  <si>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</si>
  <si>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</si>
  <si>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</si>
  <si>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</si>
  <si>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</si>
  <si>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</si>
  <si>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</si>
  <si>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</si>
  <si>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</si>
  <si>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</si>
  <si>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</si>
  <si>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</si>
  <si>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</si>
  <si>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</si>
  <si>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</si>
  <si>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</si>
  <si>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</si>
  <si>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</si>
  <si>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</si>
  <si>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</si>
  <si>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</si>
  <si>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</si>
  <si>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</si>
  <si>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</si>
  <si>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</si>
  <si>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</si>
  <si>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</si>
  <si>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</si>
  <si>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</si>
  <si>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</si>
  <si>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</si>
  <si>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</si>
  <si>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</si>
  <si>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</si>
  <si>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</si>
  <si>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</si>
  <si>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</si>
  <si>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</si>
  <si>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</si>
  <si>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</si>
  <si>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</si>
  <si>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</si>
  <si>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</si>
  <si>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</si>
  <si>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</si>
  <si>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</si>
  <si>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</si>
  <si>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</si>
  <si>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</si>
  <si>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</si>
  <si>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</si>
  <si>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</si>
  <si>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</si>
  <si>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</si>
  <si>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</si>
  <si>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</si>
  <si>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</si>
  <si>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</si>
  <si>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</si>
  <si>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</si>
  <si>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</si>
  <si>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</si>
  <si>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</si>
  <si>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</si>
  <si>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</si>
  <si>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</si>
  <si>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</si>
  <si>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</si>
  <si>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</si>
  <si>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</si>
  <si>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</si>
  <si>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</si>
  <si>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</si>
  <si>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</si>
  <si>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</si>
  <si>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</si>
  <si>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</si>
  <si>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</si>
  <si>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</si>
  <si>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</si>
  <si>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</si>
  <si>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</si>
  <si>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</si>
  <si>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</si>
  <si>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</si>
  <si>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</si>
  <si>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</si>
  <si>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</si>
  <si>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</si>
  <si>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</si>
  <si>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</si>
  <si>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</si>
  <si>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</si>
  <si>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</si>
  <si>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</si>
  <si>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</si>
  <si>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</si>
  <si>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</si>
  <si>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</si>
  <si>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</si>
  <si>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</si>
  <si>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</si>
  <si>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</si>
  <si>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</si>
  <si>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</si>
  <si>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</si>
  <si>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</si>
  <si>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</si>
  <si>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</si>
  <si>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</si>
  <si>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</si>
  <si>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</si>
  <si>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</si>
  <si>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</si>
  <si>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</si>
  <si>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</si>
  <si>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</si>
  <si>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</si>
  <si>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</si>
  <si>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</si>
  <si>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</si>
  <si>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</si>
  <si>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</si>
  <si>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</si>
  <si>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</si>
  <si>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</si>
  <si>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</si>
  <si>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</si>
  <si>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</si>
  <si>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</si>
  <si>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</si>
  <si>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</si>
  <si>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</si>
  <si>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</si>
  <si>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</si>
  <si>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</si>
  <si>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</si>
  <si>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</si>
  <si>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</si>
  <si>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</si>
  <si>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</si>
  <si>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</si>
  <si>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</si>
  <si>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</si>
  <si>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</si>
  <si>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</si>
  <si>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</si>
  <si>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</si>
  <si>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</si>
  <si>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</si>
  <si>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</si>
  <si>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</si>
  <si>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</si>
  <si>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</si>
  <si>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</si>
  <si>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</si>
  <si>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</si>
  <si>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</si>
  <si>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</si>
  <si>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</si>
  <si>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</si>
  <si>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</si>
  <si>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</si>
  <si>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</si>
  <si>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</si>
  <si>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</si>
  <si>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</si>
  <si>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</si>
  <si>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</si>
  <si>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</si>
  <si>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</si>
  <si>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</si>
  <si>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</si>
  <si>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</si>
  <si>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</si>
  <si>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</si>
  <si>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</si>
  <si>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</si>
  <si>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</si>
  <si>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</si>
  <si>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</si>
  <si>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</si>
  <si>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</si>
  <si>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</si>
  <si>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</si>
  <si>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</si>
  <si>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</si>
  <si>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</si>
  <si>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</si>
  <si>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</si>
  <si>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</si>
  <si>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</si>
  <si>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</si>
  <si>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</si>
  <si>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</si>
  <si>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</si>
  <si>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</si>
  <si>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</si>
  <si>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</si>
  <si>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</si>
  <si>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</si>
  <si>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</si>
  <si>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</si>
  <si>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</si>
  <si>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</si>
  <si>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</si>
  <si>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</si>
  <si>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</si>
  <si>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</si>
  <si>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</si>
  <si>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</si>
  <si>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</si>
  <si>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</si>
  <si>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</si>
  <si>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</si>
  <si>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</si>
  <si>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</si>
  <si>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</si>
  <si>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</si>
  <si>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</si>
  <si>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</si>
  <si>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</si>
  <si>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</si>
  <si>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</si>
  <si>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</si>
  <si>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</si>
  <si>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</si>
  <si>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</si>
  <si>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</si>
  <si>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</si>
  <si>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</si>
  <si>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</si>
  <si>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</si>
  <si>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</si>
  <si>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</si>
  <si>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</si>
  <si>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</si>
  <si>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</si>
  <si>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</si>
  <si>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</si>
  <si>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</si>
  <si>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</si>
  <si>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</si>
  <si>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</si>
  <si>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</si>
  <si>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</si>
  <si>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</si>
  <si>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</si>
  <si>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</si>
  <si>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</si>
  <si>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</si>
  <si>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</si>
  <si>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</si>
  <si>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</si>
  <si>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</si>
  <si>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</si>
  <si>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</si>
  <si>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</si>
  <si>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</si>
  <si>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</si>
  <si>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</si>
  <si>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</si>
  <si>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</si>
  <si>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</si>
  <si>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</si>
  <si>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</si>
  <si>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</si>
  <si>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</si>
  <si>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</si>
  <si>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</si>
  <si>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</si>
  <si>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</si>
  <si>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</si>
  <si>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</si>
  <si>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</si>
  <si>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</si>
  <si>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</si>
  <si>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</si>
  <si>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</si>
  <si>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</si>
  <si>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</si>
  <si>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</si>
  <si>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</si>
  <si>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</si>
  <si>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</si>
  <si>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</si>
  <si>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</si>
  <si>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</si>
  <si>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</si>
  <si>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</si>
  <si>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</si>
  <si>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</si>
  <si>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</si>
  <si>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</si>
  <si>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</si>
  <si>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</si>
  <si>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</si>
  <si>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</si>
  <si>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</si>
  <si>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</si>
  <si>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</si>
  <si>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</si>
  <si>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</si>
  <si>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</si>
  <si>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</si>
  <si>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</si>
  <si>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</si>
  <si>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</si>
  <si>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</si>
  <si>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</si>
  <si>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</si>
  <si>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</si>
  <si>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</si>
  <si>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</si>
  <si>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</si>
  <si>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</si>
  <si>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</si>
  <si>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</si>
  <si>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</si>
  <si>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</si>
  <si>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</si>
  <si>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</si>
  <si>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</si>
  <si>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</si>
  <si>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</si>
  <si>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</si>
  <si>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</si>
  <si>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</si>
  <si>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</si>
  <si>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</si>
  <si>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</si>
  <si>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</si>
  <si>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</si>
  <si>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</si>
  <si>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</si>
  <si>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</si>
  <si>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</si>
  <si>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</si>
  <si>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</si>
  <si>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</si>
  <si>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</si>
  <si>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</si>
  <si>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</si>
  <si>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</si>
  <si>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</si>
  <si>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</si>
  <si>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</si>
  <si>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</si>
  <si>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</si>
  <si>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</si>
  <si>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</si>
  <si>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</si>
  <si>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</si>
  <si>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</si>
  <si>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</si>
  <si>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</si>
  <si>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</si>
  <si>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</si>
  <si>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</si>
  <si>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</si>
  <si>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</si>
  <si>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</si>
  <si>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</si>
  <si>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</si>
  <si>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</si>
  <si>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</si>
  <si>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</si>
  <si>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</si>
  <si>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</si>
  <si>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</si>
  <si>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</si>
  <si>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</si>
  <si>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</si>
  <si>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</si>
  <si>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</si>
  <si>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</si>
  <si>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</si>
  <si>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</si>
  <si>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</si>
  <si>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</si>
  <si>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</si>
  <si>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</si>
  <si>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</si>
  <si>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</si>
  <si>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</si>
  <si>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</si>
  <si>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</si>
  <si>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</si>
  <si>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</si>
  <si>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</si>
  <si>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</si>
  <si>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</si>
  <si>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</si>
  <si>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</si>
  <si>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</si>
  <si>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</si>
  <si>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</si>
  <si>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</si>
  <si>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</si>
  <si>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</si>
  <si>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</si>
  <si>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</si>
  <si>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</si>
  <si>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</si>
  <si>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</si>
  <si>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</si>
  <si>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</si>
  <si>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</si>
  <si>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</si>
  <si>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</si>
  <si>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</si>
  <si>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</si>
  <si>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</si>
  <si>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</si>
  <si>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</si>
  <si>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</si>
  <si>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</si>
  <si>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</si>
  <si>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</si>
  <si>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</si>
  <si>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</si>
  <si>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</si>
  <si>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</si>
  <si>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</si>
  <si>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</si>
  <si>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</si>
  <si>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</si>
  <si>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</si>
  <si>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</si>
  <si>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</si>
  <si>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</si>
  <si>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</si>
  <si>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</si>
  <si>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</si>
  <si>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</si>
  <si>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</si>
  <si>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</si>
  <si>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</si>
  <si>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</si>
  <si>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</si>
  <si>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</si>
  <si>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</si>
  <si>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</si>
  <si>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</si>
  <si>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</si>
  <si>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</si>
  <si>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</si>
  <si>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</si>
  <si>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</si>
  <si>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</si>
  <si>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</si>
  <si>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</si>
  <si>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</si>
  <si>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</si>
  <si>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</si>
  <si>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</si>
  <si>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</si>
  <si>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</si>
  <si>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</si>
  <si>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</si>
  <si>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</si>
  <si>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</si>
  <si>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</si>
  <si>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</si>
  <si>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</si>
  <si>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</si>
  <si>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</si>
  <si>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</si>
  <si>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</si>
  <si>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</si>
  <si>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</si>
  <si>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</si>
  <si>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</si>
  <si>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</si>
  <si>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</si>
  <si>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</si>
  <si>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</si>
  <si>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</si>
  <si>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</si>
  <si>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</si>
  <si>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</si>
  <si>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</si>
  <si>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</si>
  <si>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</si>
  <si>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</si>
  <si>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</si>
  <si>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</si>
  <si>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</si>
  <si>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</si>
  <si>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</si>
  <si>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</si>
  <si>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</si>
  <si>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</si>
  <si>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</si>
  <si>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</si>
  <si>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</si>
  <si>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</si>
  <si>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</si>
  <si>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</si>
  <si>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</si>
  <si>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</si>
  <si>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</si>
  <si>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</si>
  <si>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</si>
  <si>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</si>
  <si>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</si>
  <si>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</si>
  <si>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</si>
  <si>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</si>
  <si>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</si>
  <si>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</si>
  <si>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</si>
  <si>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</si>
  <si>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</si>
  <si>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</si>
  <si>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</si>
  <si>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</si>
  <si>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</si>
  <si>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</si>
  <si>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</si>
  <si>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</si>
  <si>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</si>
  <si>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</si>
  <si>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</si>
  <si>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</si>
  <si>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</si>
  <si>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</si>
  <si>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</si>
  <si>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</si>
  <si>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</si>
  <si>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</si>
  <si>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</si>
  <si>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</si>
  <si>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</si>
  <si>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</si>
  <si>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</si>
  <si>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</si>
  <si>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</si>
  <si>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</si>
  <si>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</si>
  <si>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</si>
  <si>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</si>
  <si>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</si>
  <si>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</si>
  <si>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</si>
  <si>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</si>
  <si>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</si>
  <si>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</si>
  <si>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</si>
  <si>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</si>
  <si>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</si>
  <si>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</si>
  <si>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</si>
  <si>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</si>
  <si>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</si>
  <si>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</si>
  <si>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</si>
  <si>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</si>
  <si>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</si>
  <si>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</si>
  <si>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</si>
  <si>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</si>
  <si>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</si>
  <si>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</si>
  <si>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</si>
  <si>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</si>
  <si>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</si>
  <si>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</si>
  <si>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</si>
  <si>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</si>
  <si>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</si>
  <si>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</si>
  <si>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</si>
  <si>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</si>
  <si>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</si>
  <si>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</si>
  <si>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</si>
  <si>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</si>
  <si>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</si>
  <si>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</si>
  <si>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</si>
  <si>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</si>
  <si>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</si>
  <si>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</si>
  <si>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</si>
  <si>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</si>
  <si>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</si>
  <si>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</si>
  <si>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</si>
  <si>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</si>
  <si>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</si>
  <si>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</si>
  <si>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</si>
  <si>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</si>
  <si>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</si>
  <si>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</si>
  <si>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</si>
  <si>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</si>
  <si>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</si>
  <si>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</si>
  <si>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</si>
  <si>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</si>
  <si>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</si>
  <si>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</si>
  <si>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</si>
  <si>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</si>
  <si>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</si>
  <si>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</si>
  <si>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</si>
  <si>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</si>
  <si>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</si>
  <si>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</si>
  <si>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</si>
  <si>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</si>
  <si>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</si>
  <si>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</si>
  <si>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</si>
  <si>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</si>
  <si>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</si>
  <si>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</si>
  <si>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</si>
  <si>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</si>
  <si>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</si>
  <si>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</si>
  <si>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</si>
  <si>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</si>
  <si>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</si>
  <si>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</si>
  <si>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</si>
  <si>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</si>
  <si>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</si>
  <si>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</si>
  <si>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</si>
  <si>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</si>
  <si>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</si>
  <si>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</si>
  <si>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</si>
  <si>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</si>
  <si>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</si>
  <si>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</si>
  <si>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</si>
  <si>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</si>
  <si>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</si>
  <si>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</si>
  <si>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</si>
  <si>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</si>
  <si>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</si>
  <si>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</si>
  <si>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</si>
  <si>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</si>
  <si>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</si>
  <si>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</si>
  <si>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</si>
  <si>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</si>
  <si>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</si>
  <si>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</si>
  <si>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</si>
  <si>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</si>
  <si>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</si>
  <si>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</si>
  <si>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</si>
  <si>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</si>
  <si>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</si>
  <si>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</si>
  <si>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</si>
  <si>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</si>
  <si>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</si>
  <si>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</si>
  <si>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</si>
  <si>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</si>
  <si>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</si>
  <si>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</si>
  <si>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</si>
  <si>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</si>
  <si>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</si>
  <si>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</si>
  <si>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</si>
  <si>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</si>
  <si>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</si>
  <si>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</si>
  <si>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</si>
  <si>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</si>
  <si>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</si>
  <si>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</si>
  <si>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</si>
  <si>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</si>
  <si>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</si>
  <si>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</si>
  <si>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</si>
  <si>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</si>
  <si>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</si>
  <si>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</si>
  <si>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</si>
  <si>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</si>
  <si>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</si>
  <si>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</si>
  <si>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</si>
  <si>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</si>
  <si>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</si>
  <si>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</si>
  <si>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</si>
  <si>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</si>
  <si>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</si>
  <si>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</si>
  <si>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</si>
  <si>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</si>
  <si>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</si>
  <si>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</si>
  <si>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</si>
  <si>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</si>
  <si>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</si>
  <si>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</si>
  <si>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</si>
  <si>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</si>
  <si>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</si>
  <si>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</si>
  <si>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</si>
  <si>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</si>
  <si>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</si>
  <si>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</si>
  <si>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</si>
  <si>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</si>
  <si>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</si>
  <si>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</si>
  <si>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</si>
  <si>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</si>
  <si>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</si>
  <si>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</si>
  <si>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</si>
  <si>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</si>
  <si>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</si>
  <si>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</si>
  <si>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</si>
  <si>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</si>
  <si>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</si>
  <si>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</si>
  <si>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</si>
  <si>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</si>
  <si>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</si>
  <si>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</si>
  <si>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</si>
  <si>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</si>
  <si>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</si>
  <si>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</si>
  <si>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</si>
  <si>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</si>
  <si>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</si>
  <si>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</si>
  <si>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</si>
  <si>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</si>
  <si>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</si>
  <si>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</si>
  <si>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</si>
  <si>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</si>
  <si>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</si>
  <si>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</si>
  <si>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</si>
  <si>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</si>
  <si>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</si>
  <si>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</si>
  <si>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</si>
  <si>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</si>
  <si>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</si>
  <si>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</si>
  <si>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</si>
  <si>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</si>
  <si>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</si>
  <si>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</si>
  <si>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</si>
  <si>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</si>
  <si>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</si>
  <si>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</si>
  <si>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</si>
  <si>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</si>
  <si>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</si>
  <si>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</si>
  <si>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</si>
  <si>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</si>
  <si>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</si>
  <si>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</si>
  <si>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</si>
  <si>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</si>
  <si>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</si>
  <si>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</si>
  <si>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</si>
  <si>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</si>
  <si>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</si>
  <si>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</si>
  <si>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</si>
  <si>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</si>
  <si>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</si>
  <si>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</si>
  <si>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</si>
  <si>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</si>
  <si>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</si>
  <si>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</si>
  <si>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</si>
  <si>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</si>
  <si>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</si>
  <si>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</si>
  <si>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</si>
  <si>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</si>
  <si>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</si>
  <si>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</si>
  <si>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</si>
  <si>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</si>
  <si>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</si>
  <si>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</si>
  <si>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</si>
  <si>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</si>
  <si>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</si>
  <si>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</si>
  <si>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</si>
  <si>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</si>
  <si>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</si>
  <si>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</si>
  <si>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</si>
  <si>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</si>
  <si>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</si>
  <si>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</si>
  <si>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</si>
  <si>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</si>
  <si>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</si>
  <si>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</si>
  <si>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</si>
  <si>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</si>
  <si>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</si>
  <si>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</si>
  <si>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</si>
  <si>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</si>
  <si>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</si>
  <si>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</si>
  <si>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</si>
  <si>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</si>
  <si>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</si>
  <si>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</si>
  <si>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</si>
  <si>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</si>
  <si>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</si>
  <si>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</si>
  <si>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</si>
  <si>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</si>
  <si>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</si>
  <si>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</si>
  <si>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</si>
  <si>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</si>
  <si>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</si>
  <si>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</si>
  <si>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</si>
  <si>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</si>
  <si>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</si>
  <si>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</si>
  <si>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</si>
  <si>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</si>
  <si>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</si>
  <si>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</si>
  <si>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</si>
  <si>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</si>
  <si>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</si>
  <si>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</si>
  <si>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</si>
  <si>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</si>
  <si>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</si>
  <si>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</si>
  <si>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</si>
  <si>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</si>
  <si>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</si>
  <si>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</si>
  <si>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</si>
  <si>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</si>
  <si>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</si>
  <si>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</si>
  <si>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</si>
  <si>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</si>
  <si>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</si>
  <si>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</si>
  <si>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</si>
  <si>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</si>
  <si>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</si>
  <si>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</si>
  <si>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</si>
  <si>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</si>
  <si>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</si>
  <si>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</si>
  <si>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</si>
  <si>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</si>
  <si>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</si>
  <si>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</si>
  <si>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</si>
  <si>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</si>
  <si>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</si>
  <si>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</si>
  <si>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</si>
  <si>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</si>
  <si>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</si>
  <si>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</si>
  <si>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</si>
  <si>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</si>
  <si>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</si>
  <si>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</si>
  <si>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</si>
  <si>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</si>
  <si>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</si>
  <si>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</si>
  <si>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</si>
  <si>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</si>
  <si>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</si>
  <si>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</si>
  <si>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</si>
  <si>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</si>
  <si>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</si>
  <si>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</si>
  <si>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</si>
  <si>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</si>
  <si>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</si>
  <si>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</si>
  <si>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</si>
  <si>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</si>
  <si>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</si>
  <si>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</si>
  <si>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</si>
  <si>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</si>
  <si>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</si>
  <si>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</si>
  <si>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</si>
  <si>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</si>
  <si>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</si>
  <si>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</si>
  <si>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</si>
  <si>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</si>
  <si>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</si>
  <si>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</si>
  <si>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</si>
  <si>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</si>
  <si>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</si>
  <si>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</si>
  <si>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</si>
  <si>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</si>
  <si>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</si>
  <si>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</si>
  <si>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</si>
  <si>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</si>
  <si>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</si>
  <si>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</si>
  <si>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</si>
  <si>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</si>
  <si>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</si>
  <si>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</si>
  <si>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</si>
  <si>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</si>
  <si>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</si>
  <si>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</si>
  <si>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</si>
  <si>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</si>
  <si>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</si>
  <si>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</si>
  <si>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</si>
  <si>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</si>
  <si>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</si>
  <si>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</si>
  <si>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</si>
  <si>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</si>
  <si>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</si>
  <si>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</si>
  <si>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</si>
  <si>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</si>
  <si>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</si>
  <si>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</si>
  <si>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</si>
  <si>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</si>
  <si>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</si>
  <si>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</si>
  <si>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</si>
  <si>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</si>
  <si>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</si>
  <si>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</si>
  <si>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</si>
  <si>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</si>
  <si>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</si>
  <si>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</si>
  <si>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</si>
  <si>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</si>
  <si>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</si>
  <si>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</si>
  <si>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</si>
  <si>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</si>
  <si>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</si>
  <si>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</si>
  <si>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</si>
  <si>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</si>
  <si>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</si>
  <si>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</si>
  <si>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</si>
  <si>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</si>
  <si>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</si>
  <si>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</si>
  <si>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</si>
  <si>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</si>
  <si>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</si>
  <si>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</si>
  <si>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</si>
  <si>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</si>
  <si>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</si>
  <si>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</si>
  <si>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</si>
  <si>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</si>
  <si>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</si>
  <si>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</si>
  <si>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</si>
  <si>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</si>
  <si>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</si>
  <si>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</si>
  <si>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</si>
  <si>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</si>
  <si>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</si>
  <si>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</si>
  <si>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</si>
  <si>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</si>
  <si>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</si>
  <si>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</si>
  <si>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</si>
  <si>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</si>
  <si>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</si>
  <si>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</si>
  <si>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</si>
  <si>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</si>
  <si>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</si>
  <si>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</si>
  <si>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</si>
  <si>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</si>
  <si>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</si>
  <si>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</si>
  <si>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</si>
  <si>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</si>
  <si>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</si>
  <si>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</si>
  <si>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</si>
  <si>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</si>
  <si>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</si>
  <si>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</si>
  <si>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</si>
  <si>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</si>
  <si>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</si>
  <si>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</si>
  <si>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</si>
  <si>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</si>
  <si>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</si>
  <si>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</si>
  <si>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</si>
  <si>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</si>
  <si>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</si>
  <si>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</si>
  <si>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</si>
  <si>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</si>
  <si>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</si>
  <si>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</si>
  <si>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</si>
  <si>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</si>
  <si>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</si>
  <si>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</si>
  <si>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</si>
  <si>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</si>
  <si>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</si>
  <si>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</si>
  <si>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</si>
  <si>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</si>
  <si>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</si>
  <si>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</si>
  <si>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</si>
  <si>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</si>
  <si>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</si>
  <si>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</si>
  <si>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</si>
  <si>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</si>
  <si>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</si>
  <si>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</si>
  <si>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</si>
  <si>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</si>
  <si>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</si>
  <si>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</si>
  <si>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</si>
  <si>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</si>
  <si>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</si>
  <si>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</si>
  <si>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</si>
  <si>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</si>
  <si>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</si>
  <si>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</si>
  <si>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</si>
  <si>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</si>
  <si>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</si>
  <si>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</si>
  <si>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</si>
  <si>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</si>
  <si>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</si>
  <si>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</si>
  <si>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</si>
  <si>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</si>
  <si>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</si>
  <si>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</si>
  <si>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</si>
  <si>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</si>
  <si>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</si>
  <si>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</si>
  <si>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</si>
  <si>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</si>
  <si>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</si>
  <si>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</si>
  <si>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</si>
  <si>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</si>
  <si>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</si>
  <si>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</si>
  <si>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</si>
  <si>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</si>
  <si>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</si>
  <si>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</si>
  <si>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</si>
  <si>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</si>
  <si>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</si>
  <si>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</si>
  <si>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</si>
  <si>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</si>
  <si>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</si>
  <si>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</si>
  <si>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</si>
  <si>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</si>
  <si>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</si>
  <si>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</si>
  <si>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</si>
  <si>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</si>
  <si>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</si>
  <si>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</si>
  <si>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</si>
  <si>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</si>
  <si>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</si>
  <si>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</si>
  <si>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</si>
  <si>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</si>
  <si>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</si>
  <si>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</si>
  <si>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</si>
  <si>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</si>
  <si>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</si>
  <si>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</si>
  <si>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</si>
  <si>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</si>
  <si>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</si>
  <si>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</si>
  <si>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</si>
  <si>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</si>
  <si>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</si>
  <si>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</si>
  <si>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</si>
  <si>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</si>
  <si>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</si>
  <si>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</si>
  <si>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</si>
  <si>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</si>
  <si>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</si>
  <si>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</si>
  <si>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</si>
  <si>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</si>
  <si>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</si>
  <si>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</si>
  <si>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</si>
  <si>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</si>
  <si>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</si>
  <si>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</si>
  <si>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</si>
  <si>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</si>
  <si>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</si>
  <si>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</si>
  <si>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</si>
  <si>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</si>
  <si>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</si>
  <si>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</si>
  <si>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</si>
  <si>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</si>
  <si>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</si>
  <si>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</si>
  <si>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</si>
  <si>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</si>
  <si>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</si>
  <si>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</si>
  <si>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</si>
  <si>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</si>
  <si>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</si>
  <si>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</si>
  <si>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</si>
  <si>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</si>
  <si>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</si>
  <si>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</si>
  <si>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</si>
  <si>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</si>
  <si>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</si>
  <si>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</si>
  <si>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</si>
  <si>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</si>
  <si>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</si>
  <si>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</si>
  <si>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</si>
  <si>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</si>
  <si>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</si>
  <si>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</si>
  <si>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</si>
  <si>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</si>
  <si>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</si>
  <si>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</si>
  <si>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</si>
  <si>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</si>
  <si>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</si>
  <si>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</si>
  <si>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</si>
  <si>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</si>
  <si>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</si>
  <si>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</si>
  <si>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</si>
  <si>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</si>
  <si>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</si>
  <si>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</si>
  <si>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</si>
  <si>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</si>
  <si>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</si>
  <si>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</si>
  <si>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</si>
  <si>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</si>
  <si>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</si>
  <si>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</si>
  <si>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</si>
  <si>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</si>
  <si>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</si>
  <si>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</si>
  <si>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</si>
  <si>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</si>
  <si>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</si>
  <si>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</si>
  <si>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</si>
  <si>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</si>
  <si>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</si>
  <si>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</si>
  <si>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</si>
  <si>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</si>
  <si>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</si>
  <si>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</si>
  <si>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</si>
  <si>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</si>
  <si>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</si>
  <si>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</si>
  <si>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</si>
  <si>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</si>
  <si>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</si>
  <si>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</si>
  <si>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</si>
  <si>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</si>
  <si>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</si>
  <si>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</si>
  <si>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</si>
  <si>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</si>
  <si>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</si>
  <si>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</si>
  <si>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</si>
  <si>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</si>
  <si>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</si>
  <si>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</si>
  <si>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</si>
  <si>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</si>
  <si>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</si>
  <si>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</si>
  <si>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</si>
  <si>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</si>
  <si>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</si>
  <si>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</si>
  <si>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</si>
  <si>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</si>
  <si>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</si>
  <si>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</si>
  <si>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</si>
  <si>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</si>
  <si>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</si>
  <si>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</si>
  <si>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</si>
  <si>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</si>
  <si>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</si>
  <si>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</si>
  <si>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</si>
  <si>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</si>
  <si>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</si>
  <si>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</si>
  <si>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</si>
  <si>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</si>
  <si>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</si>
  <si>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</si>
  <si>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</si>
  <si>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</si>
  <si>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</si>
  <si>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</si>
  <si>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</si>
  <si>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</si>
  <si>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</si>
  <si>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</si>
  <si>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</si>
  <si>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</si>
  <si>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</si>
  <si>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</si>
  <si>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</si>
  <si>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</si>
  <si>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</si>
  <si>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</si>
  <si>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</si>
  <si>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</si>
  <si>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</si>
  <si>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</si>
  <si>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</si>
  <si>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</si>
  <si>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</si>
  <si>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</si>
  <si>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</si>
  <si>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</si>
  <si>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</si>
  <si>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</si>
  <si>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</si>
  <si>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</si>
  <si>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</si>
  <si>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</si>
  <si>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</si>
  <si>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</si>
  <si>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</si>
  <si>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</si>
  <si>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</si>
  <si>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</si>
  <si>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</si>
  <si>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</si>
  <si>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</si>
  <si>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</si>
  <si>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</si>
  <si>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</si>
  <si>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</si>
  <si>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</si>
  <si>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</si>
  <si>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</si>
  <si>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</si>
  <si>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</si>
  <si>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</si>
  <si>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</si>
  <si>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</si>
  <si>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</si>
  <si>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</si>
  <si>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</si>
  <si>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</si>
  <si>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</si>
  <si>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</si>
  <si>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</si>
  <si>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</si>
  <si>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</si>
  <si>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</si>
  <si>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</si>
  <si>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</si>
  <si>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</si>
  <si>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</si>
  <si>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</si>
  <si>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</si>
  <si>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</si>
  <si>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</si>
  <si>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</si>
  <si>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</si>
  <si>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</si>
  <si>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</si>
  <si>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</si>
  <si>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</si>
  <si>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</si>
  <si>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</si>
  <si>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</si>
  <si>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</si>
  <si>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</si>
  <si>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</si>
  <si>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</si>
  <si>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</si>
  <si>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</si>
  <si>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</si>
  <si>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</si>
  <si>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</si>
  <si>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</si>
  <si>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</si>
  <si>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</si>
  <si>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</si>
  <si>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</si>
  <si>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</si>
  <si>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</si>
  <si>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</si>
  <si>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</si>
  <si>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</si>
  <si>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</si>
  <si>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</si>
  <si>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</si>
  <si>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</si>
  <si>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</si>
  <si>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</si>
  <si>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</si>
  <si>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</si>
  <si>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</si>
  <si>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</si>
  <si>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</si>
  <si>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</si>
  <si>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</si>
  <si>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</si>
  <si>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</si>
  <si>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</si>
  <si>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</si>
  <si>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</si>
  <si>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</si>
  <si>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</si>
  <si>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</si>
  <si>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</si>
  <si>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</si>
  <si>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</si>
  <si>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</si>
  <si>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</si>
  <si>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</si>
  <si>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</si>
  <si>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</si>
  <si>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</si>
  <si>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</si>
  <si>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</si>
  <si>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</si>
  <si>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</si>
  <si>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</si>
  <si>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</si>
  <si>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</si>
  <si>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</si>
  <si>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</si>
  <si>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</si>
  <si>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</si>
  <si>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</si>
  <si>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</si>
  <si>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</si>
  <si>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</si>
  <si>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</si>
  <si>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</si>
  <si>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</si>
  <si>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</si>
  <si>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</si>
  <si>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</si>
  <si>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</si>
  <si>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</si>
  <si>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</si>
  <si>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</si>
  <si>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</si>
  <si>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</si>
  <si>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</si>
  <si>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</si>
  <si>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</si>
  <si>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</si>
  <si>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</si>
  <si>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</si>
  <si>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</si>
  <si>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</si>
  <si>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</si>
  <si>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</si>
  <si>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</si>
  <si>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</si>
  <si>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</si>
  <si>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</si>
  <si>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</si>
  <si>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</si>
  <si>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</si>
  <si>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</si>
  <si>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</si>
  <si>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</si>
  <si>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</si>
  <si>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</si>
  <si>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</si>
  <si>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</si>
  <si>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</si>
  <si>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</si>
  <si>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</si>
  <si>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</si>
  <si>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</si>
  <si>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</si>
  <si>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</si>
  <si>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</si>
  <si>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</si>
  <si>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</si>
  <si>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</si>
  <si>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</si>
  <si>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</si>
  <si>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</si>
  <si>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</si>
  <si>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</si>
  <si>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</si>
  <si>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</si>
  <si>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</si>
  <si>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</si>
  <si>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</si>
  <si>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</si>
  <si>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</si>
  <si>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</si>
  <si>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</si>
  <si>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</si>
  <si>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</si>
  <si>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</si>
  <si>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</si>
  <si>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</si>
  <si>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</si>
  <si>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</si>
  <si>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</si>
  <si>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</si>
  <si>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</si>
  <si>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</si>
  <si>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</si>
  <si>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</si>
  <si>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</si>
  <si>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</si>
  <si>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</si>
  <si>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</si>
  <si>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</si>
  <si>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</si>
  <si>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</si>
  <si>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</si>
  <si>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</si>
  <si>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</si>
  <si>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</si>
  <si>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</si>
  <si>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</si>
  <si>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</si>
  <si>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</si>
  <si>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</si>
  <si>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</si>
  <si>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</si>
  <si>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</si>
  <si>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</si>
  <si>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</si>
  <si>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</si>
  <si>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</si>
  <si>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</si>
  <si>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</si>
  <si>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</si>
  <si>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</si>
  <si>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</si>
  <si>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</si>
  <si>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</si>
  <si>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</si>
  <si>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</si>
  <si>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</si>
  <si>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</si>
  <si>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</si>
  <si>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</si>
  <si>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</si>
  <si>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</si>
  <si>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</si>
  <si>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</si>
  <si>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</si>
  <si>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</si>
  <si>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</si>
  <si>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</si>
  <si>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</si>
  <si>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</si>
  <si>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</si>
  <si>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</si>
  <si>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</si>
  <si>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</si>
  <si>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</si>
  <si>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</si>
  <si>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</si>
  <si>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</si>
  <si>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</si>
  <si>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</si>
  <si>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</si>
  <si>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</si>
  <si>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</si>
  <si>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</si>
  <si>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</si>
  <si>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</si>
  <si>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</si>
  <si>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</si>
  <si>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</si>
  <si>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</si>
  <si>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</si>
  <si>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</si>
  <si>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</si>
  <si>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</si>
  <si>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</si>
  <si>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</si>
  <si>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</si>
  <si>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</si>
  <si>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</si>
  <si>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</si>
  <si>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</si>
  <si>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</si>
  <si>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</si>
  <si>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</si>
  <si>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</si>
  <si>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</si>
  <si>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</si>
  <si>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</si>
  <si>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</si>
  <si>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</si>
  <si>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</si>
  <si>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</si>
  <si>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</si>
  <si>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</si>
  <si>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</si>
  <si>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</si>
  <si>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</si>
  <si>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</si>
  <si>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</si>
  <si>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</si>
  <si>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</si>
  <si>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</si>
  <si>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</si>
  <si>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</si>
  <si>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</si>
  <si>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</si>
  <si>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</si>
  <si>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</si>
  <si>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</si>
  <si>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</si>
  <si>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</si>
  <si>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</si>
  <si>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Madison</t>
  </si>
  <si>
    <t>501 East Lorena</t>
  </si>
  <si>
    <t xml:space="preserve">Wood River </t>
  </si>
  <si>
    <t>Dr. Patrick Anderson</t>
  </si>
  <si>
    <t>panderson@wh#15.org</t>
  </si>
  <si>
    <t>(618)254-0607</t>
  </si>
  <si>
    <t>Greg M. McCalley &amp; Associates, P.C.</t>
  </si>
  <si>
    <t xml:space="preserve">Greg M. McCalley  </t>
  </si>
  <si>
    <t>855 East Ferguson Ave.</t>
  </si>
  <si>
    <t>Wood River</t>
  </si>
  <si>
    <t>IL</t>
  </si>
  <si>
    <t>(618)254-8188</t>
  </si>
  <si>
    <t>(618)254-8680</t>
  </si>
  <si>
    <t>060-009547</t>
  </si>
  <si>
    <t>Greg@dmacpa.com</t>
  </si>
  <si>
    <t>Series 2009</t>
  </si>
  <si>
    <t>3 &amp; 4</t>
  </si>
  <si>
    <t>Series 2016A</t>
  </si>
  <si>
    <t>Series 2016B</t>
  </si>
  <si>
    <t>The Bank of Edwardsville</t>
  </si>
  <si>
    <t>Region III</t>
  </si>
  <si>
    <t>Lease Purchase</t>
  </si>
  <si>
    <t>Page 10, Line 17, Column ( C ), Other Payments In Lieu of Taxes</t>
  </si>
  <si>
    <t>Pilot</t>
  </si>
  <si>
    <t>Page 10, Line 17, Column ( D ), Other Payments In Lieu of Taxes</t>
  </si>
  <si>
    <t>Page 11, Line 74, Other Food Services</t>
  </si>
  <si>
    <t>Fuel Up to Play</t>
  </si>
  <si>
    <t>Page 12, Line 107, Column ( C ), Other Local Revenue</t>
  </si>
  <si>
    <t>Flex Plan</t>
  </si>
  <si>
    <t>Overpayment</t>
  </si>
  <si>
    <t>Recycling</t>
  </si>
  <si>
    <t>Miscellaneous</t>
  </si>
  <si>
    <t>Page 12, Line 107, Column ( D ), Other Local Revenue</t>
  </si>
  <si>
    <t>Erate</t>
  </si>
  <si>
    <t>Page 19, Line 171, Debt Service-Other</t>
  </si>
  <si>
    <t>Bond Service Fees</t>
  </si>
  <si>
    <t>Page 66, Line 39 &amp; 40</t>
  </si>
  <si>
    <t>Payment of Bond Principals</t>
  </si>
  <si>
    <t>Of the federal expenditures presented in the schedule, Wood River-Hartford School District #15 provided federal awards to subrecipients as follows:</t>
  </si>
  <si>
    <t>None</t>
  </si>
  <si>
    <t xml:space="preserve">U. S. Department of Education </t>
  </si>
  <si>
    <t>Passed Throogh I. S. B. E.</t>
  </si>
  <si>
    <t xml:space="preserve">  Title I-Low Income </t>
  </si>
  <si>
    <t>2017-4300</t>
  </si>
  <si>
    <t>2018-4300</t>
  </si>
  <si>
    <t xml:space="preserve">  Title II-Teacher Quality</t>
  </si>
  <si>
    <t>2017-4932</t>
  </si>
  <si>
    <t>2018-4932</t>
  </si>
  <si>
    <t xml:space="preserve">   Total U. S. Department of </t>
  </si>
  <si>
    <t xml:space="preserve">    Education Passed Through I. S. B. E.</t>
  </si>
  <si>
    <t>Passed Through Region III</t>
  </si>
  <si>
    <t xml:space="preserve">  IDEA-Sp.Ed.-Pre-School</t>
  </si>
  <si>
    <t>2017-4600</t>
  </si>
  <si>
    <t>2018-4600</t>
  </si>
  <si>
    <t xml:space="preserve">  IDEA-Sp.Ed.-Grant-In-Aid</t>
  </si>
  <si>
    <t>2017-4620</t>
  </si>
  <si>
    <t>2018-4620</t>
  </si>
  <si>
    <t xml:space="preserve">   Total U. S. Department of Education</t>
  </si>
  <si>
    <t xml:space="preserve">   Passed Through Region III</t>
  </si>
  <si>
    <t>U. S. Department of Education Passed</t>
  </si>
  <si>
    <t xml:space="preserve">Through Madison County Regional </t>
  </si>
  <si>
    <t>Office of Education</t>
  </si>
  <si>
    <t xml:space="preserve">   McKinney-Vento Grant</t>
  </si>
  <si>
    <t>2018-4920</t>
  </si>
  <si>
    <t>N/A</t>
  </si>
  <si>
    <t xml:space="preserve">    Total U. S. Department of Education</t>
  </si>
  <si>
    <t>U. S. Department of Health &amp; Human</t>
  </si>
  <si>
    <t xml:space="preserve">Services Passed Through Healthcare </t>
  </si>
  <si>
    <t>and Family Services</t>
  </si>
  <si>
    <t>2017-4991</t>
  </si>
  <si>
    <t>2018-4991</t>
  </si>
  <si>
    <t xml:space="preserve">   Total U. S. Department of Health</t>
  </si>
  <si>
    <t xml:space="preserve">   &amp; Human Service</t>
  </si>
  <si>
    <t>U. S. Department of Agriculture</t>
  </si>
  <si>
    <t>Passed Through I. S. B. E.</t>
  </si>
  <si>
    <t xml:space="preserve">  National School Lunch ( M )</t>
  </si>
  <si>
    <t>10-555</t>
  </si>
  <si>
    <t>2017-4210</t>
  </si>
  <si>
    <t>2018-4610</t>
  </si>
  <si>
    <t xml:space="preserve">  National School Breakfast ( M )</t>
  </si>
  <si>
    <t>2017-4220</t>
  </si>
  <si>
    <t>2018-422</t>
  </si>
  <si>
    <t xml:space="preserve">  National School Lunch (Non-Cash) (M)</t>
  </si>
  <si>
    <t xml:space="preserve">  Department of Defense Fresh Fruit</t>
  </si>
  <si>
    <t xml:space="preserve">   &amp; Vegetable ( M)</t>
  </si>
  <si>
    <t xml:space="preserve">   Total U. S. Department of Agriculture</t>
  </si>
  <si>
    <t xml:space="preserve">   Total</t>
  </si>
  <si>
    <t>Unmodified</t>
  </si>
  <si>
    <t>Child Nutrition Cluster</t>
  </si>
  <si>
    <t>Ed-Support Service-Purchased Service</t>
  </si>
  <si>
    <t>The Burgett Group</t>
  </si>
  <si>
    <t>Donohoo, McCalley &amp; Associate, P.C.</t>
  </si>
  <si>
    <t>Becher, Hoener, Tompson &amp; Ysuosa</t>
  </si>
  <si>
    <t>Ed-Non-Programmed-Purchased Service</t>
  </si>
  <si>
    <t>Special Education Region III</t>
  </si>
  <si>
    <t xml:space="preserve">  Administrative Outreach</t>
  </si>
  <si>
    <r>
      <t>The accompanying Schedule of Expenditures of Federal Awards includes the federal grant activity of Wood River-Hartford School District #15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</si>
  <si>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t>105.55 &amp; 105.53</t>
  </si>
  <si>
    <t>Preceeds for New lease Loan</t>
  </si>
  <si>
    <t>Wood River-Hartford ESD 15</t>
  </si>
  <si>
    <t>10-2300-300</t>
  </si>
  <si>
    <t>10-4000-300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</si>
</sst>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9" applyNumberFormat="1" applyFont="1"/>
    <xf numFmtId="181" fontId="55" fillId="0" borderId="166" xfId="19" applyNumberFormat="1" applyFont="1" applyBorder="1"/>
    <xf numFmtId="182" fontId="55" fillId="0" borderId="0" xfId="1" applyNumberFormat="1" applyFont="1"/>
    <xf numFmtId="182" fontId="55" fillId="0" borderId="78" xfId="1" applyNumberFormat="1" applyFont="1" applyBorder="1"/>
    <xf numFmtId="181" fontId="55" fillId="0" borderId="167" xfId="19" applyNumberFormat="1" applyFont="1" applyBorder="1"/>
    <xf numFmtId="3" fontId="86" fillId="0" borderId="22" xfId="3" applyNumberFormat="1" applyFont="1" applyBorder="1" applyAlignment="1" applyProtection="1">
      <alignment horizontal="left" vertical="center" wrapText="1"/>
      <protection locked="0"/>
    </xf>
    <xf numFmtId="169" fontId="86" fillId="0" borderId="8" xfId="3" applyNumberFormat="1" applyFont="1" applyBorder="1" applyAlignment="1" applyProtection="1">
      <alignment horizontal="center"/>
      <protection locked="0"/>
    </xf>
    <xf numFmtId="1" fontId="86" fillId="0" borderId="8" xfId="3" applyNumberFormat="1" applyFont="1" applyBorder="1" applyAlignment="1" applyProtection="1">
      <alignment horizontal="center"/>
      <protection locked="0"/>
    </xf>
    <xf numFmtId="3" fontId="86" fillId="0" borderId="8" xfId="3" applyNumberFormat="1" applyFont="1" applyBorder="1" applyAlignment="1" applyProtection="1">
      <alignment horizontal="center"/>
      <protection locked="0"/>
    </xf>
    <xf numFmtId="169" fontId="86" fillId="0" borderId="22" xfId="3" applyNumberFormat="1" applyFont="1" applyBorder="1" applyAlignment="1" applyProtection="1">
      <alignment horizontal="center"/>
      <protection locked="0"/>
    </xf>
    <xf numFmtId="1" fontId="86" fillId="0" borderId="22" xfId="3" applyNumberFormat="1" applyFont="1" applyBorder="1" applyAlignment="1" applyProtection="1">
      <alignment horizontal="center"/>
      <protection locked="0"/>
    </xf>
    <xf numFmtId="3" fontId="86" fillId="0" borderId="22" xfId="3" applyNumberFormat="1" applyFont="1" applyBorder="1" applyAlignment="1" applyProtection="1">
      <alignment horizontal="center"/>
      <protection locked="0"/>
    </xf>
    <xf numFmtId="3" fontId="86" fillId="0" borderId="168" xfId="3" applyNumberFormat="1" applyFont="1" applyBorder="1" applyAlignment="1" applyProtection="1">
      <alignment horizontal="center"/>
      <protection locked="0"/>
    </xf>
    <xf numFmtId="3" fontId="86" fillId="0" borderId="169" xfId="3" applyNumberFormat="1" applyFont="1" applyBorder="1" applyAlignment="1" applyProtection="1">
      <alignment horizontal="center"/>
      <protection locked="0"/>
    </xf>
    <xf numFmtId="3" fontId="86" fillId="0" borderId="170"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5</xdr:row>
          <xdr:rowOff>142875</xdr:rowOff>
        </xdr:from>
        <xdr:to>
          <xdr:col>1</xdr:col>
          <xdr:colOff>1247775</xdr:colOff>
          <xdr:row>10</xdr:row>
          <xdr:rowOff>19050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6</xdr:row>
          <xdr:rowOff>28575</xdr:rowOff>
        </xdr:from>
        <xdr:to>
          <xdr:col>1</xdr:col>
          <xdr:colOff>2771775</xdr:colOff>
          <xdr:row>10</xdr:row>
          <xdr:rowOff>66675</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5</xdr:row>
          <xdr:rowOff>9525</xdr:rowOff>
        </xdr:from>
        <xdr:to>
          <xdr:col>3</xdr:col>
          <xdr:colOff>152400</xdr:colOff>
          <xdr:row>9</xdr:row>
          <xdr:rowOff>47625</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Microsoft_Word_97_-_2003_Document.doc"/><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3" t="s">
        <v>424</v>
      </c>
      <c r="J1" s="2004"/>
      <c r="K1" s="2004"/>
      <c r="L1" s="2004"/>
      <c r="M1" s="2004"/>
      <c r="N1" s="2004"/>
      <c r="O1" s="2004"/>
      <c r="P1" s="2004"/>
      <c r="Q1" s="2004"/>
      <c r="R1" s="2004"/>
      <c r="S1" s="2004"/>
    </row>
    <row r="2" spans="1:28" ht="12" customHeight="1" x14ac:dyDescent="0.2">
      <c r="A2" s="47" t="s">
        <v>1683</v>
      </c>
      <c r="D2" s="48"/>
      <c r="I2" s="2005" t="s">
        <v>1035</v>
      </c>
      <c r="J2" s="2004"/>
      <c r="K2" s="2004"/>
      <c r="L2" s="2004"/>
      <c r="M2" s="2004"/>
      <c r="N2" s="2004"/>
      <c r="O2" s="2004"/>
      <c r="P2" s="2004"/>
      <c r="Q2" s="2004"/>
      <c r="R2" s="2004"/>
      <c r="S2" s="2004"/>
    </row>
    <row r="3" spans="1:28" ht="12" customHeight="1" x14ac:dyDescent="0.2">
      <c r="A3" s="155" t="s">
        <v>1684</v>
      </c>
      <c r="B3" s="156"/>
      <c r="C3" s="156"/>
      <c r="D3" s="157"/>
      <c r="I3" s="2005" t="s">
        <v>54</v>
      </c>
      <c r="J3" s="2004"/>
      <c r="K3" s="2004"/>
      <c r="L3" s="2004"/>
      <c r="M3" s="2004"/>
      <c r="N3" s="2004"/>
      <c r="O3" s="2004"/>
      <c r="P3" s="2004"/>
      <c r="Q3" s="2004"/>
      <c r="R3" s="2004"/>
      <c r="S3" s="2004"/>
    </row>
    <row r="4" spans="1:28" ht="12" customHeight="1" x14ac:dyDescent="0.2">
      <c r="A4" s="37"/>
      <c r="I4" s="2005" t="s">
        <v>544</v>
      </c>
      <c r="J4" s="2004"/>
      <c r="K4" s="2004"/>
      <c r="L4" s="2004"/>
      <c r="M4" s="2004"/>
      <c r="N4" s="2004"/>
      <c r="O4" s="2004"/>
      <c r="P4" s="2004"/>
      <c r="Q4" s="2004"/>
      <c r="R4" s="2004"/>
      <c r="S4" s="2004"/>
    </row>
    <row r="5" spans="1:28" ht="14.1" customHeight="1" x14ac:dyDescent="0.2">
      <c r="B5" s="104" t="s">
        <v>2074</v>
      </c>
      <c r="C5" s="26" t="s">
        <v>965</v>
      </c>
      <c r="D5" s="84"/>
      <c r="E5" s="84"/>
      <c r="H5" s="38"/>
      <c r="I5" s="2013" t="s">
        <v>700</v>
      </c>
      <c r="J5" s="2012"/>
      <c r="K5" s="2012"/>
      <c r="L5" s="2012"/>
      <c r="M5" s="2012"/>
      <c r="N5" s="2012"/>
      <c r="O5" s="2012"/>
      <c r="P5" s="2012"/>
      <c r="Q5" s="2012"/>
      <c r="R5" s="2012"/>
      <c r="S5" s="2012"/>
    </row>
    <row r="6" spans="1:28" ht="14.1" customHeight="1" x14ac:dyDescent="0.2">
      <c r="B6" s="104"/>
      <c r="C6" s="26" t="s">
        <v>966</v>
      </c>
      <c r="D6" s="84"/>
      <c r="E6" s="84"/>
      <c r="I6" s="2011" t="s">
        <v>937</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694</v>
      </c>
      <c r="J9" s="2009"/>
      <c r="K9" s="2009"/>
      <c r="L9" s="2009"/>
      <c r="M9" s="2009"/>
      <c r="N9" s="2009"/>
      <c r="O9" s="2009"/>
      <c r="P9" s="2009"/>
      <c r="Q9" s="2009"/>
      <c r="R9" s="2009"/>
      <c r="S9" s="2010"/>
      <c r="T9" s="2024" t="s">
        <v>553</v>
      </c>
      <c r="U9" s="2025"/>
      <c r="V9" s="2025"/>
      <c r="W9" s="2025"/>
      <c r="X9" s="2025"/>
      <c r="Y9" s="2025"/>
      <c r="Z9" s="2025"/>
      <c r="AA9" s="2026"/>
    </row>
    <row r="10" spans="1:28" ht="13.5" customHeight="1" x14ac:dyDescent="0.2">
      <c r="A10" s="2031" t="s">
        <v>695</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1011</v>
      </c>
      <c r="B11" s="2035"/>
      <c r="C11" s="2035"/>
      <c r="D11" s="2035"/>
      <c r="E11" s="2035"/>
      <c r="F11" s="2035"/>
      <c r="G11" s="2035"/>
      <c r="H11" s="2036"/>
      <c r="I11" s="27"/>
      <c r="J11" s="74"/>
      <c r="K11" s="27"/>
      <c r="O11" s="148" t="s">
        <v>2074</v>
      </c>
      <c r="P11" s="100" t="s">
        <v>210</v>
      </c>
      <c r="Q11" s="30"/>
      <c r="R11" s="28"/>
      <c r="S11" s="27"/>
      <c r="T11" s="2028"/>
      <c r="U11" s="2029"/>
      <c r="V11" s="2029"/>
      <c r="W11" s="2029"/>
      <c r="X11" s="2029"/>
      <c r="Y11" s="2029"/>
      <c r="Z11" s="2029"/>
      <c r="AA11" s="203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8">
        <v>41057015003</v>
      </c>
      <c r="B13" s="2039"/>
      <c r="C13" s="2039"/>
      <c r="D13" s="2039"/>
      <c r="E13" s="2039"/>
      <c r="F13" s="2039"/>
      <c r="G13" s="2039"/>
      <c r="H13" s="2040"/>
      <c r="I13" s="31"/>
      <c r="J13" s="30"/>
      <c r="K13" s="28"/>
      <c r="L13" s="30"/>
      <c r="M13" s="30"/>
      <c r="N13" s="30"/>
      <c r="O13" s="30"/>
      <c r="P13" s="30"/>
      <c r="Q13" s="30"/>
      <c r="R13" s="30"/>
      <c r="S13" s="30"/>
      <c r="T13" s="2043" t="s">
        <v>2081</v>
      </c>
      <c r="U13" s="2044"/>
      <c r="V13" s="2044"/>
      <c r="W13" s="2044"/>
      <c r="X13" s="2044"/>
      <c r="Y13" s="2045"/>
      <c r="Z13" s="2045"/>
      <c r="AA13" s="204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7" t="s">
        <v>2075</v>
      </c>
      <c r="B15" s="2041"/>
      <c r="C15" s="2041"/>
      <c r="D15" s="2041"/>
      <c r="E15" s="2041"/>
      <c r="F15" s="2041"/>
      <c r="G15" s="2041"/>
      <c r="H15" s="2042"/>
      <c r="T15" s="2047" t="s">
        <v>2082</v>
      </c>
      <c r="U15" s="1991"/>
      <c r="V15" s="1991"/>
      <c r="W15" s="1991"/>
      <c r="X15" s="1991"/>
      <c r="Y15" s="2048"/>
      <c r="Z15" s="2048"/>
      <c r="AA15" s="204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7" t="s">
        <v>2174</v>
      </c>
      <c r="B17" s="1998"/>
      <c r="C17" s="1998"/>
      <c r="D17" s="1998"/>
      <c r="E17" s="1998"/>
      <c r="F17" s="1998"/>
      <c r="G17" s="1998"/>
      <c r="H17" s="2023"/>
      <c r="T17" s="2054" t="s">
        <v>2083</v>
      </c>
      <c r="U17" s="2055"/>
      <c r="V17" s="2055"/>
      <c r="W17" s="2055"/>
      <c r="X17" s="2055"/>
      <c r="Y17" s="2055"/>
      <c r="Z17" s="2055"/>
      <c r="AA17" s="2056"/>
    </row>
    <row r="18" spans="1:27" ht="13.5" customHeight="1" x14ac:dyDescent="0.2">
      <c r="A18" s="85" t="s">
        <v>550</v>
      </c>
      <c r="B18" s="76"/>
      <c r="C18" s="72"/>
      <c r="D18" s="76"/>
      <c r="E18" s="76"/>
      <c r="F18" s="76"/>
      <c r="G18" s="76"/>
      <c r="H18" s="56"/>
      <c r="I18" s="2022" t="s">
        <v>696</v>
      </c>
      <c r="J18" s="1973"/>
      <c r="K18" s="1973"/>
      <c r="L18" s="1973"/>
      <c r="M18" s="1973"/>
      <c r="N18" s="1973"/>
      <c r="O18" s="1973"/>
      <c r="P18" s="1973"/>
      <c r="Q18" s="1973"/>
      <c r="R18" s="1973"/>
      <c r="S18" s="1974"/>
      <c r="T18" s="85" t="s">
        <v>734</v>
      </c>
      <c r="U18" s="51"/>
      <c r="V18" s="72"/>
      <c r="W18" s="50"/>
      <c r="X18" s="85" t="s">
        <v>283</v>
      </c>
      <c r="Y18" s="81"/>
      <c r="Z18" s="159" t="s">
        <v>697</v>
      </c>
      <c r="AA18" s="46"/>
    </row>
    <row r="19" spans="1:27" ht="13.5" customHeight="1" x14ac:dyDescent="0.2">
      <c r="A19" s="2037" t="s">
        <v>2076</v>
      </c>
      <c r="B19" s="1983"/>
      <c r="C19" s="1983"/>
      <c r="D19" s="1983"/>
      <c r="E19" s="1983"/>
      <c r="F19" s="1983"/>
      <c r="G19" s="1983"/>
      <c r="H19" s="1963"/>
      <c r="I19" s="30"/>
      <c r="J19" s="99"/>
      <c r="K19" s="40"/>
      <c r="L19" s="38"/>
      <c r="M19" s="112" t="s">
        <v>332</v>
      </c>
      <c r="P19" s="27"/>
      <c r="Q19" s="27"/>
      <c r="R19" s="27"/>
      <c r="S19" s="31"/>
      <c r="T19" s="2037" t="s">
        <v>2084</v>
      </c>
      <c r="U19" s="1962"/>
      <c r="V19" s="1962"/>
      <c r="W19" s="1963"/>
      <c r="X19" s="2052" t="s">
        <v>2085</v>
      </c>
      <c r="Y19" s="2053"/>
      <c r="Z19" s="2050">
        <v>62095</v>
      </c>
      <c r="AA19" s="205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1" t="s">
        <v>2077</v>
      </c>
      <c r="B21" s="1962"/>
      <c r="C21" s="1962"/>
      <c r="D21" s="1962"/>
      <c r="E21" s="1962"/>
      <c r="F21" s="1962"/>
      <c r="G21" s="1962"/>
      <c r="H21" s="1963"/>
      <c r="I21" s="2017" t="s">
        <v>698</v>
      </c>
      <c r="J21" s="2012"/>
      <c r="K21" s="2012"/>
      <c r="L21" s="2012"/>
      <c r="M21" s="2012"/>
      <c r="N21" s="2012"/>
      <c r="O21" s="2012"/>
      <c r="P21" s="2012"/>
      <c r="Q21" s="2012"/>
      <c r="R21" s="2012"/>
      <c r="S21" s="2018"/>
      <c r="T21" s="2061" t="s">
        <v>2086</v>
      </c>
      <c r="U21" s="2062"/>
      <c r="V21" s="2062"/>
      <c r="W21" s="2062"/>
      <c r="X21" s="2067" t="s">
        <v>2087</v>
      </c>
      <c r="Y21" s="2068"/>
      <c r="Z21" s="2068"/>
      <c r="AA21" s="2069"/>
    </row>
    <row r="22" spans="1:27" ht="13.5" customHeight="1" x14ac:dyDescent="0.2">
      <c r="A22" s="87" t="s">
        <v>551</v>
      </c>
      <c r="B22" s="59"/>
      <c r="C22" s="59"/>
      <c r="D22" s="59"/>
      <c r="E22" s="59"/>
      <c r="F22" s="59"/>
      <c r="G22" s="59"/>
      <c r="H22" s="60"/>
      <c r="I22" s="2019" t="s">
        <v>1503</v>
      </c>
      <c r="J22" s="2020"/>
      <c r="K22" s="2020"/>
      <c r="L22" s="2020"/>
      <c r="M22" s="2020"/>
      <c r="N22" s="2020"/>
      <c r="O22" s="2020"/>
      <c r="P22" s="2020"/>
      <c r="Q22" s="2020"/>
      <c r="R22" s="2020"/>
      <c r="S22" s="2021"/>
      <c r="T22" s="85" t="s">
        <v>1595</v>
      </c>
      <c r="U22" s="51"/>
      <c r="V22" s="72"/>
      <c r="W22" s="51"/>
      <c r="X22" s="160" t="s">
        <v>1384</v>
      </c>
      <c r="Z22" s="45"/>
      <c r="AA22" s="46"/>
    </row>
    <row r="23" spans="1:27" ht="13.5" customHeight="1" x14ac:dyDescent="0.2">
      <c r="A23" s="2014"/>
      <c r="B23" s="2015"/>
      <c r="C23" s="2015"/>
      <c r="D23" s="2015"/>
      <c r="E23" s="2015"/>
      <c r="F23" s="2015"/>
      <c r="G23" s="2015"/>
      <c r="H23" s="2016"/>
      <c r="T23" s="1997" t="s">
        <v>2088</v>
      </c>
      <c r="U23" s="2060"/>
      <c r="V23" s="2060"/>
      <c r="W23" s="2060"/>
      <c r="X23" s="2064">
        <v>44469</v>
      </c>
      <c r="Y23" s="2065"/>
      <c r="Z23" s="2065"/>
      <c r="AA23" s="2066"/>
    </row>
    <row r="24" spans="1:27" ht="14.1" customHeight="1" x14ac:dyDescent="0.2">
      <c r="A24" s="88" t="s">
        <v>697</v>
      </c>
      <c r="B24" s="49"/>
      <c r="C24" s="49"/>
      <c r="D24" s="49"/>
      <c r="E24" s="49"/>
      <c r="F24" s="49"/>
      <c r="G24" s="49"/>
      <c r="H24" s="61"/>
      <c r="J24" s="1984">
        <f>IF(B5="x",IF(AUDITCHECK!D29="AFR form Incomplete.","",IF(AUDITCHECK!D29="Deficit reduction plan is required.","School District must complete a deficit reduction plan in the 2018-2019 Budget",)),"")</f>
        <v>0</v>
      </c>
      <c r="K24" s="1984"/>
      <c r="L24" s="1984"/>
      <c r="M24" s="1984"/>
      <c r="N24" s="1984"/>
      <c r="O24" s="1984"/>
      <c r="P24" s="1984"/>
      <c r="Q24" s="1984"/>
      <c r="R24" s="1984"/>
      <c r="S24" s="1985"/>
      <c r="T24" s="105" t="s">
        <v>551</v>
      </c>
      <c r="U24" s="106"/>
      <c r="V24" s="106"/>
      <c r="W24" s="106"/>
      <c r="X24" s="107"/>
      <c r="Y24" s="107"/>
      <c r="Z24" s="107"/>
      <c r="AA24" s="108"/>
    </row>
    <row r="25" spans="1:27" ht="14.1" customHeight="1" x14ac:dyDescent="0.2">
      <c r="A25" s="1961">
        <v>62095</v>
      </c>
      <c r="B25" s="1962"/>
      <c r="C25" s="1962"/>
      <c r="D25" s="1962"/>
      <c r="E25" s="1962"/>
      <c r="F25" s="1962"/>
      <c r="G25" s="1962"/>
      <c r="H25" s="1963"/>
      <c r="I25" s="113"/>
      <c r="J25" s="1986"/>
      <c r="K25" s="1986"/>
      <c r="L25" s="1986"/>
      <c r="M25" s="1986"/>
      <c r="N25" s="1986"/>
      <c r="O25" s="1986"/>
      <c r="P25" s="1986"/>
      <c r="Q25" s="1986"/>
      <c r="R25" s="1986"/>
      <c r="S25" s="1987"/>
      <c r="T25" s="2057" t="s">
        <v>2089</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2" t="s">
        <v>1590</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2074</v>
      </c>
      <c r="C30" s="124" t="s">
        <v>1225</v>
      </c>
      <c r="D30" s="28"/>
      <c r="E30" s="28"/>
      <c r="F30" s="140"/>
      <c r="G30" s="114"/>
      <c r="H30" s="114"/>
      <c r="I30" s="54"/>
      <c r="J30" s="102"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02" t="s">
        <v>2074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2074</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7" t="s">
        <v>2078</v>
      </c>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551</v>
      </c>
      <c r="B39" s="1968"/>
      <c r="C39" s="72"/>
      <c r="D39" s="69"/>
      <c r="E39" s="69"/>
      <c r="F39" s="79"/>
      <c r="G39" s="69"/>
      <c r="H39" s="56"/>
      <c r="I39" s="1967" t="s">
        <v>551</v>
      </c>
      <c r="J39" s="1968"/>
      <c r="K39" s="1968"/>
      <c r="L39" s="1968"/>
      <c r="M39" s="1968"/>
      <c r="N39" s="67"/>
      <c r="O39" s="72"/>
      <c r="P39" s="72"/>
      <c r="Q39" s="78"/>
      <c r="R39" s="72"/>
      <c r="S39" s="56"/>
      <c r="T39" s="72" t="s">
        <v>551</v>
      </c>
      <c r="U39" s="51"/>
      <c r="V39" s="72"/>
      <c r="W39" s="50"/>
      <c r="X39" s="78"/>
      <c r="Y39" s="45"/>
      <c r="Z39" s="45"/>
      <c r="AA39" s="46"/>
    </row>
    <row r="40" spans="1:27" ht="13.5" customHeight="1" x14ac:dyDescent="0.2">
      <c r="A40" s="1975" t="s">
        <v>2079</v>
      </c>
      <c r="B40" s="1976"/>
      <c r="C40" s="1977"/>
      <c r="D40" s="1977"/>
      <c r="E40" s="1977"/>
      <c r="F40" s="1978"/>
      <c r="G40" s="1978"/>
      <c r="H40" s="1979"/>
      <c r="I40" s="2000"/>
      <c r="J40" s="2001"/>
      <c r="K40" s="2001"/>
      <c r="L40" s="2001"/>
      <c r="M40" s="2001"/>
      <c r="N40" s="2001"/>
      <c r="O40" s="2001"/>
      <c r="P40" s="2001"/>
      <c r="Q40" s="2001"/>
      <c r="R40" s="2001"/>
      <c r="S40" s="2002"/>
      <c r="T40" s="2000"/>
      <c r="U40" s="2063"/>
      <c r="V40" s="2001"/>
      <c r="W40" s="2001"/>
      <c r="X40" s="2001"/>
      <c r="Y40" s="2001"/>
      <c r="Z40" s="2001"/>
      <c r="AA40" s="200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9" t="s">
        <v>2080</v>
      </c>
      <c r="B42" s="1981"/>
      <c r="C42" s="1982"/>
      <c r="D42" s="1980"/>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&amp;C92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49" t="s">
        <v>1708</v>
      </c>
    </row>
    <row r="23" spans="1:5" x14ac:dyDescent="0.2">
      <c r="A23" s="168"/>
      <c r="B23" s="162" t="s">
        <v>1965</v>
      </c>
      <c r="D23" s="167" t="s">
        <v>657</v>
      </c>
      <c r="E23" s="184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0" t="s">
        <v>1876</v>
      </c>
    </row>
    <row r="60" spans="1:3" x14ac:dyDescent="0.2">
      <c r="A60" s="196"/>
      <c r="B60" s="1500"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1"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2081</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378</v>
      </c>
      <c r="E119" s="310"/>
      <c r="F119" s="1851" t="s">
        <v>2018</v>
      </c>
      <c r="G119" s="328"/>
      <c r="H119" s="328"/>
      <c r="I119" s="304"/>
    </row>
    <row r="120" spans="1:9" x14ac:dyDescent="0.2">
      <c r="A120" s="329"/>
      <c r="B120" s="180"/>
      <c r="C120" s="330"/>
      <c r="D120" s="256"/>
      <c r="E120" s="256"/>
      <c r="F120" s="256"/>
      <c r="G120" s="256"/>
      <c r="H120" s="256"/>
      <c r="I120" s="304"/>
    </row>
    <row r="121" spans="1:9" x14ac:dyDescent="0.2">
      <c r="A121" s="329"/>
      <c r="B121" s="150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93"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110668321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1.6299999999999999E-2</v>
      </c>
      <c r="E10" s="356" t="s">
        <v>1061</v>
      </c>
      <c r="F10" s="355">
        <v>2.5000000000000001E-3</v>
      </c>
      <c r="G10" s="356" t="s">
        <v>1061</v>
      </c>
      <c r="H10" s="355">
        <v>1.1999999999999999E-3</v>
      </c>
      <c r="I10" s="356" t="s">
        <v>1062</v>
      </c>
      <c r="J10" s="1744">
        <f>ROUND(D10+F10+H10,5)</f>
        <v>0.02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5">
        <f>SUM('Acct Summary 7-8'!C8,'Acct Summary 7-8'!D8,'Acct Summary 7-8'!F8,'Acct Summary 7-8'!I8)</f>
        <v>6877769</v>
      </c>
      <c r="E16" s="356"/>
      <c r="F16" s="1745">
        <f>SUM('Acct Summary 7-8'!C17,'Acct Summary 7-8'!D17,'Acct Summary 7-8'!F17)</f>
        <v>6113004</v>
      </c>
      <c r="G16" s="356"/>
      <c r="H16" s="1745">
        <f>SUM(D16-F16)</f>
        <v>764765</v>
      </c>
      <c r="I16" s="222"/>
      <c r="J16" s="1745">
        <f>SUM('Acct Summary 7-8'!C81,'Acct Summary 7-8'!D81,'Acct Summary 7-8'!F81,'Acct Summary 7-8'!I81)</f>
        <v>3517161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5">
        <f>'Short-Term Long-Term Debt 24'!F4</f>
        <v>0</v>
      </c>
      <c r="E22" s="356" t="s">
        <v>1061</v>
      </c>
      <c r="F22" s="1745">
        <f>'Short-Term Long-Term Debt 24'!F15</f>
        <v>0</v>
      </c>
      <c r="G22" s="356" t="s">
        <v>1061</v>
      </c>
      <c r="H22" s="1745">
        <f>'Short-Term Long-Term Debt 24'!F21</f>
        <v>0</v>
      </c>
      <c r="I22" s="356" t="s">
        <v>1061</v>
      </c>
      <c r="J22" s="1745">
        <f>'Short-Term Long-Term Debt 24'!F23</f>
        <v>0</v>
      </c>
      <c r="K22" s="356" t="s">
        <v>1061</v>
      </c>
      <c r="L22" s="174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5">
        <f>'Short-Term Long-Term Debt 24'!F27</f>
        <v>0</v>
      </c>
      <c r="E24" s="356" t="s">
        <v>1062</v>
      </c>
      <c r="F24" s="174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606</v>
      </c>
      <c r="D31" s="237" t="s">
        <v>1131</v>
      </c>
      <c r="E31" s="222"/>
      <c r="F31" s="222"/>
      <c r="G31" s="363"/>
      <c r="H31" s="1747">
        <f>IF(B31="X",(J7*0.069),IF(B32="X",(J7*0.138),"Enter x in a.or b."))</f>
        <v>7636114.1490000002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6">
        <f>'Assets-Liab 5-6'!N36</f>
        <v>4775440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94"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Wood River-Hartford ESD 15</v>
      </c>
      <c r="E7" s="391"/>
      <c r="G7" s="252"/>
      <c r="H7" s="387"/>
      <c r="I7" s="387"/>
      <c r="J7" s="387"/>
      <c r="K7" s="387"/>
      <c r="L7" s="329"/>
      <c r="M7" s="329"/>
      <c r="N7" s="329"/>
      <c r="O7" s="329"/>
      <c r="P7" s="329"/>
    </row>
    <row r="8" spans="1:18" ht="12.75" x14ac:dyDescent="0.2">
      <c r="A8" s="329"/>
      <c r="B8" s="329"/>
      <c r="C8" s="389" t="s">
        <v>1186</v>
      </c>
      <c r="D8" s="392">
        <f>COVER!A13</f>
        <v>41057015003</v>
      </c>
      <c r="E8" s="393"/>
      <c r="G8" s="329"/>
      <c r="H8" s="329"/>
      <c r="I8" s="329"/>
      <c r="J8" s="329"/>
      <c r="K8" s="329"/>
      <c r="L8" s="329"/>
      <c r="M8" s="329"/>
      <c r="N8" s="329"/>
      <c r="O8" s="329"/>
      <c r="P8" s="329"/>
    </row>
    <row r="9" spans="1:18" ht="12.75" x14ac:dyDescent="0.2">
      <c r="A9" s="329"/>
      <c r="B9" s="329"/>
      <c r="C9" s="389" t="s">
        <v>736</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3517161</v>
      </c>
      <c r="I12" s="404"/>
      <c r="J12" s="404"/>
      <c r="K12" s="405">
        <f>TRUNC((H12/H13*100000),5)/100000</f>
        <v>0.51850011279999997</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6783337</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-94432</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6113004</v>
      </c>
      <c r="I17" s="404"/>
      <c r="J17" s="416"/>
      <c r="K17" s="405">
        <f>TRUNC((H17/H18*100000),5)/100000</f>
        <v>0.90117946370000002</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6783337</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-94432</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3522027</v>
      </c>
      <c r="I24" s="422"/>
      <c r="J24" s="422"/>
      <c r="K24" s="423">
        <f>TRUNC(((H24/H25*100000)/100000),2)</f>
        <v>207.41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16980.56667</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1881361.4569999999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4775440</v>
      </c>
      <c r="I32" s="420"/>
      <c r="J32" s="420"/>
      <c r="K32" s="423">
        <f>TRUNC(100-((((H32/H33*100))*100)/100),2)</f>
        <v>37.46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7636114.1490000002</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95"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74"/>
      <c r="D3" s="1575"/>
      <c r="E3" s="1575"/>
      <c r="F3" s="1575"/>
      <c r="G3" s="1575"/>
      <c r="H3" s="1575"/>
      <c r="I3" s="1575"/>
      <c r="J3" s="1575"/>
      <c r="K3" s="1575"/>
      <c r="L3" s="1575"/>
      <c r="M3" s="1576"/>
      <c r="N3" s="1577"/>
    </row>
    <row r="4" spans="1:14" ht="13.5" customHeight="1" x14ac:dyDescent="0.2">
      <c r="A4" s="463" t="s">
        <v>1749</v>
      </c>
      <c r="B4" s="464"/>
      <c r="C4" s="465">
        <v>1747126</v>
      </c>
      <c r="D4" s="466">
        <v>93988</v>
      </c>
      <c r="E4" s="466">
        <v>18907</v>
      </c>
      <c r="F4" s="466">
        <v>266813</v>
      </c>
      <c r="G4" s="466">
        <v>210886</v>
      </c>
      <c r="H4" s="466"/>
      <c r="I4" s="466">
        <v>267900</v>
      </c>
      <c r="J4" s="467">
        <v>92633</v>
      </c>
      <c r="K4" s="466">
        <v>362705</v>
      </c>
      <c r="L4" s="466">
        <v>33916</v>
      </c>
      <c r="M4" s="468"/>
      <c r="N4" s="469"/>
    </row>
    <row r="5" spans="1:14" x14ac:dyDescent="0.2">
      <c r="A5" s="463" t="s">
        <v>1048</v>
      </c>
      <c r="B5" s="470">
        <v>120</v>
      </c>
      <c r="C5" s="465"/>
      <c r="D5" s="466"/>
      <c r="E5" s="466"/>
      <c r="F5" s="466"/>
      <c r="G5" s="466"/>
      <c r="H5" s="466"/>
      <c r="I5" s="466">
        <v>1146200</v>
      </c>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v>20000</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8" t="s">
        <v>664</v>
      </c>
      <c r="B13" s="1721"/>
      <c r="C13" s="1749">
        <f>SUM(C4:C12)</f>
        <v>1747126</v>
      </c>
      <c r="D13" s="1749">
        <f t="shared" ref="D13:L13" si="0">SUM(D4:D12)</f>
        <v>93988</v>
      </c>
      <c r="E13" s="1749">
        <f t="shared" si="0"/>
        <v>18907</v>
      </c>
      <c r="F13" s="1749">
        <f t="shared" si="0"/>
        <v>266813</v>
      </c>
      <c r="G13" s="1749">
        <f t="shared" si="0"/>
        <v>210886</v>
      </c>
      <c r="H13" s="1749">
        <f t="shared" si="0"/>
        <v>0</v>
      </c>
      <c r="I13" s="1749">
        <f t="shared" si="0"/>
        <v>1434100</v>
      </c>
      <c r="J13" s="1749">
        <f t="shared" si="0"/>
        <v>92633</v>
      </c>
      <c r="K13" s="1749">
        <f t="shared" si="0"/>
        <v>362705</v>
      </c>
      <c r="L13" s="1749">
        <f t="shared" si="0"/>
        <v>33916</v>
      </c>
      <c r="M13" s="468"/>
      <c r="N13" s="469"/>
    </row>
    <row r="14" spans="1:14" ht="18" customHeight="1" thickTop="1" x14ac:dyDescent="0.2">
      <c r="A14" s="2130" t="s">
        <v>149</v>
      </c>
      <c r="B14" s="2131"/>
      <c r="C14" s="1578"/>
      <c r="D14" s="1579"/>
      <c r="E14" s="1579"/>
      <c r="F14" s="1579"/>
      <c r="G14" s="1579"/>
      <c r="H14" s="1579"/>
      <c r="I14" s="1579"/>
      <c r="J14" s="1579"/>
      <c r="K14" s="1579"/>
      <c r="L14" s="1579"/>
      <c r="M14" s="1580"/>
      <c r="N14" s="1581"/>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26346</v>
      </c>
      <c r="N16" s="484"/>
    </row>
    <row r="17" spans="1:14" s="485" customFormat="1" ht="12.75" customHeight="1" x14ac:dyDescent="0.2">
      <c r="A17" s="482" t="s">
        <v>1469</v>
      </c>
      <c r="B17" s="483">
        <v>230</v>
      </c>
      <c r="C17" s="477"/>
      <c r="D17" s="477"/>
      <c r="E17" s="477"/>
      <c r="F17" s="477"/>
      <c r="G17" s="477"/>
      <c r="H17" s="477"/>
      <c r="I17" s="477"/>
      <c r="J17" s="477"/>
      <c r="K17" s="477"/>
      <c r="L17" s="477"/>
      <c r="M17" s="467">
        <v>14314751</v>
      </c>
      <c r="N17" s="484"/>
    </row>
    <row r="18" spans="1:14" s="485" customFormat="1" ht="12.75" customHeight="1" x14ac:dyDescent="0.2">
      <c r="A18" s="482" t="s">
        <v>1470</v>
      </c>
      <c r="B18" s="483">
        <v>240</v>
      </c>
      <c r="C18" s="477"/>
      <c r="D18" s="477"/>
      <c r="E18" s="477"/>
      <c r="F18" s="477"/>
      <c r="G18" s="477"/>
      <c r="H18" s="477"/>
      <c r="I18" s="477"/>
      <c r="J18" s="477"/>
      <c r="K18" s="477"/>
      <c r="L18" s="477"/>
      <c r="M18" s="467"/>
      <c r="N18" s="484"/>
    </row>
    <row r="19" spans="1:14" s="485" customFormat="1" ht="12.75" customHeight="1" x14ac:dyDescent="0.2">
      <c r="A19" s="482" t="s">
        <v>1471</v>
      </c>
      <c r="B19" s="483">
        <v>250</v>
      </c>
      <c r="C19" s="477"/>
      <c r="D19" s="477"/>
      <c r="E19" s="477"/>
      <c r="F19" s="477"/>
      <c r="G19" s="477"/>
      <c r="H19" s="477"/>
      <c r="I19" s="477"/>
      <c r="J19" s="477"/>
      <c r="K19" s="477"/>
      <c r="L19" s="477"/>
      <c r="M19" s="467">
        <v>4018174</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18907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4756533</v>
      </c>
    </row>
    <row r="23" spans="1:14" ht="13.5" customHeight="1" thickBot="1" x14ac:dyDescent="0.25">
      <c r="A23" s="1748" t="s">
        <v>663</v>
      </c>
      <c r="B23" s="1753"/>
      <c r="C23" s="468"/>
      <c r="D23" s="468"/>
      <c r="E23" s="468"/>
      <c r="F23" s="468"/>
      <c r="G23" s="468"/>
      <c r="H23" s="468"/>
      <c r="I23" s="468"/>
      <c r="J23" s="468"/>
      <c r="K23" s="468"/>
      <c r="L23" s="468"/>
      <c r="M23" s="1700">
        <f>SUM(M15:M22)</f>
        <v>18359271</v>
      </c>
      <c r="N23" s="1700">
        <f>SUM(N21:N22)</f>
        <v>4775440</v>
      </c>
    </row>
    <row r="24" spans="1:14" ht="18" customHeight="1" thickTop="1" x14ac:dyDescent="0.2">
      <c r="A24" s="2132" t="s">
        <v>618</v>
      </c>
      <c r="B24" s="2133"/>
      <c r="C24" s="1583"/>
      <c r="D24" s="1580"/>
      <c r="E24" s="1580"/>
      <c r="F24" s="1580"/>
      <c r="G24" s="1580"/>
      <c r="H24" s="1580"/>
      <c r="I24" s="1580"/>
      <c r="J24" s="1580"/>
      <c r="K24" s="1580"/>
      <c r="L24" s="1580"/>
      <c r="M24" s="1579"/>
      <c r="N24" s="1584"/>
    </row>
    <row r="25" spans="1:14" x14ac:dyDescent="0.2">
      <c r="A25" s="473" t="s">
        <v>665</v>
      </c>
      <c r="B25" s="470">
        <v>410</v>
      </c>
      <c r="C25" s="478"/>
      <c r="D25" s="478"/>
      <c r="E25" s="478">
        <v>20000</v>
      </c>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24866</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33916</v>
      </c>
      <c r="M33" s="468"/>
      <c r="N33" s="469"/>
    </row>
    <row r="34" spans="1:14" ht="13.5" customHeight="1" thickBot="1" x14ac:dyDescent="0.25">
      <c r="A34" s="1750" t="s">
        <v>674</v>
      </c>
      <c r="B34" s="1751"/>
      <c r="C34" s="1752">
        <f>SUM(C25:C33)</f>
        <v>24866</v>
      </c>
      <c r="D34" s="1752">
        <f t="shared" ref="D34:K34" si="1">SUM(D25:D33)</f>
        <v>0</v>
      </c>
      <c r="E34" s="1752">
        <f t="shared" si="1"/>
        <v>20000</v>
      </c>
      <c r="F34" s="1752">
        <f t="shared" si="1"/>
        <v>0</v>
      </c>
      <c r="G34" s="1752">
        <f t="shared" si="1"/>
        <v>0</v>
      </c>
      <c r="H34" s="1752">
        <f t="shared" si="1"/>
        <v>0</v>
      </c>
      <c r="I34" s="1752">
        <f t="shared" si="1"/>
        <v>0</v>
      </c>
      <c r="J34" s="1752">
        <f t="shared" si="1"/>
        <v>0</v>
      </c>
      <c r="K34" s="1752">
        <f t="shared" si="1"/>
        <v>0</v>
      </c>
      <c r="L34" s="1733">
        <f>SUM(L33)</f>
        <v>33916</v>
      </c>
      <c r="M34" s="468"/>
      <c r="N34" s="480"/>
    </row>
    <row r="35" spans="1:14" ht="18" customHeight="1" thickTop="1" x14ac:dyDescent="0.2">
      <c r="A35" s="2134" t="s">
        <v>549</v>
      </c>
      <c r="B35" s="2135"/>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4775440</v>
      </c>
    </row>
    <row r="37" spans="1:14" ht="13.5" thickBot="1" x14ac:dyDescent="0.25">
      <c r="A37" s="1748" t="s">
        <v>673</v>
      </c>
      <c r="B37" s="1753"/>
      <c r="C37" s="477"/>
      <c r="D37" s="477"/>
      <c r="E37" s="477"/>
      <c r="F37" s="477"/>
      <c r="G37" s="477"/>
      <c r="H37" s="477"/>
      <c r="I37" s="477"/>
      <c r="J37" s="477"/>
      <c r="K37" s="477"/>
      <c r="L37" s="480"/>
      <c r="M37" s="468"/>
      <c r="N37" s="1700">
        <f>SUM(N36:N36)</f>
        <v>4775440</v>
      </c>
    </row>
    <row r="38" spans="1:14" s="329" customFormat="1" ht="13.5" customHeight="1" thickTop="1" x14ac:dyDescent="0.2">
      <c r="A38" s="496" t="s">
        <v>439</v>
      </c>
      <c r="B38" s="483">
        <v>714</v>
      </c>
      <c r="C38" s="466">
        <v>45593</v>
      </c>
      <c r="D38" s="466"/>
      <c r="E38" s="466"/>
      <c r="F38" s="466"/>
      <c r="G38" s="466"/>
      <c r="H38" s="466"/>
      <c r="I38" s="466"/>
      <c r="J38" s="467"/>
      <c r="K38" s="466"/>
      <c r="L38" s="481"/>
      <c r="M38" s="497"/>
      <c r="N38" s="497"/>
    </row>
    <row r="39" spans="1:14" s="329" customFormat="1" ht="13.5" customHeight="1" x14ac:dyDescent="0.2">
      <c r="A39" s="496" t="s">
        <v>359</v>
      </c>
      <c r="B39" s="483">
        <v>730</v>
      </c>
      <c r="C39" s="466">
        <v>1676667</v>
      </c>
      <c r="D39" s="466">
        <v>93988</v>
      </c>
      <c r="E39" s="466">
        <v>-1093</v>
      </c>
      <c r="F39" s="466">
        <v>266813</v>
      </c>
      <c r="G39" s="466">
        <v>210886</v>
      </c>
      <c r="H39" s="466"/>
      <c r="I39" s="466">
        <v>1434100</v>
      </c>
      <c r="J39" s="467">
        <v>92633</v>
      </c>
      <c r="K39" s="466">
        <v>362705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18359271</v>
      </c>
      <c r="N40" s="497"/>
    </row>
    <row r="41" spans="1:14" ht="13.5" customHeight="1" thickBot="1" x14ac:dyDescent="0.25">
      <c r="A41" s="1748" t="s">
        <v>675</v>
      </c>
      <c r="B41" s="1718"/>
      <c r="C41" s="1700">
        <f>(SUM(C34,C37,C38,C39))</f>
        <v>1747126</v>
      </c>
      <c r="D41" s="1700">
        <f t="shared" ref="D41:L41" si="2">SUM(D34,D37,D38:D39)</f>
        <v>93988</v>
      </c>
      <c r="E41" s="1700">
        <f t="shared" si="2"/>
        <v>18907</v>
      </c>
      <c r="F41" s="1700">
        <f t="shared" si="2"/>
        <v>266813</v>
      </c>
      <c r="G41" s="1700">
        <f t="shared" si="2"/>
        <v>210886</v>
      </c>
      <c r="H41" s="1700">
        <f t="shared" si="2"/>
        <v>0</v>
      </c>
      <c r="I41" s="1700">
        <f t="shared" si="2"/>
        <v>1434100</v>
      </c>
      <c r="J41" s="1700">
        <f t="shared" si="2"/>
        <v>92633</v>
      </c>
      <c r="K41" s="1700">
        <f t="shared" si="2"/>
        <v>362705</v>
      </c>
      <c r="L41" s="1700">
        <f t="shared" si="2"/>
        <v>33916</v>
      </c>
      <c r="M41" s="1700">
        <f>SUM(M40)</f>
        <v>18359271</v>
      </c>
      <c r="N41" s="1700">
        <f>SUM(N37)</f>
        <v>4775440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88"/>
      <c r="D3" s="1589"/>
      <c r="E3" s="1589"/>
      <c r="F3" s="1589"/>
      <c r="G3" s="1589"/>
      <c r="H3" s="1589"/>
      <c r="I3" s="1589"/>
      <c r="J3" s="1589"/>
      <c r="K3" s="1590"/>
      <c r="L3" s="506"/>
    </row>
    <row r="4" spans="1:13" ht="15.75" customHeight="1" x14ac:dyDescent="0.2">
      <c r="A4" s="1941" t="s">
        <v>1578</v>
      </c>
      <c r="B4" s="1942">
        <v>1000</v>
      </c>
      <c r="C4" s="1754">
        <f>'Revenues 9-14'!C109</f>
        <v>2576379</v>
      </c>
      <c r="D4" s="1754">
        <f>'Revenues 9-14'!D109</f>
        <v>499283</v>
      </c>
      <c r="E4" s="1754">
        <f>'Revenues 9-14'!E109</f>
        <v>436806</v>
      </c>
      <c r="F4" s="1754">
        <f>'Revenues 9-14'!F109</f>
        <v>118962</v>
      </c>
      <c r="G4" s="1754">
        <f>'Revenues 9-14'!G109</f>
        <v>291790</v>
      </c>
      <c r="H4" s="1754">
        <f>'Revenues 9-14'!H109</f>
        <v>0</v>
      </c>
      <c r="I4" s="1754">
        <f>'Revenues 9-14'!I109</f>
        <v>81168</v>
      </c>
      <c r="J4" s="1754">
        <f>'Revenues 9-14'!J109</f>
        <v>326322</v>
      </c>
      <c r="K4" s="1754">
        <f>'Revenues 9-14'!K109</f>
        <v>56362</v>
      </c>
      <c r="L4" s="347"/>
    </row>
    <row r="5" spans="1:13" ht="15.75" customHeight="1" x14ac:dyDescent="0.2">
      <c r="A5" s="1591" t="s">
        <v>1579</v>
      </c>
      <c r="B5" s="1592">
        <v>2000</v>
      </c>
      <c r="C5" s="1755">
        <f>'Revenues 9-14'!C114</f>
        <v>0</v>
      </c>
      <c r="D5" s="1755">
        <f>'Revenues 9-14'!D114</f>
        <v>0</v>
      </c>
      <c r="E5" s="508"/>
      <c r="F5" s="1755">
        <f>'Revenues 9-14'!F114</f>
        <v>0</v>
      </c>
      <c r="G5" s="1755">
        <f>'Revenues 9-14'!G114</f>
        <v>0</v>
      </c>
      <c r="H5" s="509" t="s">
        <v>1230</v>
      </c>
      <c r="I5" s="510" t="s">
        <v>1230</v>
      </c>
      <c r="J5" s="511" t="s">
        <v>1230</v>
      </c>
      <c r="K5" s="512" t="s">
        <v>1230</v>
      </c>
      <c r="L5" s="347"/>
    </row>
    <row r="6" spans="1:13" ht="15.75" customHeight="1" x14ac:dyDescent="0.2">
      <c r="A6" s="1591" t="s">
        <v>1580</v>
      </c>
      <c r="B6" s="1593">
        <v>3000</v>
      </c>
      <c r="C6" s="1755">
        <f>'Revenues 9-14'!C173</f>
        <v>2610523</v>
      </c>
      <c r="D6" s="1755">
        <f>'Revenues 9-14'!D173</f>
        <v>0</v>
      </c>
      <c r="E6" s="1755">
        <f>'Revenues 9-14'!E173</f>
        <v>0</v>
      </c>
      <c r="F6" s="1755">
        <f>'Revenues 9-14'!F173</f>
        <v>58495</v>
      </c>
      <c r="G6" s="1755">
        <f>'Revenues 9-14'!G173</f>
        <v>0</v>
      </c>
      <c r="H6" s="1755">
        <f>'Revenues 9-14'!H173</f>
        <v>0</v>
      </c>
      <c r="I6" s="1755">
        <f>'Revenues 9-14'!I173</f>
        <v>0</v>
      </c>
      <c r="J6" s="1755">
        <f>'Revenues 9-14'!J173</f>
        <v>0</v>
      </c>
      <c r="K6" s="1755">
        <f>'Revenues 9-14'!K173</f>
        <v>0</v>
      </c>
      <c r="L6" s="347"/>
      <c r="M6" s="513"/>
    </row>
    <row r="7" spans="1:13" ht="15.75" customHeight="1" x14ac:dyDescent="0.2">
      <c r="A7" s="1591" t="s">
        <v>1581</v>
      </c>
      <c r="B7" s="1593">
        <v>4000</v>
      </c>
      <c r="C7" s="1755">
        <f>'Revenues 9-14'!C274</f>
        <v>932959</v>
      </c>
      <c r="D7" s="1755">
        <f>'Revenues 9-14'!D274</f>
        <v>0</v>
      </c>
      <c r="E7" s="1755">
        <f>'Revenues 9-14'!E274</f>
        <v>0</v>
      </c>
      <c r="F7" s="1755">
        <f>'Revenues 9-14'!F274</f>
        <v>0</v>
      </c>
      <c r="G7" s="1755">
        <f>'Revenues 9-14'!G274</f>
        <v>0</v>
      </c>
      <c r="H7" s="1755">
        <f>'Revenues 9-14'!H274</f>
        <v>0</v>
      </c>
      <c r="I7" s="1755">
        <f>'Revenues 9-14'!I274</f>
        <v>0</v>
      </c>
      <c r="J7" s="1755">
        <f>'Revenues 9-14'!J274</f>
        <v>0</v>
      </c>
      <c r="K7" s="1755">
        <f>'Revenues 9-14'!K274</f>
        <v>0</v>
      </c>
      <c r="L7" s="347"/>
      <c r="M7" s="513"/>
    </row>
    <row r="8" spans="1:13" ht="13.5" thickBot="1" x14ac:dyDescent="0.25">
      <c r="A8" s="1748" t="s">
        <v>1233</v>
      </c>
      <c r="B8" s="1721"/>
      <c r="C8" s="1700">
        <f>SUM(C4:C7)</f>
        <v>6119861</v>
      </c>
      <c r="D8" s="1700">
        <f t="shared" ref="D8:K8" si="0">SUM(D4:D7)</f>
        <v>499283</v>
      </c>
      <c r="E8" s="1700">
        <f t="shared" si="0"/>
        <v>436806</v>
      </c>
      <c r="F8" s="1700">
        <f t="shared" si="0"/>
        <v>177457</v>
      </c>
      <c r="G8" s="1700">
        <f t="shared" si="0"/>
        <v>291790</v>
      </c>
      <c r="H8" s="1700">
        <f t="shared" si="0"/>
        <v>0</v>
      </c>
      <c r="I8" s="1700">
        <f t="shared" si="0"/>
        <v>81168</v>
      </c>
      <c r="J8" s="1700">
        <f t="shared" si="0"/>
        <v>326322</v>
      </c>
      <c r="K8" s="1700">
        <f t="shared" si="0"/>
        <v>56362</v>
      </c>
      <c r="L8" s="347"/>
    </row>
    <row r="9" spans="1:13" ht="15.75" thickTop="1" x14ac:dyDescent="0.2">
      <c r="A9" s="514" t="s">
        <v>1751</v>
      </c>
      <c r="B9" s="515">
        <v>3998</v>
      </c>
      <c r="C9" s="481">
        <v>2483696</v>
      </c>
      <c r="D9" s="516"/>
      <c r="E9" s="481"/>
      <c r="F9" s="481"/>
      <c r="G9" s="517"/>
      <c r="H9" s="481"/>
      <c r="I9" s="509" t="s">
        <v>1230</v>
      </c>
      <c r="J9" s="478"/>
      <c r="K9" s="481"/>
      <c r="L9" s="347"/>
    </row>
    <row r="10" spans="1:13" s="519" customFormat="1" ht="13.5" thickBot="1" x14ac:dyDescent="0.25">
      <c r="A10" s="1748" t="s">
        <v>1234</v>
      </c>
      <c r="B10" s="1721"/>
      <c r="C10" s="1700">
        <f>SUM(C8:C9)</f>
        <v>8603557</v>
      </c>
      <c r="D10" s="1700">
        <f t="shared" ref="D10:K10" si="1">SUM(D8:D9)</f>
        <v>499283</v>
      </c>
      <c r="E10" s="1700">
        <f t="shared" si="1"/>
        <v>436806</v>
      </c>
      <c r="F10" s="1700">
        <f t="shared" si="1"/>
        <v>177457</v>
      </c>
      <c r="G10" s="1700">
        <f t="shared" si="1"/>
        <v>291790</v>
      </c>
      <c r="H10" s="1700">
        <f t="shared" si="1"/>
        <v>0</v>
      </c>
      <c r="I10" s="1700">
        <f t="shared" si="1"/>
        <v>81168</v>
      </c>
      <c r="J10" s="1700">
        <f t="shared" si="1"/>
        <v>326322</v>
      </c>
      <c r="K10" s="1700">
        <f t="shared" si="1"/>
        <v>56362</v>
      </c>
      <c r="L10" s="518"/>
    </row>
    <row r="11" spans="1:13" s="519" customFormat="1" ht="16.7" customHeight="1" thickTop="1" x14ac:dyDescent="0.2">
      <c r="A11" s="2130" t="s">
        <v>1237</v>
      </c>
      <c r="B11" s="2131"/>
      <c r="C11" s="1585"/>
      <c r="D11" s="1586"/>
      <c r="E11" s="1586"/>
      <c r="F11" s="1586"/>
      <c r="G11" s="1586"/>
      <c r="H11" s="1586"/>
      <c r="I11" s="1586"/>
      <c r="J11" s="1586"/>
      <c r="K11" s="1587"/>
      <c r="L11" s="518"/>
    </row>
    <row r="12" spans="1:13" ht="15.75" customHeight="1" x14ac:dyDescent="0.2">
      <c r="A12" s="1591" t="s">
        <v>475</v>
      </c>
      <c r="B12" s="1593">
        <v>1000</v>
      </c>
      <c r="C12" s="1754">
        <f>'Expenditures 15-22'!K33</f>
        <v>3528842</v>
      </c>
      <c r="D12" s="520" t="s">
        <v>1230</v>
      </c>
      <c r="E12" s="468" t="s">
        <v>1230</v>
      </c>
      <c r="F12" s="468" t="s">
        <v>1230</v>
      </c>
      <c r="G12" s="1754">
        <f>'Expenditures 15-22'!K229</f>
        <v>119163</v>
      </c>
      <c r="H12" s="521"/>
      <c r="I12" s="468" t="s">
        <v>1230</v>
      </c>
      <c r="J12" s="468" t="s">
        <v>1230</v>
      </c>
      <c r="K12" s="521" t="s">
        <v>1230</v>
      </c>
      <c r="L12" s="347"/>
    </row>
    <row r="13" spans="1:13" ht="15.75" customHeight="1" x14ac:dyDescent="0.2">
      <c r="A13" s="1591" t="s">
        <v>476</v>
      </c>
      <c r="B13" s="1593">
        <v>2000</v>
      </c>
      <c r="C13" s="1755">
        <f>'Expenditures 15-22'!K74</f>
        <v>1631624</v>
      </c>
      <c r="D13" s="1755">
        <f>'Expenditures 15-22'!K129</f>
        <v>529683</v>
      </c>
      <c r="E13" s="469" t="s">
        <v>1230</v>
      </c>
      <c r="F13" s="1755">
        <f>'Expenditures 15-22'!K184</f>
        <v>143672</v>
      </c>
      <c r="G13" s="1755">
        <f>'Expenditures 15-22'!K279</f>
        <v>167969</v>
      </c>
      <c r="H13" s="1755">
        <f>'Expenditures 15-22'!K303</f>
        <v>0</v>
      </c>
      <c r="I13" s="468" t="s">
        <v>1230</v>
      </c>
      <c r="J13" s="1755">
        <f>'Expenditures 15-22'!K330</f>
        <v>328321</v>
      </c>
      <c r="K13" s="1759">
        <f>'Expenditures 15-22'!K352</f>
        <v>2522323</v>
      </c>
      <c r="L13" s="347"/>
    </row>
    <row r="14" spans="1:13" ht="15.75" customHeight="1" x14ac:dyDescent="0.2">
      <c r="A14" s="1591" t="s">
        <v>468</v>
      </c>
      <c r="B14" s="1593">
        <v>3000</v>
      </c>
      <c r="C14" s="1755">
        <f>'Expenditures 15-22'!K75</f>
        <v>67033</v>
      </c>
      <c r="D14" s="1755">
        <f>'Expenditures 15-22'!K130</f>
        <v>0</v>
      </c>
      <c r="E14" s="520" t="s">
        <v>1230</v>
      </c>
      <c r="F14" s="1755">
        <f>'Expenditures 15-22'!K185</f>
        <v>0</v>
      </c>
      <c r="G14" s="1755">
        <f>'Expenditures 15-22'!K280</f>
        <v>9559</v>
      </c>
      <c r="H14" s="512"/>
      <c r="I14" s="468" t="s">
        <v>1230</v>
      </c>
      <c r="J14" s="468" t="s">
        <v>1230</v>
      </c>
      <c r="K14" s="512" t="s">
        <v>1230</v>
      </c>
      <c r="L14" s="347"/>
    </row>
    <row r="15" spans="1:13" ht="15.75" customHeight="1" x14ac:dyDescent="0.2">
      <c r="A15" s="1591" t="s">
        <v>109</v>
      </c>
      <c r="B15" s="1593">
        <v>4000</v>
      </c>
      <c r="C15" s="1755">
        <f>'Expenditures 15-22'!K102</f>
        <v>211936</v>
      </c>
      <c r="D15" s="1755">
        <f>'Expenditures 15-22'!K139</f>
        <v>0</v>
      </c>
      <c r="E15" s="1755">
        <f>'Expenditures 15-22'!K160</f>
        <v>0</v>
      </c>
      <c r="F15" s="1755">
        <f>'Expenditures 15-22'!K196</f>
        <v>214</v>
      </c>
      <c r="G15" s="1755">
        <f>'Expenditures 15-22'!K285</f>
        <v>0</v>
      </c>
      <c r="H15" s="1755">
        <f>'Expenditures 15-22'!K310</f>
        <v>0</v>
      </c>
      <c r="I15" s="468" t="s">
        <v>1230</v>
      </c>
      <c r="J15" s="1848">
        <f>'Expenditures 15-22'!K334</f>
        <v>0</v>
      </c>
      <c r="K15" s="1755">
        <f>'Expenditures 15-22'!K357</f>
        <v>0</v>
      </c>
      <c r="L15" s="347"/>
    </row>
    <row r="16" spans="1:13" ht="15.75" customHeight="1" x14ac:dyDescent="0.2">
      <c r="A16" s="1591" t="s">
        <v>469</v>
      </c>
      <c r="B16" s="1593">
        <v>5000</v>
      </c>
      <c r="C16" s="1755">
        <f>'Expenditures 15-22'!K112</f>
        <v>0</v>
      </c>
      <c r="D16" s="1755">
        <f>'Expenditures 15-22'!K149</f>
        <v>0</v>
      </c>
      <c r="E16" s="1755">
        <f>'Expenditures 15-22'!K172</f>
        <v>574328</v>
      </c>
      <c r="F16" s="1755">
        <f>'Expenditures 15-22'!K208</f>
        <v>0</v>
      </c>
      <c r="G16" s="1755">
        <f>'Expenditures 15-22'!K293</f>
        <v>0</v>
      </c>
      <c r="H16" s="523"/>
      <c r="I16" s="468" t="s">
        <v>1230</v>
      </c>
      <c r="J16" s="1760">
        <f>'Expenditures 15-22'!K340</f>
        <v>0</v>
      </c>
      <c r="K16" s="1755">
        <f>'Expenditures 15-22'!K365</f>
        <v>0</v>
      </c>
      <c r="L16" s="347"/>
    </row>
    <row r="17" spans="1:12" ht="13.5" thickBot="1" x14ac:dyDescent="0.25">
      <c r="A17" s="1720" t="s">
        <v>50</v>
      </c>
      <c r="B17" s="1721"/>
      <c r="C17" s="1700">
        <f t="shared" ref="C17:H17" si="2">SUM(C12:C16)</f>
        <v>5439435</v>
      </c>
      <c r="D17" s="1700">
        <f t="shared" si="2"/>
        <v>529683</v>
      </c>
      <c r="E17" s="1700">
        <f t="shared" si="2"/>
        <v>574328</v>
      </c>
      <c r="F17" s="1700">
        <f t="shared" si="2"/>
        <v>143886</v>
      </c>
      <c r="G17" s="1700">
        <f t="shared" si="2"/>
        <v>296691</v>
      </c>
      <c r="H17" s="1700">
        <f t="shared" si="2"/>
        <v>0</v>
      </c>
      <c r="I17" s="468"/>
      <c r="J17" s="1700">
        <f>SUM(J12:J16)</f>
        <v>328321</v>
      </c>
      <c r="K17" s="1700">
        <f>SUM(K12:K16)</f>
        <v>2522323</v>
      </c>
      <c r="L17" s="347"/>
    </row>
    <row r="18" spans="1:12" ht="15" customHeight="1" thickTop="1" x14ac:dyDescent="0.2">
      <c r="A18" s="1756" t="s">
        <v>1752</v>
      </c>
      <c r="B18" s="1757">
        <v>4180</v>
      </c>
      <c r="C18" s="1754">
        <f t="shared" ref="C18:H18" si="3">C9</f>
        <v>2483696</v>
      </c>
      <c r="D18" s="1754">
        <f t="shared" si="3"/>
        <v>0</v>
      </c>
      <c r="E18" s="1754">
        <f t="shared" si="3"/>
        <v>0</v>
      </c>
      <c r="F18" s="1754">
        <f t="shared" si="3"/>
        <v>0</v>
      </c>
      <c r="G18" s="1754">
        <f t="shared" si="3"/>
        <v>0</v>
      </c>
      <c r="H18" s="1754">
        <f t="shared" si="3"/>
        <v>0</v>
      </c>
      <c r="I18" s="468"/>
      <c r="J18" s="1754">
        <f>J9</f>
        <v>0</v>
      </c>
      <c r="K18" s="1754">
        <f>K9</f>
        <v>0</v>
      </c>
      <c r="L18" s="347"/>
    </row>
    <row r="19" spans="1:12" ht="13.5" thickBot="1" x14ac:dyDescent="0.25">
      <c r="A19" s="1720" t="s">
        <v>525</v>
      </c>
      <c r="B19" s="1721"/>
      <c r="C19" s="1700">
        <f t="shared" ref="C19:H19" si="4">SUM(C17:C18)</f>
        <v>7923131</v>
      </c>
      <c r="D19" s="1700">
        <f t="shared" si="4"/>
        <v>529683</v>
      </c>
      <c r="E19" s="1700">
        <f t="shared" si="4"/>
        <v>574328</v>
      </c>
      <c r="F19" s="1700">
        <f t="shared" si="4"/>
        <v>143886</v>
      </c>
      <c r="G19" s="1700">
        <f t="shared" si="4"/>
        <v>296691</v>
      </c>
      <c r="H19" s="1700">
        <f t="shared" si="4"/>
        <v>0</v>
      </c>
      <c r="I19" s="468"/>
      <c r="J19" s="1700">
        <f>SUM(J17:J18)</f>
        <v>328321</v>
      </c>
      <c r="K19" s="1700">
        <f>SUM(K17:K18)</f>
        <v>2522323</v>
      </c>
      <c r="L19" s="347"/>
    </row>
    <row r="20" spans="1:12" ht="16.5" thickTop="1" thickBot="1" x14ac:dyDescent="0.25">
      <c r="A20" s="2146" t="s">
        <v>1753</v>
      </c>
      <c r="B20" s="2147"/>
      <c r="C20" s="1758">
        <f>C8-C17</f>
        <v>680426</v>
      </c>
      <c r="D20" s="1758">
        <f t="shared" ref="D20:K20" si="5">D8-D17</f>
        <v>-30400</v>
      </c>
      <c r="E20" s="1758">
        <f t="shared" si="5"/>
        <v>-137522</v>
      </c>
      <c r="F20" s="1758">
        <f t="shared" si="5"/>
        <v>33571</v>
      </c>
      <c r="G20" s="1758">
        <f t="shared" si="5"/>
        <v>-4901</v>
      </c>
      <c r="H20" s="1758">
        <f t="shared" si="5"/>
        <v>0</v>
      </c>
      <c r="I20" s="1758">
        <f t="shared" si="5"/>
        <v>81168</v>
      </c>
      <c r="J20" s="1758">
        <f t="shared" si="5"/>
        <v>-1999</v>
      </c>
      <c r="K20" s="1758">
        <f t="shared" si="5"/>
        <v>-2465961</v>
      </c>
      <c r="L20" s="347"/>
    </row>
    <row r="21" spans="1:12" ht="16.7" customHeight="1" thickTop="1" x14ac:dyDescent="0.2">
      <c r="A21" s="2158" t="s">
        <v>615</v>
      </c>
      <c r="B21" s="2159"/>
      <c r="C21" s="1585"/>
      <c r="D21" s="1586"/>
      <c r="E21" s="1586"/>
      <c r="F21" s="1586"/>
      <c r="G21" s="1586"/>
      <c r="H21" s="1586"/>
      <c r="I21" s="1586"/>
      <c r="J21" s="1586"/>
      <c r="K21" s="1587"/>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04" t="s">
        <v>1754</v>
      </c>
      <c r="B24" s="525">
        <v>7110</v>
      </c>
      <c r="C24" s="467"/>
      <c r="D24" s="477"/>
      <c r="E24" s="477"/>
      <c r="F24" s="477"/>
      <c r="G24" s="477"/>
      <c r="H24" s="477"/>
      <c r="I24" s="477"/>
      <c r="J24" s="477"/>
      <c r="K24" s="477"/>
      <c r="L24" s="524"/>
    </row>
    <row r="25" spans="1:12" s="485" customFormat="1" ht="13.5" customHeight="1" x14ac:dyDescent="0.2">
      <c r="A25" s="1504" t="s">
        <v>1755</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1464</v>
      </c>
      <c r="B28" s="483">
        <v>7140</v>
      </c>
      <c r="C28" s="467"/>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1894</v>
      </c>
      <c r="B30" s="527">
        <v>7160</v>
      </c>
      <c r="C30" s="477"/>
      <c r="D30" s="467"/>
      <c r="E30" s="477"/>
      <c r="F30" s="477"/>
      <c r="G30" s="477"/>
      <c r="H30" s="477"/>
      <c r="I30" s="477"/>
      <c r="J30" s="477"/>
      <c r="K30" s="477"/>
      <c r="L30" s="524"/>
    </row>
    <row r="31" spans="1:12" s="485" customFormat="1" ht="26.25" x14ac:dyDescent="0.2">
      <c r="A31" s="1504" t="s">
        <v>1898</v>
      </c>
      <c r="B31" s="527">
        <v>7170</v>
      </c>
      <c r="C31" s="477"/>
      <c r="D31" s="477"/>
      <c r="E31" s="474"/>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04" t="s">
        <v>431</v>
      </c>
      <c r="B33" s="525">
        <v>7210</v>
      </c>
      <c r="C33" s="467"/>
      <c r="D33" s="467"/>
      <c r="E33" s="467"/>
      <c r="F33" s="467"/>
      <c r="G33" s="477"/>
      <c r="H33" s="467"/>
      <c r="I33" s="467"/>
      <c r="J33" s="467"/>
      <c r="K33" s="467"/>
      <c r="L33" s="524"/>
    </row>
    <row r="34" spans="1:12" s="485" customFormat="1" x14ac:dyDescent="0.2">
      <c r="A34" s="1504" t="s">
        <v>1057</v>
      </c>
      <c r="B34" s="525">
        <v>7220</v>
      </c>
      <c r="C34" s="467"/>
      <c r="D34" s="467"/>
      <c r="E34" s="467"/>
      <c r="F34" s="467"/>
      <c r="G34" s="477"/>
      <c r="H34" s="478"/>
      <c r="I34" s="478"/>
      <c r="J34" s="478"/>
      <c r="K34" s="478"/>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1756</v>
      </c>
      <c r="B36" s="525">
        <v>7300</v>
      </c>
      <c r="C36" s="467"/>
      <c r="D36" s="467"/>
      <c r="E36" s="467"/>
      <c r="F36" s="467"/>
      <c r="G36" s="467"/>
      <c r="H36" s="467"/>
      <c r="I36" s="475"/>
      <c r="J36" s="467"/>
      <c r="K36" s="467"/>
      <c r="L36" s="524"/>
    </row>
    <row r="37" spans="1:12" s="485" customFormat="1" x14ac:dyDescent="0.2">
      <c r="A37" s="1504" t="s">
        <v>460</v>
      </c>
      <c r="B37" s="525">
        <v>7400</v>
      </c>
      <c r="C37" s="475"/>
      <c r="D37" s="475"/>
      <c r="E37" s="1755">
        <f>SUM(C54:D57,H54:H57)</f>
        <v>86683</v>
      </c>
      <c r="F37" s="475"/>
      <c r="G37" s="475"/>
      <c r="H37" s="475"/>
      <c r="I37" s="477"/>
      <c r="J37" s="475"/>
      <c r="K37" s="475"/>
      <c r="L37" s="524"/>
    </row>
    <row r="38" spans="1:12" s="485" customFormat="1" x14ac:dyDescent="0.2">
      <c r="A38" s="1504" t="s">
        <v>461</v>
      </c>
      <c r="B38" s="525">
        <v>7500</v>
      </c>
      <c r="C38" s="477"/>
      <c r="D38" s="477"/>
      <c r="E38" s="1755">
        <f>SUM(C58:D61,H58:H61)</f>
        <v>7749</v>
      </c>
      <c r="F38" s="477"/>
      <c r="G38" s="477"/>
      <c r="H38" s="477"/>
      <c r="I38" s="477"/>
      <c r="J38" s="477"/>
      <c r="K38" s="477"/>
      <c r="L38" s="524"/>
    </row>
    <row r="39" spans="1:12" s="485" customFormat="1" x14ac:dyDescent="0.2">
      <c r="A39" s="1504" t="s">
        <v>462</v>
      </c>
      <c r="B39" s="525">
        <v>7600</v>
      </c>
      <c r="C39" s="477"/>
      <c r="D39" s="477"/>
      <c r="E39" s="1755">
        <f>SUM(C62:D65)</f>
        <v>0</v>
      </c>
      <c r="F39" s="477"/>
      <c r="G39" s="477"/>
      <c r="H39" s="477"/>
      <c r="I39" s="477"/>
      <c r="J39" s="477"/>
      <c r="K39" s="477"/>
      <c r="L39" s="524"/>
    </row>
    <row r="40" spans="1:12" s="485" customFormat="1" ht="13.5" customHeight="1" x14ac:dyDescent="0.2">
      <c r="A40" s="1504" t="s">
        <v>662</v>
      </c>
      <c r="B40" s="483">
        <v>7700</v>
      </c>
      <c r="C40" s="477"/>
      <c r="D40" s="477"/>
      <c r="E40" s="1755">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5">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c r="D43" s="467"/>
      <c r="E43" s="467"/>
      <c r="F43" s="467"/>
      <c r="G43" s="467"/>
      <c r="H43" s="467"/>
      <c r="I43" s="467"/>
      <c r="J43" s="467"/>
      <c r="K43" s="467"/>
      <c r="L43" s="524"/>
    </row>
    <row r="44" spans="1:12" s="485" customFormat="1" ht="13.5" customHeight="1" thickBot="1" x14ac:dyDescent="0.25">
      <c r="A44" s="2160" t="s">
        <v>391</v>
      </c>
      <c r="B44" s="2161"/>
      <c r="C44" s="1715">
        <f>SUM(C24:C43)</f>
        <v>0</v>
      </c>
      <c r="D44" s="1715">
        <f t="shared" ref="D44:K44" si="6">SUM(D24:D43)</f>
        <v>0</v>
      </c>
      <c r="E44" s="1715">
        <f t="shared" si="6"/>
        <v>94432</v>
      </c>
      <c r="F44" s="1715">
        <f t="shared" si="6"/>
        <v>0</v>
      </c>
      <c r="G44" s="1715">
        <f t="shared" si="6"/>
        <v>0</v>
      </c>
      <c r="H44" s="1715">
        <f t="shared" si="6"/>
        <v>0</v>
      </c>
      <c r="I44" s="1715">
        <f t="shared" si="6"/>
        <v>0</v>
      </c>
      <c r="J44" s="1715">
        <f t="shared" si="6"/>
        <v>0</v>
      </c>
      <c r="K44" s="171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05" t="s">
        <v>1757</v>
      </c>
      <c r="B47" s="483">
        <v>8110</v>
      </c>
      <c r="C47" s="477"/>
      <c r="D47" s="477"/>
      <c r="E47" s="477"/>
      <c r="F47" s="477"/>
      <c r="G47" s="477"/>
      <c r="H47" s="477"/>
      <c r="I47" s="1755">
        <f>SUM(C24,C25:H25,J25:K25)</f>
        <v>0</v>
      </c>
      <c r="J47" s="477"/>
      <c r="K47" s="477"/>
      <c r="L47" s="529"/>
    </row>
    <row r="48" spans="1:12" s="485" customFormat="1" ht="15" x14ac:dyDescent="0.2">
      <c r="A48" s="1505" t="s">
        <v>1758</v>
      </c>
      <c r="B48" s="483">
        <v>8120</v>
      </c>
      <c r="C48" s="480"/>
      <c r="D48" s="480"/>
      <c r="E48" s="477"/>
      <c r="F48" s="480"/>
      <c r="G48" s="477"/>
      <c r="H48" s="477"/>
      <c r="I48" s="1755">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1464</v>
      </c>
      <c r="B50" s="483">
        <v>8140</v>
      </c>
      <c r="C50" s="467"/>
      <c r="D50" s="467"/>
      <c r="E50" s="467"/>
      <c r="F50" s="467"/>
      <c r="G50" s="467"/>
      <c r="H50" s="467"/>
      <c r="I50" s="477"/>
      <c r="J50" s="467"/>
      <c r="K50" s="477"/>
      <c r="L50" s="524"/>
    </row>
    <row r="51" spans="1:12" s="485" customFormat="1" x14ac:dyDescent="0.2">
      <c r="A51" s="1505" t="s">
        <v>311</v>
      </c>
      <c r="B51" s="483">
        <v>8150</v>
      </c>
      <c r="C51" s="475"/>
      <c r="D51" s="475"/>
      <c r="E51" s="475"/>
      <c r="F51" s="475"/>
      <c r="G51" s="475"/>
      <c r="H51" s="1755">
        <f>SUM(D29)</f>
        <v>0</v>
      </c>
      <c r="I51" s="477"/>
      <c r="J51" s="475"/>
      <c r="K51" s="480"/>
      <c r="L51" s="524"/>
    </row>
    <row r="52" spans="1:12" s="485" customFormat="1" ht="26.25" x14ac:dyDescent="0.2">
      <c r="A52" s="1505" t="s">
        <v>1897</v>
      </c>
      <c r="B52" s="483">
        <v>8160</v>
      </c>
      <c r="C52" s="477"/>
      <c r="D52" s="477"/>
      <c r="E52" s="477"/>
      <c r="F52" s="477"/>
      <c r="G52" s="477"/>
      <c r="H52" s="477"/>
      <c r="I52" s="477"/>
      <c r="J52" s="477"/>
      <c r="K52" s="1755">
        <f>D30</f>
        <v>0</v>
      </c>
      <c r="L52" s="524"/>
    </row>
    <row r="53" spans="1:12" s="485" customFormat="1" ht="26.25" x14ac:dyDescent="0.2">
      <c r="A53" s="1505" t="s">
        <v>1896</v>
      </c>
      <c r="B53" s="483">
        <v>8170</v>
      </c>
      <c r="C53" s="480"/>
      <c r="D53" s="480"/>
      <c r="E53" s="477"/>
      <c r="F53" s="477"/>
      <c r="G53" s="477"/>
      <c r="H53" s="480"/>
      <c r="I53" s="477"/>
      <c r="J53" s="477"/>
      <c r="K53" s="1755">
        <f>E31</f>
        <v>0</v>
      </c>
      <c r="L53" s="524"/>
    </row>
    <row r="54" spans="1:12" s="485" customFormat="1" ht="13.5" thickBot="1" x14ac:dyDescent="0.25">
      <c r="A54" s="1505" t="s">
        <v>715</v>
      </c>
      <c r="B54" s="483">
        <v>8410</v>
      </c>
      <c r="C54" s="530">
        <v>86683</v>
      </c>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v>7749</v>
      </c>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c r="I75" s="530"/>
      <c r="J75" s="530"/>
      <c r="K75" s="532"/>
      <c r="L75" s="524"/>
    </row>
    <row r="76" spans="1:12" s="485" customFormat="1" ht="14.25" thickTop="1" thickBot="1" x14ac:dyDescent="0.25">
      <c r="A76" s="2136" t="s">
        <v>459</v>
      </c>
      <c r="B76" s="2137"/>
      <c r="C76" s="1715">
        <f t="shared" ref="C76:K76" si="7">SUM(C47:C75)</f>
        <v>94432</v>
      </c>
      <c r="D76" s="1715">
        <f t="shared" si="7"/>
        <v>0</v>
      </c>
      <c r="E76" s="1715">
        <f t="shared" si="7"/>
        <v>0</v>
      </c>
      <c r="F76" s="1715">
        <f t="shared" si="7"/>
        <v>0</v>
      </c>
      <c r="G76" s="1715">
        <f t="shared" si="7"/>
        <v>0</v>
      </c>
      <c r="H76" s="1715">
        <f t="shared" si="7"/>
        <v>0</v>
      </c>
      <c r="I76" s="1715">
        <f t="shared" si="7"/>
        <v>0</v>
      </c>
      <c r="J76" s="1715">
        <f t="shared" si="7"/>
        <v>0</v>
      </c>
      <c r="K76" s="1715">
        <f t="shared" si="7"/>
        <v>0</v>
      </c>
      <c r="L76" s="524"/>
    </row>
    <row r="77" spans="1:12" ht="14.25" thickTop="1" thickBot="1" x14ac:dyDescent="0.25">
      <c r="A77" s="2138" t="s">
        <v>1238</v>
      </c>
      <c r="B77" s="2139"/>
      <c r="C77" s="1715">
        <f t="shared" ref="C77:K77" si="8">C44-C76</f>
        <v>-94432</v>
      </c>
      <c r="D77" s="1715">
        <f t="shared" si="8"/>
        <v>0</v>
      </c>
      <c r="E77" s="1715">
        <f t="shared" si="8"/>
        <v>94432</v>
      </c>
      <c r="F77" s="1715">
        <f t="shared" si="8"/>
        <v>0</v>
      </c>
      <c r="G77" s="1715">
        <f t="shared" si="8"/>
        <v>0</v>
      </c>
      <c r="H77" s="1715">
        <f t="shared" si="8"/>
        <v>0</v>
      </c>
      <c r="I77" s="1715">
        <f t="shared" si="8"/>
        <v>0</v>
      </c>
      <c r="J77" s="1715">
        <f t="shared" si="8"/>
        <v>0</v>
      </c>
      <c r="K77" s="1715">
        <f t="shared" si="8"/>
        <v>0</v>
      </c>
      <c r="L77" s="347"/>
    </row>
    <row r="78" spans="1:12" ht="21.75" customHeight="1" thickTop="1" thickBot="1" x14ac:dyDescent="0.25">
      <c r="A78" s="2142" t="s">
        <v>617</v>
      </c>
      <c r="B78" s="2143"/>
      <c r="C78" s="1714">
        <f t="shared" ref="C78:K78" si="9">C20+C77</f>
        <v>585994</v>
      </c>
      <c r="D78" s="1714">
        <f t="shared" si="9"/>
        <v>-30400</v>
      </c>
      <c r="E78" s="1714">
        <f t="shared" si="9"/>
        <v>-43090</v>
      </c>
      <c r="F78" s="1714">
        <f t="shared" si="9"/>
        <v>33571</v>
      </c>
      <c r="G78" s="1714">
        <f t="shared" si="9"/>
        <v>-4901</v>
      </c>
      <c r="H78" s="1714">
        <f t="shared" si="9"/>
        <v>0</v>
      </c>
      <c r="I78" s="1714">
        <f t="shared" si="9"/>
        <v>81168</v>
      </c>
      <c r="J78" s="1714">
        <f t="shared" si="9"/>
        <v>-1999</v>
      </c>
      <c r="K78" s="1714">
        <f t="shared" si="9"/>
        <v>-2465961</v>
      </c>
      <c r="L78" s="533"/>
    </row>
    <row r="79" spans="1:12" ht="13.5" thickTop="1" x14ac:dyDescent="0.2">
      <c r="A79" s="1509" t="s">
        <v>2068</v>
      </c>
      <c r="B79" s="534"/>
      <c r="C79" s="478">
        <v>1136266</v>
      </c>
      <c r="D79" s="535">
        <v>124388</v>
      </c>
      <c r="E79" s="535">
        <v>41997</v>
      </c>
      <c r="F79" s="535">
        <v>233242</v>
      </c>
      <c r="G79" s="535">
        <v>215787</v>
      </c>
      <c r="H79" s="535"/>
      <c r="I79" s="535">
        <v>1352932</v>
      </c>
      <c r="J79" s="535">
        <v>94632</v>
      </c>
      <c r="K79" s="535">
        <v>2828666</v>
      </c>
      <c r="L79" s="347"/>
    </row>
    <row r="80" spans="1:12" x14ac:dyDescent="0.2">
      <c r="A80" s="2148" t="s">
        <v>1895</v>
      </c>
      <c r="B80" s="2149"/>
      <c r="C80" s="467"/>
      <c r="D80" s="467"/>
      <c r="E80" s="467"/>
      <c r="F80" s="467"/>
      <c r="G80" s="467"/>
      <c r="H80" s="467"/>
      <c r="I80" s="467"/>
      <c r="J80" s="467"/>
      <c r="K80" s="467"/>
      <c r="L80" s="347"/>
    </row>
    <row r="81" spans="1:12" ht="13.5" thickBot="1" x14ac:dyDescent="0.25">
      <c r="A81" s="2140" t="s">
        <v>2069</v>
      </c>
      <c r="B81" s="2141"/>
      <c r="C81" s="1700">
        <f>(SUM(C78:C80))</f>
        <v>1722260</v>
      </c>
      <c r="D81" s="1700">
        <f>SUM(D78:D80)</f>
        <v>93988</v>
      </c>
      <c r="E81" s="1700">
        <f t="shared" ref="E81:K81" si="10">SUM(E78:E80)</f>
        <v>-1093</v>
      </c>
      <c r="F81" s="1700">
        <f t="shared" si="10"/>
        <v>266813</v>
      </c>
      <c r="G81" s="1700">
        <f t="shared" si="10"/>
        <v>210886</v>
      </c>
      <c r="H81" s="1700">
        <f t="shared" si="10"/>
        <v>0</v>
      </c>
      <c r="I81" s="1700">
        <f t="shared" si="10"/>
        <v>1434100</v>
      </c>
      <c r="J81" s="1700">
        <f t="shared" si="10"/>
        <v>92633</v>
      </c>
      <c r="K81" s="1700">
        <f t="shared" si="10"/>
        <v>362705</v>
      </c>
      <c r="L81" s="347"/>
    </row>
    <row r="82" spans="1:12" ht="0.75" customHeight="1" thickTop="1" thickBot="1" x14ac:dyDescent="0.25">
      <c r="A82" s="536" t="s">
        <v>360</v>
      </c>
      <c r="B82" s="537"/>
      <c r="C82" s="538">
        <f>(C81-C79)</f>
        <v>585994</v>
      </c>
      <c r="D82" s="538">
        <f t="shared" ref="D82:K82" si="11">(D81-D79)</f>
        <v>-30400</v>
      </c>
      <c r="E82" s="538">
        <f t="shared" si="11"/>
        <v>-43090</v>
      </c>
      <c r="F82" s="538">
        <f t="shared" si="11"/>
        <v>33571</v>
      </c>
      <c r="G82" s="538">
        <f t="shared" si="11"/>
        <v>-4901</v>
      </c>
      <c r="H82" s="538">
        <f t="shared" si="11"/>
        <v>0</v>
      </c>
      <c r="I82" s="538">
        <f t="shared" si="11"/>
        <v>81168</v>
      </c>
      <c r="J82" s="538">
        <f t="shared" si="11"/>
        <v>-1999</v>
      </c>
      <c r="K82" s="538">
        <f t="shared" si="11"/>
        <v>-2465961</v>
      </c>
    </row>
    <row r="83" spans="1:12" ht="14.25" hidden="1" thickTop="1" thickBot="1" x14ac:dyDescent="0.25">
      <c r="A83" s="539" t="s">
        <v>361</v>
      </c>
      <c r="B83" s="464"/>
      <c r="C83" s="540">
        <f>C82/C81</f>
        <v>0.34024711716001066</v>
      </c>
      <c r="D83" s="540">
        <f t="shared" ref="D83:K83" si="12">D82/D81</f>
        <v>-0.32344554623994554</v>
      </c>
      <c r="E83" s="540">
        <f t="shared" si="12"/>
        <v>39.423604757548034</v>
      </c>
      <c r="F83" s="540">
        <f t="shared" si="12"/>
        <v>0.1258222050649706</v>
      </c>
      <c r="G83" s="540">
        <f t="shared" si="12"/>
        <v>-2.3240044384169645E-2</v>
      </c>
      <c r="H83" s="540" t="e">
        <f t="shared" si="12"/>
        <v>#DIV/0!</v>
      </c>
      <c r="I83" s="540">
        <f t="shared" si="12"/>
        <v>5.6598563559026566E-2</v>
      </c>
      <c r="J83" s="540">
        <f t="shared" si="12"/>
        <v>-2.1579782582880829E-2</v>
      </c>
      <c r="K83" s="540">
        <f t="shared" si="12"/>
        <v>-6.7988061923601828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1902</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1759</v>
      </c>
      <c r="B5" s="547"/>
      <c r="C5" s="481">
        <v>1642561</v>
      </c>
      <c r="D5" s="481">
        <v>247290</v>
      </c>
      <c r="E5" s="466">
        <v>436662</v>
      </c>
      <c r="F5" s="548">
        <v>118657</v>
      </c>
      <c r="G5" s="466">
        <v>145720</v>
      </c>
      <c r="H5" s="466"/>
      <c r="I5" s="466">
        <v>49499</v>
      </c>
      <c r="J5" s="467">
        <v>326154</v>
      </c>
      <c r="K5" s="466">
        <v>49499</v>
      </c>
    </row>
    <row r="6" spans="1:12" ht="15" x14ac:dyDescent="0.2">
      <c r="A6" s="463" t="s">
        <v>1760</v>
      </c>
      <c r="B6" s="470">
        <v>1130</v>
      </c>
      <c r="C6" s="466">
        <v>48862</v>
      </c>
      <c r="D6" s="466"/>
      <c r="E6" s="475"/>
      <c r="F6" s="475"/>
      <c r="G6" s="468"/>
      <c r="H6" s="468"/>
      <c r="I6" s="468"/>
      <c r="J6" s="468"/>
      <c r="K6" s="468"/>
    </row>
    <row r="7" spans="1:12" x14ac:dyDescent="0.2">
      <c r="A7" s="463" t="s">
        <v>112</v>
      </c>
      <c r="B7" s="549">
        <v>1140</v>
      </c>
      <c r="C7" s="466">
        <v>20495</v>
      </c>
      <c r="D7" s="466"/>
      <c r="E7" s="468"/>
      <c r="F7" s="467"/>
      <c r="G7" s="467"/>
      <c r="H7" s="467"/>
      <c r="I7" s="468"/>
      <c r="J7" s="468"/>
      <c r="K7" s="468"/>
    </row>
    <row r="8" spans="1:12" x14ac:dyDescent="0.2">
      <c r="A8" s="463" t="s">
        <v>432</v>
      </c>
      <c r="B8" s="470">
        <v>1150</v>
      </c>
      <c r="C8" s="475"/>
      <c r="D8" s="475"/>
      <c r="E8" s="477"/>
      <c r="F8" s="477"/>
      <c r="G8" s="481">
        <v>145720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7" t="s">
        <v>29</v>
      </c>
      <c r="B12" s="1718"/>
      <c r="C12" s="1719">
        <f t="shared" ref="C12:K12" si="0">SUM(C5:C11)</f>
        <v>1711918</v>
      </c>
      <c r="D12" s="1719">
        <f t="shared" si="0"/>
        <v>247290</v>
      </c>
      <c r="E12" s="1719">
        <f t="shared" si="0"/>
        <v>436662</v>
      </c>
      <c r="F12" s="1719">
        <f t="shared" si="0"/>
        <v>118657</v>
      </c>
      <c r="G12" s="1719">
        <f t="shared" si="0"/>
        <v>291440</v>
      </c>
      <c r="H12" s="1719">
        <f t="shared" si="0"/>
        <v>0</v>
      </c>
      <c r="I12" s="1719">
        <f t="shared" si="0"/>
        <v>49499</v>
      </c>
      <c r="J12" s="1719">
        <f t="shared" si="0"/>
        <v>326154</v>
      </c>
      <c r="K12" s="1700">
        <f t="shared" si="0"/>
        <v>49499</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650806</v>
      </c>
      <c r="D16" s="466">
        <v>225000</v>
      </c>
      <c r="E16" s="466"/>
      <c r="F16" s="466"/>
      <c r="G16" s="466"/>
      <c r="H16" s="466"/>
      <c r="I16" s="466"/>
      <c r="J16" s="467"/>
      <c r="K16" s="466"/>
    </row>
    <row r="17" spans="1:11" ht="12.75" customHeight="1" x14ac:dyDescent="0.2">
      <c r="A17" s="463" t="s">
        <v>839</v>
      </c>
      <c r="B17" s="470">
        <v>1290</v>
      </c>
      <c r="C17" s="551">
        <v>146657</v>
      </c>
      <c r="D17" s="466">
        <v>15000</v>
      </c>
      <c r="E17" s="466"/>
      <c r="F17" s="466"/>
      <c r="G17" s="466"/>
      <c r="H17" s="466"/>
      <c r="I17" s="466"/>
      <c r="J17" s="467"/>
      <c r="K17" s="466"/>
    </row>
    <row r="18" spans="1:11" ht="12.75" customHeight="1" thickBot="1" x14ac:dyDescent="0.25">
      <c r="A18" s="1720" t="s">
        <v>557</v>
      </c>
      <c r="B18" s="1721"/>
      <c r="C18" s="1722">
        <f>SUM(C14:C17)</f>
        <v>797463</v>
      </c>
      <c r="D18" s="1722">
        <f t="shared" ref="D18:K18" si="1">SUM(D14:D17)</f>
        <v>240000</v>
      </c>
      <c r="E18" s="1722">
        <f t="shared" si="1"/>
        <v>0</v>
      </c>
      <c r="F18" s="1722">
        <f t="shared" si="1"/>
        <v>0</v>
      </c>
      <c r="G18" s="1722">
        <f t="shared" si="1"/>
        <v>0</v>
      </c>
      <c r="H18" s="1722">
        <f t="shared" si="1"/>
        <v>0</v>
      </c>
      <c r="I18" s="1722">
        <f t="shared" si="1"/>
        <v>0</v>
      </c>
      <c r="J18" s="1722">
        <f t="shared" si="1"/>
        <v>0</v>
      </c>
      <c r="K18" s="1723">
        <f t="shared" si="1"/>
        <v>0</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0" t="s">
        <v>558</v>
      </c>
      <c r="B40" s="1721"/>
      <c r="C40" s="1700">
        <f>SUM(C20:C39)</f>
        <v>0</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0" t="s">
        <v>505</v>
      </c>
      <c r="B63" s="1721"/>
      <c r="C63" s="468"/>
      <c r="D63" s="468"/>
      <c r="E63" s="468"/>
      <c r="F63" s="1700">
        <f>SUM(F42:F62)</f>
        <v>0</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22206</v>
      </c>
      <c r="D65" s="466">
        <v>163</v>
      </c>
      <c r="E65" s="466">
        <v>144</v>
      </c>
      <c r="F65" s="467">
        <v>305</v>
      </c>
      <c r="G65" s="466">
        <v>350</v>
      </c>
      <c r="H65" s="466"/>
      <c r="I65" s="466">
        <v>31669</v>
      </c>
      <c r="J65" s="467">
        <v>168</v>
      </c>
      <c r="K65" s="466">
        <v>6863</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0" t="s">
        <v>506</v>
      </c>
      <c r="B67" s="1721"/>
      <c r="C67" s="1700">
        <f>SUM(C65:C66)</f>
        <v>22206</v>
      </c>
      <c r="D67" s="1700">
        <f t="shared" ref="D67:K67" si="2">SUM(D65:D66)</f>
        <v>163</v>
      </c>
      <c r="E67" s="1700">
        <f t="shared" si="2"/>
        <v>144</v>
      </c>
      <c r="F67" s="1700">
        <f t="shared" si="2"/>
        <v>305</v>
      </c>
      <c r="G67" s="1700">
        <f t="shared" si="2"/>
        <v>350</v>
      </c>
      <c r="H67" s="1700">
        <f t="shared" si="2"/>
        <v>0</v>
      </c>
      <c r="I67" s="1700">
        <f t="shared" si="2"/>
        <v>31669</v>
      </c>
      <c r="J67" s="1700">
        <f t="shared" si="2"/>
        <v>168</v>
      </c>
      <c r="K67" s="1700">
        <f t="shared" si="2"/>
        <v>6863</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v>494</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1072</v>
      </c>
      <c r="D73" s="468"/>
      <c r="E73" s="468"/>
      <c r="F73" s="468"/>
      <c r="G73" s="468"/>
      <c r="H73" s="468"/>
      <c r="I73" s="468"/>
      <c r="J73" s="468"/>
      <c r="K73" s="468"/>
    </row>
    <row r="74" spans="1:11" ht="12.75" customHeight="1" x14ac:dyDescent="0.2">
      <c r="A74" s="463" t="s">
        <v>25</v>
      </c>
      <c r="B74" s="470">
        <v>1690</v>
      </c>
      <c r="C74" s="551">
        <v>4000</v>
      </c>
      <c r="D74" s="468"/>
      <c r="E74" s="468"/>
      <c r="F74" s="468"/>
      <c r="G74" s="468"/>
      <c r="H74" s="468"/>
      <c r="I74" s="468"/>
      <c r="J74" s="468"/>
      <c r="K74" s="468"/>
    </row>
    <row r="75" spans="1:11" ht="12.75" customHeight="1" thickBot="1" x14ac:dyDescent="0.25">
      <c r="A75" s="1720" t="s">
        <v>568</v>
      </c>
      <c r="B75" s="1721"/>
      <c r="C75" s="1700">
        <f>SUM(C69:C74)</f>
        <v>5566</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v>4859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0" t="s">
        <v>259</v>
      </c>
      <c r="B82" s="1721"/>
      <c r="C82" s="1719">
        <f>SUM(C77:C81)</f>
        <v>4859</v>
      </c>
      <c r="D82" s="1700">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v>12677</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0" t="s">
        <v>261</v>
      </c>
      <c r="B93" s="1721"/>
      <c r="C93" s="1700">
        <f>SUM(C84:C92)</f>
        <v>12677</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v>1000</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19864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826</v>
      </c>
      <c r="D107" s="466">
        <v>11830</v>
      </c>
      <c r="E107" s="466"/>
      <c r="F107" s="466"/>
      <c r="G107" s="466"/>
      <c r="H107" s="466"/>
      <c r="I107" s="466"/>
      <c r="J107" s="467"/>
      <c r="K107" s="466"/>
    </row>
    <row r="108" spans="1:12" ht="12.75" customHeight="1" thickBot="1" x14ac:dyDescent="0.25">
      <c r="A108" s="1720" t="s">
        <v>507</v>
      </c>
      <c r="B108" s="1724"/>
      <c r="C108" s="1719">
        <f>SUM(C95:C107)</f>
        <v>21690</v>
      </c>
      <c r="D108" s="1719">
        <f t="shared" ref="D108:K108" si="3">SUM(D95:D107)</f>
        <v>11830</v>
      </c>
      <c r="E108" s="1719">
        <f t="shared" si="3"/>
        <v>0</v>
      </c>
      <c r="F108" s="1719">
        <f t="shared" si="3"/>
        <v>0</v>
      </c>
      <c r="G108" s="1719">
        <f t="shared" si="3"/>
        <v>0</v>
      </c>
      <c r="H108" s="1719">
        <f t="shared" si="3"/>
        <v>0</v>
      </c>
      <c r="I108" s="1719">
        <f t="shared" si="3"/>
        <v>0</v>
      </c>
      <c r="J108" s="1719">
        <f t="shared" si="3"/>
        <v>0</v>
      </c>
      <c r="K108" s="1700">
        <f t="shared" si="3"/>
        <v>0</v>
      </c>
    </row>
    <row r="109" spans="1:12" ht="14.25" thickTop="1" thickBot="1" x14ac:dyDescent="0.25">
      <c r="A109" s="1725" t="s">
        <v>266</v>
      </c>
      <c r="B109" s="1726" t="s">
        <v>590</v>
      </c>
      <c r="C109" s="1727">
        <f t="shared" ref="C109:K109" si="4">SUM(C12,C18,C40,C63,C67,C75,C82,C93,C108,)</f>
        <v>2576379</v>
      </c>
      <c r="D109" s="1727">
        <f t="shared" si="4"/>
        <v>499283</v>
      </c>
      <c r="E109" s="1727">
        <f t="shared" si="4"/>
        <v>436806</v>
      </c>
      <c r="F109" s="1727">
        <f t="shared" si="4"/>
        <v>118962</v>
      </c>
      <c r="G109" s="1727">
        <f t="shared" si="4"/>
        <v>291790</v>
      </c>
      <c r="H109" s="1727">
        <f t="shared" si="4"/>
        <v>0</v>
      </c>
      <c r="I109" s="1727">
        <f t="shared" si="4"/>
        <v>81168</v>
      </c>
      <c r="J109" s="1727">
        <f t="shared" si="4"/>
        <v>326322</v>
      </c>
      <c r="K109" s="1714">
        <f t="shared" si="4"/>
        <v>56362</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8" t="s">
        <v>838</v>
      </c>
      <c r="B114" s="1729" t="s">
        <v>589</v>
      </c>
      <c r="C114" s="1730">
        <f>SUM(C111:C113)</f>
        <v>0</v>
      </c>
      <c r="D114" s="1730">
        <f>SUM(D111:D113)</f>
        <v>0</v>
      </c>
      <c r="E114" s="561" t="s">
        <v>1230</v>
      </c>
      <c r="F114" s="1730">
        <f>SUM(F111:F113)</f>
        <v>0</v>
      </c>
      <c r="G114" s="1730">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1570</v>
      </c>
      <c r="B116" s="1611"/>
      <c r="C116" s="522"/>
      <c r="D116" s="521"/>
      <c r="E116" s="561"/>
      <c r="F116" s="521"/>
      <c r="G116" s="521"/>
      <c r="H116" s="561"/>
      <c r="I116" s="468"/>
      <c r="J116" s="521"/>
      <c r="K116" s="521"/>
    </row>
    <row r="117" spans="1:11" ht="12.75" customHeight="1" x14ac:dyDescent="0.2">
      <c r="A117" s="463" t="s">
        <v>1765</v>
      </c>
      <c r="B117" s="562">
        <v>3001</v>
      </c>
      <c r="C117" s="516">
        <v>1864681</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1" t="s">
        <v>1901</v>
      </c>
      <c r="B120" s="564">
        <v>3099</v>
      </c>
      <c r="C120" s="551"/>
      <c r="D120" s="466"/>
      <c r="E120" s="466"/>
      <c r="F120" s="466"/>
      <c r="G120" s="466"/>
      <c r="H120" s="466"/>
      <c r="I120" s="468"/>
      <c r="J120" s="467"/>
      <c r="K120" s="466"/>
    </row>
    <row r="121" spans="1:11" ht="12.6" customHeight="1" thickBot="1" x14ac:dyDescent="0.25">
      <c r="A121" s="1720" t="s">
        <v>508</v>
      </c>
      <c r="B121" s="1731"/>
      <c r="C121" s="1719">
        <f t="shared" ref="C121:H121" si="5">SUM(C117:C120)</f>
        <v>1864681</v>
      </c>
      <c r="D121" s="1719">
        <f t="shared" si="5"/>
        <v>0</v>
      </c>
      <c r="E121" s="1719">
        <f t="shared" si="5"/>
        <v>0</v>
      </c>
      <c r="F121" s="1719">
        <f t="shared" si="5"/>
        <v>0</v>
      </c>
      <c r="G121" s="1719">
        <f t="shared" si="5"/>
        <v>0</v>
      </c>
      <c r="H121" s="1719">
        <f t="shared" si="5"/>
        <v>0</v>
      </c>
      <c r="I121" s="468"/>
      <c r="J121" s="1719">
        <f>SUM(J117:J120)</f>
        <v>0</v>
      </c>
      <c r="K121" s="1700">
        <f>SUM(K117:K120)</f>
        <v>0</v>
      </c>
    </row>
    <row r="122" spans="1:11" ht="15.75" customHeight="1" thickTop="1" x14ac:dyDescent="0.2">
      <c r="A122" s="1607" t="s">
        <v>1569</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50101</v>
      </c>
      <c r="D125" s="561"/>
      <c r="E125" s="468"/>
      <c r="F125" s="466"/>
      <c r="G125" s="468"/>
      <c r="H125" s="468"/>
      <c r="I125" s="468"/>
      <c r="J125" s="468"/>
      <c r="K125" s="468"/>
    </row>
    <row r="126" spans="1:11" ht="12.75" customHeight="1" x14ac:dyDescent="0.2">
      <c r="A126" s="463" t="s">
        <v>921</v>
      </c>
      <c r="B126" s="562">
        <v>3110</v>
      </c>
      <c r="C126" s="551">
        <v>76274</v>
      </c>
      <c r="D126" s="466"/>
      <c r="E126" s="468"/>
      <c r="F126" s="466"/>
      <c r="G126" s="468"/>
      <c r="H126" s="468"/>
      <c r="I126" s="468"/>
      <c r="J126" s="468"/>
      <c r="K126" s="468"/>
    </row>
    <row r="127" spans="1:11" ht="12.75" customHeight="1" x14ac:dyDescent="0.2">
      <c r="A127" s="463" t="s">
        <v>107</v>
      </c>
      <c r="B127" s="562">
        <v>3120</v>
      </c>
      <c r="C127" s="466">
        <v>14126</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278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0" t="s">
        <v>1091</v>
      </c>
      <c r="B131" s="1732"/>
      <c r="C131" s="1719">
        <f>SUM(C124:C130)</f>
        <v>140779</v>
      </c>
      <c r="D131" s="1719">
        <f>SUM(D124:D130)</f>
        <v>0</v>
      </c>
      <c r="E131" s="469" t="s">
        <v>1230</v>
      </c>
      <c r="F131" s="1719">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192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0" t="s">
        <v>623</v>
      </c>
      <c r="B140" s="1732"/>
      <c r="C140" s="1719">
        <f>SUM(C133:C139)</f>
        <v>192</v>
      </c>
      <c r="D140" s="1719">
        <f>SUM(D133:D139)</f>
        <v>0</v>
      </c>
      <c r="E140" s="561" t="s">
        <v>1230</v>
      </c>
      <c r="F140" s="477"/>
      <c r="G140" s="1719">
        <f>SUM(G133:G139)</f>
        <v>0</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0" t="s">
        <v>413</v>
      </c>
      <c r="B144" s="1732"/>
      <c r="C144" s="1700">
        <f>SUM(C142:C143)</f>
        <v>0</v>
      </c>
      <c r="D144" s="468"/>
      <c r="E144" s="509"/>
      <c r="F144" s="468"/>
      <c r="G144" s="1733">
        <f>SUM(G142:G143)</f>
        <v>0</v>
      </c>
      <c r="H144" s="468"/>
      <c r="I144" s="468"/>
      <c r="J144" s="468"/>
      <c r="K144" s="468"/>
    </row>
    <row r="145" spans="1:11" s="202" customFormat="1" ht="12.75" customHeight="1" thickTop="1" x14ac:dyDescent="0.2">
      <c r="A145" s="1513" t="s">
        <v>1115</v>
      </c>
      <c r="B145" s="568">
        <v>3360</v>
      </c>
      <c r="C145" s="569">
        <v>7826</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1522</v>
      </c>
      <c r="B151" s="562">
        <v>3500</v>
      </c>
      <c r="C151" s="551"/>
      <c r="D151" s="466"/>
      <c r="E151" s="561"/>
      <c r="F151" s="466">
        <v>3134</v>
      </c>
      <c r="G151" s="467"/>
      <c r="H151" s="468"/>
      <c r="I151" s="468"/>
      <c r="J151" s="468"/>
      <c r="K151" s="468"/>
    </row>
    <row r="152" spans="1:11" ht="12.75" customHeight="1" x14ac:dyDescent="0.2">
      <c r="A152" s="463" t="s">
        <v>1116</v>
      </c>
      <c r="B152" s="562">
        <v>3510</v>
      </c>
      <c r="C152" s="551"/>
      <c r="D152" s="466"/>
      <c r="E152" s="561"/>
      <c r="F152" s="466">
        <v>55361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0" t="s">
        <v>96</v>
      </c>
      <c r="B154" s="1732"/>
      <c r="C154" s="1719">
        <f>SUM(C151:C153)</f>
        <v>0</v>
      </c>
      <c r="D154" s="1719">
        <f>SUM(D151:D153)</f>
        <v>0</v>
      </c>
      <c r="E154" s="561"/>
      <c r="F154" s="1719">
        <f>SUM(F151:F153)</f>
        <v>58495</v>
      </c>
      <c r="G154" s="1719">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v>597045</v>
      </c>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1523</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c r="D171" s="580"/>
      <c r="E171" s="580"/>
      <c r="F171" s="580"/>
      <c r="G171" s="581"/>
      <c r="H171" s="582"/>
      <c r="I171" s="581"/>
      <c r="J171" s="581"/>
      <c r="K171" s="582"/>
    </row>
    <row r="172" spans="1:11" ht="12.75" customHeight="1" thickTop="1" thickBot="1" x14ac:dyDescent="0.25">
      <c r="A172" s="2164" t="s">
        <v>417</v>
      </c>
      <c r="B172" s="2165"/>
      <c r="C172" s="1734">
        <f t="shared" ref="C172:K172" si="6">SUM(C131,C140,C144,C145:C149,C154,C155:C170,C171)</f>
        <v>745842</v>
      </c>
      <c r="D172" s="1734">
        <f t="shared" si="6"/>
        <v>0</v>
      </c>
      <c r="E172" s="1734">
        <f t="shared" si="6"/>
        <v>0</v>
      </c>
      <c r="F172" s="1734">
        <f t="shared" si="6"/>
        <v>58495</v>
      </c>
      <c r="G172" s="1734">
        <f t="shared" si="6"/>
        <v>0</v>
      </c>
      <c r="H172" s="1734">
        <f t="shared" si="6"/>
        <v>0</v>
      </c>
      <c r="I172" s="1734">
        <f t="shared" si="6"/>
        <v>0</v>
      </c>
      <c r="J172" s="1734">
        <f t="shared" si="6"/>
        <v>0</v>
      </c>
      <c r="K172" s="1715">
        <f t="shared" si="6"/>
        <v>0</v>
      </c>
    </row>
    <row r="173" spans="1:11" ht="12.75" customHeight="1" thickTop="1" thickBot="1" x14ac:dyDescent="0.25">
      <c r="A173" s="1720" t="s">
        <v>418</v>
      </c>
      <c r="B173" s="1726" t="s">
        <v>595</v>
      </c>
      <c r="C173" s="1727">
        <f>SUM(C121,C172)</f>
        <v>2610523</v>
      </c>
      <c r="D173" s="1727">
        <f>SUM(D121,D172)</f>
        <v>0</v>
      </c>
      <c r="E173" s="1727">
        <f>SUM(E121,E172)</f>
        <v>0</v>
      </c>
      <c r="F173" s="1727">
        <f t="shared" ref="F173:K173" si="7">SUM(F121,F172)</f>
        <v>58495</v>
      </c>
      <c r="G173" s="1727">
        <f t="shared" si="7"/>
        <v>0</v>
      </c>
      <c r="H173" s="1727">
        <f t="shared" si="7"/>
        <v>0</v>
      </c>
      <c r="I173" s="1727">
        <f t="shared" si="7"/>
        <v>0</v>
      </c>
      <c r="J173" s="1727">
        <f t="shared" si="7"/>
        <v>0</v>
      </c>
      <c r="K173" s="1714">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0" t="s">
        <v>1763</v>
      </c>
      <c r="B178" s="2171"/>
      <c r="C178" s="1719">
        <f>SUM(C176:C177)</f>
        <v>0</v>
      </c>
      <c r="D178" s="1719">
        <f t="shared" ref="D178:K178" si="8">SUM(D176:D177)</f>
        <v>0</v>
      </c>
      <c r="E178" s="1719">
        <f t="shared" si="8"/>
        <v>0</v>
      </c>
      <c r="F178" s="1719">
        <f t="shared" si="8"/>
        <v>0</v>
      </c>
      <c r="G178" s="1719">
        <f t="shared" si="8"/>
        <v>0</v>
      </c>
      <c r="H178" s="1719">
        <f t="shared" si="8"/>
        <v>0</v>
      </c>
      <c r="I178" s="1719">
        <f t="shared" si="8"/>
        <v>0</v>
      </c>
      <c r="J178" s="1719">
        <f t="shared" si="8"/>
        <v>0</v>
      </c>
      <c r="K178" s="1700">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2" t="s">
        <v>817</v>
      </c>
      <c r="B184" s="2173"/>
      <c r="C184" s="1719">
        <f>SUM(C180:C183)</f>
        <v>0</v>
      </c>
      <c r="D184" s="1719">
        <f>SUM(D180:D183)</f>
        <v>0</v>
      </c>
      <c r="E184" s="468"/>
      <c r="F184" s="1719">
        <f>SUM(F180:F183)</f>
        <v>0</v>
      </c>
      <c r="G184" s="1719">
        <f>SUM(G180:G183)</f>
        <v>0</v>
      </c>
      <c r="H184" s="1719">
        <f>SUM(H180:H183)</f>
        <v>0</v>
      </c>
      <c r="I184" s="468"/>
      <c r="J184" s="468"/>
      <c r="K184" s="1700">
        <f>SUM(K180:K183)</f>
        <v>0</v>
      </c>
    </row>
    <row r="185" spans="1:11" ht="22.5" customHeight="1" thickTop="1" x14ac:dyDescent="0.2">
      <c r="A185" s="2168" t="s">
        <v>1903</v>
      </c>
      <c r="B185" s="2169"/>
      <c r="C185" s="584"/>
      <c r="D185" s="566"/>
      <c r="E185" s="509"/>
      <c r="F185" s="566"/>
      <c r="G185" s="566"/>
      <c r="H185" s="468"/>
      <c r="I185" s="468"/>
      <c r="J185" s="468"/>
      <c r="K185" s="468"/>
    </row>
    <row r="186" spans="1:11" ht="15.75" customHeight="1" x14ac:dyDescent="0.2">
      <c r="A186" s="1618" t="s">
        <v>1691</v>
      </c>
      <c r="B186" s="161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0" t="s">
        <v>1696</v>
      </c>
      <c r="B191" s="1721"/>
      <c r="C191" s="1719">
        <f>SUM(C187:C190)</f>
        <v>0</v>
      </c>
      <c r="D191" s="1719">
        <f>SUM(D187:D190)</f>
        <v>0</v>
      </c>
      <c r="E191" s="561"/>
      <c r="F191" s="1719">
        <f>SUM(F187:F190)</f>
        <v>0</v>
      </c>
      <c r="G191" s="1719">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271370</v>
      </c>
      <c r="D194" s="468"/>
      <c r="E194" s="561"/>
      <c r="F194" s="468"/>
      <c r="G194" s="585"/>
      <c r="H194" s="468"/>
      <c r="I194" s="468"/>
      <c r="J194" s="468"/>
      <c r="K194" s="468"/>
    </row>
    <row r="195" spans="1:11" ht="12.75" customHeight="1" x14ac:dyDescent="0.2">
      <c r="A195" s="463" t="s">
        <v>1106</v>
      </c>
      <c r="B195" s="470">
        <v>4215</v>
      </c>
      <c r="C195" s="551">
        <v>204637</v>
      </c>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0" t="s">
        <v>568</v>
      </c>
      <c r="B201" s="1721"/>
      <c r="C201" s="1700">
        <f>SUM(C193:C200)</f>
        <v>476007</v>
      </c>
      <c r="D201" s="468"/>
      <c r="E201" s="468"/>
      <c r="F201" s="468"/>
      <c r="G201" s="1700">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164871</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0" t="s">
        <v>419</v>
      </c>
      <c r="B211" s="1721"/>
      <c r="C211" s="1719">
        <f>SUM(C203:C210)</f>
        <v>164871</v>
      </c>
      <c r="D211" s="1719">
        <f>SUM(D203:D210)</f>
        <v>0</v>
      </c>
      <c r="E211" s="468"/>
      <c r="F211" s="1719">
        <f>SUM(F203:F210)</f>
        <v>0</v>
      </c>
      <c r="G211" s="1719">
        <f>SUM(G203:G210)</f>
        <v>0</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0" t="s">
        <v>943</v>
      </c>
      <c r="B216" s="1721"/>
      <c r="C216" s="1719">
        <f>SUM(C213:C215)</f>
        <v>0</v>
      </c>
      <c r="D216" s="1719">
        <f>SUM(D213:D215)</f>
        <v>0</v>
      </c>
      <c r="E216" s="468" t="s">
        <v>1230</v>
      </c>
      <c r="F216" s="1719">
        <f>SUM(F213:F215)</f>
        <v>0</v>
      </c>
      <c r="G216" s="1719">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v>20041</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v>197656</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0" t="s">
        <v>466</v>
      </c>
      <c r="B224" s="1721"/>
      <c r="C224" s="1719">
        <f>SUM(C218:C223)</f>
        <v>217697</v>
      </c>
      <c r="D224" s="1719">
        <f>SUM(D218:D223)</f>
        <v>0</v>
      </c>
      <c r="E224" s="468"/>
      <c r="F224" s="1719">
        <f>SUM(F218:F223)</f>
        <v>0</v>
      </c>
      <c r="G224" s="1719">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5" t="s">
        <v>1144</v>
      </c>
      <c r="B228" s="1736"/>
      <c r="C228" s="1719">
        <f>SUM(C226:C227)</f>
        <v>0</v>
      </c>
      <c r="D228" s="1719">
        <f>SUM(D226:D227)</f>
        <v>0</v>
      </c>
      <c r="E228" s="468"/>
      <c r="F228" s="468"/>
      <c r="G228" s="171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7" t="s">
        <v>797</v>
      </c>
      <c r="B259" s="1738"/>
      <c r="C259" s="1730">
        <f t="shared" ref="C259:H259" si="9">SUM(C230:C258)</f>
        <v>0</v>
      </c>
      <c r="D259" s="1719">
        <f t="shared" si="9"/>
        <v>0</v>
      </c>
      <c r="E259" s="1719">
        <f t="shared" si="9"/>
        <v>0</v>
      </c>
      <c r="F259" s="1719">
        <f t="shared" si="9"/>
        <v>0</v>
      </c>
      <c r="G259" s="1719">
        <f t="shared" si="9"/>
        <v>0</v>
      </c>
      <c r="H259" s="1719">
        <f t="shared" si="9"/>
        <v>0</v>
      </c>
      <c r="I259" s="553"/>
      <c r="J259" s="1719">
        <f>SUM(J230:J258)</f>
        <v>0</v>
      </c>
      <c r="K259" s="1700">
        <f>SUM(K230:K258)</f>
        <v>0</v>
      </c>
    </row>
    <row r="260" spans="1:11" ht="12.75" customHeight="1" thickTop="1" thickBot="1" x14ac:dyDescent="0.25">
      <c r="A260" s="1517" t="s">
        <v>1492</v>
      </c>
      <c r="B260" s="588">
        <v>4901</v>
      </c>
      <c r="C260" s="589"/>
      <c r="D260" s="469"/>
      <c r="E260" s="468"/>
      <c r="F260" s="468"/>
      <c r="G260" s="468"/>
      <c r="H260" s="468"/>
      <c r="I260" s="468"/>
      <c r="J260" s="468"/>
      <c r="K260" s="468"/>
    </row>
    <row r="261" spans="1:11" ht="12.75" customHeight="1" thickTop="1" thickBot="1" x14ac:dyDescent="0.25">
      <c r="A261" s="1518"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1000</v>
      </c>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24353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13558</v>
      </c>
      <c r="D270" s="576"/>
      <c r="E270" s="468"/>
      <c r="F270" s="576"/>
      <c r="G270" s="576"/>
      <c r="H270" s="468"/>
      <c r="I270" s="468"/>
      <c r="J270" s="468"/>
      <c r="K270" s="468"/>
    </row>
    <row r="271" spans="1:11" ht="12.75" customHeight="1" thickTop="1" thickBot="1" x14ac:dyDescent="0.25">
      <c r="A271" s="463" t="s">
        <v>394</v>
      </c>
      <c r="B271" s="470">
        <v>4992</v>
      </c>
      <c r="C271" s="575">
        <v>35473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0" t="s">
        <v>1764</v>
      </c>
      <c r="B273" s="1739"/>
      <c r="C273" s="1727">
        <f t="shared" ref="C273:H273" si="10">SUM(C191,C201,C211,C216,C224,C228,C229,C259:C272)</f>
        <v>932959</v>
      </c>
      <c r="D273" s="1727">
        <f t="shared" si="10"/>
        <v>0</v>
      </c>
      <c r="E273" s="1727">
        <f t="shared" si="10"/>
        <v>0</v>
      </c>
      <c r="F273" s="1727">
        <f t="shared" si="10"/>
        <v>0</v>
      </c>
      <c r="G273" s="1727">
        <f t="shared" si="10"/>
        <v>0</v>
      </c>
      <c r="H273" s="1727">
        <f t="shared" si="10"/>
        <v>0</v>
      </c>
      <c r="I273" s="468"/>
      <c r="J273" s="1727">
        <f>SUM(J191,J201,J211,J216,J224,J228,J229,J259:J272)</f>
        <v>0</v>
      </c>
      <c r="K273" s="1714">
        <f>SUM(K191,K201,K211,K216,K224,K228,K229,K259:K272)</f>
        <v>0</v>
      </c>
    </row>
    <row r="274" spans="1:11" ht="14.25" thickTop="1" thickBot="1" x14ac:dyDescent="0.25">
      <c r="A274" s="1740" t="s">
        <v>1146</v>
      </c>
      <c r="B274" s="1741" t="s">
        <v>914</v>
      </c>
      <c r="C274" s="1727">
        <f>SUM(C178,C184,C273)</f>
        <v>932959</v>
      </c>
      <c r="D274" s="1727">
        <f>SUM(D178,D184,D273)</f>
        <v>0</v>
      </c>
      <c r="E274" s="1727">
        <f>SUM(E178,E273)</f>
        <v>0</v>
      </c>
      <c r="F274" s="1727">
        <f t="shared" ref="F274:K274" si="11">SUM(F178,F184,F273)</f>
        <v>0</v>
      </c>
      <c r="G274" s="1727">
        <f t="shared" si="11"/>
        <v>0</v>
      </c>
      <c r="H274" s="1727">
        <f t="shared" si="11"/>
        <v>0</v>
      </c>
      <c r="I274" s="1727">
        <f t="shared" si="11"/>
        <v>0</v>
      </c>
      <c r="J274" s="1727">
        <f t="shared" si="11"/>
        <v>0</v>
      </c>
      <c r="K274" s="1714">
        <f t="shared" si="11"/>
        <v>0</v>
      </c>
    </row>
    <row r="275" spans="1:11" ht="14.25" thickTop="1" thickBot="1" x14ac:dyDescent="0.25">
      <c r="A275" s="1742" t="s">
        <v>269</v>
      </c>
      <c r="B275" s="1743"/>
      <c r="C275" s="1727">
        <f t="shared" ref="C275:K275" si="12">SUM(C109,C114,C173,C274)</f>
        <v>6119861</v>
      </c>
      <c r="D275" s="1727">
        <f t="shared" si="12"/>
        <v>499283</v>
      </c>
      <c r="E275" s="1727">
        <f t="shared" si="12"/>
        <v>436806</v>
      </c>
      <c r="F275" s="1727">
        <f t="shared" si="12"/>
        <v>177457</v>
      </c>
      <c r="G275" s="1727">
        <f t="shared" si="12"/>
        <v>291790</v>
      </c>
      <c r="H275" s="1727">
        <f t="shared" si="12"/>
        <v>0</v>
      </c>
      <c r="I275" s="1727">
        <f t="shared" si="12"/>
        <v>81168</v>
      </c>
      <c r="J275" s="1727">
        <f t="shared" si="12"/>
        <v>326322</v>
      </c>
      <c r="K275" s="1714">
        <f t="shared" si="12"/>
        <v>56362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7" activePane="bottomLeft" state="frozen"/>
      <selection activeCell="A47" sqref="A47"/>
      <selection pane="bottomLeft" activeCell="G349" sqref="G3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4" t="s">
        <v>314</v>
      </c>
      <c r="B3" s="2185"/>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v>1799483</v>
      </c>
      <c r="D5" s="466">
        <v>359096</v>
      </c>
      <c r="E5" s="466">
        <v>21925</v>
      </c>
      <c r="F5" s="466">
        <v>116316</v>
      </c>
      <c r="G5" s="466">
        <v>4881</v>
      </c>
      <c r="H5" s="466"/>
      <c r="I5" s="467"/>
      <c r="J5" s="467"/>
      <c r="K5" s="1683">
        <f>SUM(C5:J5)</f>
        <v>2301701</v>
      </c>
      <c r="L5" s="466">
        <v>2349025</v>
      </c>
    </row>
    <row r="6" spans="1:14" x14ac:dyDescent="0.2">
      <c r="A6" s="1519" t="s">
        <v>1507</v>
      </c>
      <c r="B6" s="615" t="s">
        <v>1505</v>
      </c>
      <c r="C6" s="477"/>
      <c r="D6" s="477"/>
      <c r="E6" s="466"/>
      <c r="F6" s="477"/>
      <c r="G6" s="477"/>
      <c r="H6" s="477"/>
      <c r="I6" s="477"/>
      <c r="J6" s="477"/>
      <c r="K6" s="1683">
        <f>SUM(C6,E6)</f>
        <v>0</v>
      </c>
      <c r="L6" s="466"/>
    </row>
    <row r="7" spans="1:14" x14ac:dyDescent="0.2">
      <c r="A7" s="1519" t="s">
        <v>165</v>
      </c>
      <c r="B7" s="615" t="s">
        <v>1023</v>
      </c>
      <c r="C7" s="467">
        <v>193783</v>
      </c>
      <c r="D7" s="467">
        <v>43376</v>
      </c>
      <c r="E7" s="467">
        <v>1864</v>
      </c>
      <c r="F7" s="467">
        <v>1548</v>
      </c>
      <c r="G7" s="467">
        <v>673</v>
      </c>
      <c r="H7" s="467"/>
      <c r="I7" s="467"/>
      <c r="J7" s="467"/>
      <c r="K7" s="1683">
        <f t="shared" ref="K7:K32" si="0">SUM(C7:J7)</f>
        <v>241244</v>
      </c>
      <c r="L7" s="466">
        <v>247625</v>
      </c>
    </row>
    <row r="8" spans="1:14" x14ac:dyDescent="0.2">
      <c r="A8" s="1519" t="s">
        <v>166</v>
      </c>
      <c r="B8" s="615">
        <v>1200</v>
      </c>
      <c r="C8" s="466">
        <v>575623</v>
      </c>
      <c r="D8" s="466">
        <v>113673</v>
      </c>
      <c r="E8" s="466">
        <v>650</v>
      </c>
      <c r="F8" s="466">
        <v>3400</v>
      </c>
      <c r="G8" s="466"/>
      <c r="H8" s="466"/>
      <c r="I8" s="467"/>
      <c r="J8" s="467"/>
      <c r="K8" s="1683">
        <f t="shared" si="0"/>
        <v>693346</v>
      </c>
      <c r="L8" s="466">
        <v>709600</v>
      </c>
    </row>
    <row r="9" spans="1:14" x14ac:dyDescent="0.2">
      <c r="A9" s="1519" t="s">
        <v>744</v>
      </c>
      <c r="B9" s="615" t="s">
        <v>1024</v>
      </c>
      <c r="C9" s="467">
        <v>71764</v>
      </c>
      <c r="D9" s="467">
        <v>16757</v>
      </c>
      <c r="E9" s="467"/>
      <c r="F9" s="467">
        <v>199</v>
      </c>
      <c r="G9" s="467"/>
      <c r="H9" s="467"/>
      <c r="I9" s="467"/>
      <c r="J9" s="467"/>
      <c r="K9" s="1683">
        <f t="shared" si="0"/>
        <v>88720</v>
      </c>
      <c r="L9" s="466">
        <v>90050</v>
      </c>
    </row>
    <row r="10" spans="1:14" x14ac:dyDescent="0.2">
      <c r="A10" s="1519" t="s">
        <v>745</v>
      </c>
      <c r="B10" s="615">
        <v>1250</v>
      </c>
      <c r="C10" s="466">
        <v>119917</v>
      </c>
      <c r="D10" s="466">
        <v>30518</v>
      </c>
      <c r="E10" s="466"/>
      <c r="F10" s="466">
        <v>594</v>
      </c>
      <c r="G10" s="466"/>
      <c r="H10" s="466"/>
      <c r="I10" s="467"/>
      <c r="J10" s="467"/>
      <c r="K10" s="1683">
        <f t="shared" si="0"/>
        <v>151029</v>
      </c>
      <c r="L10" s="466">
        <v>150935</v>
      </c>
    </row>
    <row r="11" spans="1:14" x14ac:dyDescent="0.2">
      <c r="A11" s="1519" t="s">
        <v>1191</v>
      </c>
      <c r="B11" s="615" t="s">
        <v>163</v>
      </c>
      <c r="C11" s="467"/>
      <c r="D11" s="467"/>
      <c r="E11" s="467"/>
      <c r="F11" s="467"/>
      <c r="G11" s="467"/>
      <c r="H11" s="467"/>
      <c r="I11" s="467"/>
      <c r="J11" s="467"/>
      <c r="K11" s="1683">
        <f t="shared" si="0"/>
        <v>0</v>
      </c>
      <c r="L11" s="466"/>
    </row>
    <row r="12" spans="1:14" x14ac:dyDescent="0.2">
      <c r="A12" s="1519" t="s">
        <v>1018</v>
      </c>
      <c r="B12" s="615">
        <v>1300</v>
      </c>
      <c r="C12" s="466"/>
      <c r="D12" s="466"/>
      <c r="E12" s="466"/>
      <c r="F12" s="466"/>
      <c r="G12" s="466"/>
      <c r="H12" s="466"/>
      <c r="I12" s="467"/>
      <c r="J12" s="467"/>
      <c r="K12" s="1683">
        <f t="shared" si="0"/>
        <v>0</v>
      </c>
      <c r="L12" s="466"/>
    </row>
    <row r="13" spans="1:14" x14ac:dyDescent="0.2">
      <c r="A13" s="1519" t="s">
        <v>746</v>
      </c>
      <c r="B13" s="615">
        <v>1400</v>
      </c>
      <c r="C13" s="466"/>
      <c r="D13" s="466"/>
      <c r="E13" s="466"/>
      <c r="F13" s="466"/>
      <c r="G13" s="466"/>
      <c r="H13" s="466"/>
      <c r="I13" s="467"/>
      <c r="J13" s="467"/>
      <c r="K13" s="1683">
        <f t="shared" si="0"/>
        <v>0</v>
      </c>
      <c r="L13" s="466"/>
    </row>
    <row r="14" spans="1:14" x14ac:dyDescent="0.2">
      <c r="A14" s="1519" t="s">
        <v>1019</v>
      </c>
      <c r="B14" s="615">
        <v>1500</v>
      </c>
      <c r="C14" s="466">
        <v>36728</v>
      </c>
      <c r="D14" s="466">
        <v>2955</v>
      </c>
      <c r="E14" s="466">
        <v>4118</v>
      </c>
      <c r="F14" s="466">
        <v>5265</v>
      </c>
      <c r="G14" s="466"/>
      <c r="H14" s="466">
        <v>3736</v>
      </c>
      <c r="I14" s="467"/>
      <c r="J14" s="467"/>
      <c r="K14" s="1683">
        <f t="shared" si="0"/>
        <v>52802</v>
      </c>
      <c r="L14" s="466">
        <v>61725</v>
      </c>
    </row>
    <row r="15" spans="1:14" x14ac:dyDescent="0.2">
      <c r="A15" s="1519" t="s">
        <v>1020</v>
      </c>
      <c r="B15" s="615">
        <v>1600</v>
      </c>
      <c r="C15" s="466"/>
      <c r="D15" s="466"/>
      <c r="E15" s="466"/>
      <c r="F15" s="466"/>
      <c r="G15" s="466"/>
      <c r="H15" s="466"/>
      <c r="I15" s="467"/>
      <c r="J15" s="467"/>
      <c r="K15" s="1683">
        <f t="shared" si="0"/>
        <v>0</v>
      </c>
      <c r="L15" s="466"/>
    </row>
    <row r="16" spans="1:14" x14ac:dyDescent="0.2">
      <c r="A16" s="1519" t="s">
        <v>1043</v>
      </c>
      <c r="B16" s="615" t="s">
        <v>443</v>
      </c>
      <c r="C16" s="466"/>
      <c r="D16" s="466"/>
      <c r="E16" s="466"/>
      <c r="F16" s="466"/>
      <c r="G16" s="466"/>
      <c r="H16" s="466"/>
      <c r="I16" s="467"/>
      <c r="J16" s="467"/>
      <c r="K16" s="1683">
        <f t="shared" si="0"/>
        <v>0</v>
      </c>
      <c r="L16" s="466"/>
    </row>
    <row r="17" spans="1:12" x14ac:dyDescent="0.2">
      <c r="A17" s="1519" t="s">
        <v>747</v>
      </c>
      <c r="B17" s="615" t="s">
        <v>164</v>
      </c>
      <c r="C17" s="467"/>
      <c r="D17" s="467"/>
      <c r="E17" s="467"/>
      <c r="F17" s="467"/>
      <c r="G17" s="467"/>
      <c r="H17" s="467"/>
      <c r="I17" s="467"/>
      <c r="J17" s="467"/>
      <c r="K17" s="1683">
        <f t="shared" si="0"/>
        <v>0</v>
      </c>
      <c r="L17" s="466"/>
    </row>
    <row r="18" spans="1:12" x14ac:dyDescent="0.2">
      <c r="A18" s="1519" t="s">
        <v>1147</v>
      </c>
      <c r="B18" s="615">
        <v>1800</v>
      </c>
      <c r="C18" s="466"/>
      <c r="D18" s="466"/>
      <c r="E18" s="466"/>
      <c r="F18" s="466"/>
      <c r="G18" s="466"/>
      <c r="H18" s="466"/>
      <c r="I18" s="467"/>
      <c r="J18" s="467"/>
      <c r="K18" s="1683">
        <f t="shared" si="0"/>
        <v>0</v>
      </c>
      <c r="L18" s="466"/>
    </row>
    <row r="19" spans="1:12" x14ac:dyDescent="0.2">
      <c r="A19" s="1519" t="s">
        <v>136</v>
      </c>
      <c r="B19" s="615">
        <v>1900</v>
      </c>
      <c r="C19" s="466"/>
      <c r="D19" s="466"/>
      <c r="E19" s="466"/>
      <c r="F19" s="466"/>
      <c r="G19" s="466"/>
      <c r="H19" s="466"/>
      <c r="I19" s="467"/>
      <c r="J19" s="467"/>
      <c r="K19" s="1683">
        <f t="shared" si="0"/>
        <v>0</v>
      </c>
      <c r="L19" s="466"/>
    </row>
    <row r="20" spans="1:12" x14ac:dyDescent="0.2">
      <c r="A20" s="1520" t="s">
        <v>761</v>
      </c>
      <c r="B20" s="603" t="s">
        <v>748</v>
      </c>
      <c r="C20" s="477"/>
      <c r="D20" s="477"/>
      <c r="E20" s="477"/>
      <c r="F20" s="477"/>
      <c r="G20" s="477"/>
      <c r="H20" s="474"/>
      <c r="I20" s="617"/>
      <c r="J20" s="475"/>
      <c r="K20" s="1683">
        <f t="shared" si="0"/>
        <v>0</v>
      </c>
      <c r="L20" s="471"/>
    </row>
    <row r="21" spans="1:12" x14ac:dyDescent="0.2">
      <c r="A21" s="1520" t="s">
        <v>762</v>
      </c>
      <c r="B21" s="603" t="s">
        <v>749</v>
      </c>
      <c r="C21" s="477"/>
      <c r="D21" s="477"/>
      <c r="E21" s="477"/>
      <c r="F21" s="477"/>
      <c r="G21" s="477"/>
      <c r="H21" s="474"/>
      <c r="I21" s="617"/>
      <c r="J21" s="477"/>
      <c r="K21" s="1683">
        <f t="shared" si="0"/>
        <v>0</v>
      </c>
      <c r="L21" s="471"/>
    </row>
    <row r="22" spans="1:12" x14ac:dyDescent="0.2">
      <c r="A22" s="1520" t="s">
        <v>763</v>
      </c>
      <c r="B22" s="603" t="s">
        <v>750</v>
      </c>
      <c r="C22" s="477"/>
      <c r="D22" s="477"/>
      <c r="E22" s="477"/>
      <c r="F22" s="477"/>
      <c r="G22" s="477"/>
      <c r="H22" s="474"/>
      <c r="I22" s="617"/>
      <c r="J22" s="477"/>
      <c r="K22" s="1683">
        <f t="shared" si="0"/>
        <v>0</v>
      </c>
      <c r="L22" s="471"/>
    </row>
    <row r="23" spans="1:12" x14ac:dyDescent="0.2">
      <c r="A23" s="1520" t="s">
        <v>764</v>
      </c>
      <c r="B23" s="603" t="s">
        <v>751</v>
      </c>
      <c r="C23" s="477"/>
      <c r="D23" s="477"/>
      <c r="E23" s="477"/>
      <c r="F23" s="477"/>
      <c r="G23" s="477"/>
      <c r="H23" s="474"/>
      <c r="I23" s="617"/>
      <c r="J23" s="477"/>
      <c r="K23" s="1683">
        <f t="shared" si="0"/>
        <v>0</v>
      </c>
      <c r="L23" s="471"/>
    </row>
    <row r="24" spans="1:12" ht="12.75" customHeight="1" x14ac:dyDescent="0.2">
      <c r="A24" s="1520" t="s">
        <v>765</v>
      </c>
      <c r="B24" s="603" t="s">
        <v>752</v>
      </c>
      <c r="C24" s="477"/>
      <c r="D24" s="477"/>
      <c r="E24" s="477"/>
      <c r="F24" s="477"/>
      <c r="G24" s="477"/>
      <c r="H24" s="474"/>
      <c r="I24" s="617"/>
      <c r="J24" s="477"/>
      <c r="K24" s="1683">
        <f t="shared" si="0"/>
        <v>0</v>
      </c>
      <c r="L24" s="471"/>
    </row>
    <row r="25" spans="1:12" ht="12.75" customHeight="1" x14ac:dyDescent="0.2">
      <c r="A25" s="1520" t="s">
        <v>834</v>
      </c>
      <c r="B25" s="603" t="s">
        <v>753</v>
      </c>
      <c r="C25" s="477"/>
      <c r="D25" s="477"/>
      <c r="E25" s="477"/>
      <c r="F25" s="477"/>
      <c r="G25" s="477"/>
      <c r="H25" s="474"/>
      <c r="I25" s="617"/>
      <c r="J25" s="477"/>
      <c r="K25" s="1683">
        <f t="shared" si="0"/>
        <v>0</v>
      </c>
      <c r="L25" s="471"/>
    </row>
    <row r="26" spans="1:12" x14ac:dyDescent="0.2">
      <c r="A26" s="1520" t="s">
        <v>642</v>
      </c>
      <c r="B26" s="603" t="s">
        <v>754</v>
      </c>
      <c r="C26" s="477"/>
      <c r="D26" s="477"/>
      <c r="E26" s="477"/>
      <c r="F26" s="477"/>
      <c r="G26" s="477"/>
      <c r="H26" s="474"/>
      <c r="I26" s="617"/>
      <c r="J26" s="477"/>
      <c r="K26" s="1683">
        <f t="shared" si="0"/>
        <v>0</v>
      </c>
      <c r="L26" s="471"/>
    </row>
    <row r="27" spans="1:12" x14ac:dyDescent="0.2">
      <c r="A27" s="1520" t="s">
        <v>643</v>
      </c>
      <c r="B27" s="603" t="s">
        <v>755</v>
      </c>
      <c r="C27" s="477"/>
      <c r="D27" s="477"/>
      <c r="E27" s="477"/>
      <c r="F27" s="477"/>
      <c r="G27" s="477"/>
      <c r="H27" s="474"/>
      <c r="I27" s="617"/>
      <c r="J27" s="477"/>
      <c r="K27" s="1683">
        <f t="shared" si="0"/>
        <v>0</v>
      </c>
      <c r="L27" s="471"/>
    </row>
    <row r="28" spans="1:12" x14ac:dyDescent="0.2">
      <c r="A28" s="1520" t="s">
        <v>152</v>
      </c>
      <c r="B28" s="603" t="s">
        <v>756</v>
      </c>
      <c r="C28" s="477"/>
      <c r="D28" s="477"/>
      <c r="E28" s="477"/>
      <c r="F28" s="477"/>
      <c r="G28" s="477"/>
      <c r="H28" s="474"/>
      <c r="I28" s="617"/>
      <c r="J28" s="477"/>
      <c r="K28" s="1683">
        <f t="shared" si="0"/>
        <v>0</v>
      </c>
      <c r="L28" s="471"/>
    </row>
    <row r="29" spans="1:12" x14ac:dyDescent="0.2">
      <c r="A29" s="1520" t="s">
        <v>153</v>
      </c>
      <c r="B29" s="603" t="s">
        <v>757</v>
      </c>
      <c r="C29" s="477"/>
      <c r="D29" s="477"/>
      <c r="E29" s="477"/>
      <c r="F29" s="477"/>
      <c r="G29" s="477"/>
      <c r="H29" s="474"/>
      <c r="I29" s="617"/>
      <c r="J29" s="477"/>
      <c r="K29" s="1683">
        <f t="shared" si="0"/>
        <v>0</v>
      </c>
      <c r="L29" s="471"/>
    </row>
    <row r="30" spans="1:12" x14ac:dyDescent="0.2">
      <c r="A30" s="1520" t="s">
        <v>154</v>
      </c>
      <c r="B30" s="603" t="s">
        <v>758</v>
      </c>
      <c r="C30" s="477"/>
      <c r="D30" s="477"/>
      <c r="E30" s="477"/>
      <c r="F30" s="477"/>
      <c r="G30" s="477"/>
      <c r="H30" s="474"/>
      <c r="I30" s="617"/>
      <c r="J30" s="477"/>
      <c r="K30" s="1683">
        <f t="shared" si="0"/>
        <v>0</v>
      </c>
      <c r="L30" s="471"/>
    </row>
    <row r="31" spans="1:12" x14ac:dyDescent="0.2">
      <c r="A31" s="1520" t="s">
        <v>155</v>
      </c>
      <c r="B31" s="603" t="s">
        <v>759</v>
      </c>
      <c r="C31" s="477"/>
      <c r="D31" s="477"/>
      <c r="E31" s="477"/>
      <c r="F31" s="477"/>
      <c r="G31" s="477"/>
      <c r="H31" s="474"/>
      <c r="I31" s="617"/>
      <c r="J31" s="477"/>
      <c r="K31" s="1683">
        <f t="shared" si="0"/>
        <v>0</v>
      </c>
      <c r="L31" s="471"/>
    </row>
    <row r="32" spans="1:12" x14ac:dyDescent="0.2">
      <c r="A32" s="1521" t="s">
        <v>1190</v>
      </c>
      <c r="B32" s="615" t="s">
        <v>760</v>
      </c>
      <c r="C32" s="477"/>
      <c r="D32" s="477"/>
      <c r="E32" s="477"/>
      <c r="F32" s="477"/>
      <c r="G32" s="477"/>
      <c r="H32" s="474"/>
      <c r="I32" s="617"/>
      <c r="J32" s="480"/>
      <c r="K32" s="1683">
        <f t="shared" si="0"/>
        <v>0</v>
      </c>
      <c r="L32" s="471"/>
    </row>
    <row r="33" spans="1:14" ht="12.75" customHeight="1" thickBot="1" x14ac:dyDescent="0.25">
      <c r="A33" s="1680" t="s">
        <v>1766</v>
      </c>
      <c r="B33" s="1681" t="s">
        <v>590</v>
      </c>
      <c r="C33" s="1682">
        <f>SUM(C5:C32)</f>
        <v>2797298</v>
      </c>
      <c r="D33" s="1682">
        <f t="shared" ref="D33:L33" si="1">SUM(D5:D32)</f>
        <v>566375</v>
      </c>
      <c r="E33" s="1682">
        <f t="shared" si="1"/>
        <v>28557</v>
      </c>
      <c r="F33" s="1682">
        <f t="shared" si="1"/>
        <v>127322</v>
      </c>
      <c r="G33" s="1682">
        <f t="shared" si="1"/>
        <v>5554</v>
      </c>
      <c r="H33" s="1682">
        <f t="shared" si="1"/>
        <v>3736</v>
      </c>
      <c r="I33" s="1682">
        <f t="shared" si="1"/>
        <v>0</v>
      </c>
      <c r="J33" s="1682">
        <f t="shared" si="1"/>
        <v>0</v>
      </c>
      <c r="K33" s="1682">
        <f t="shared" si="1"/>
        <v>3528842</v>
      </c>
      <c r="L33" s="1682">
        <f t="shared" si="1"/>
        <v>3608960</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v>53052</v>
      </c>
      <c r="D36" s="481">
        <v>12350</v>
      </c>
      <c r="E36" s="481"/>
      <c r="F36" s="481">
        <v>6559</v>
      </c>
      <c r="G36" s="481"/>
      <c r="H36" s="481"/>
      <c r="I36" s="467"/>
      <c r="J36" s="467"/>
      <c r="K36" s="1683">
        <f t="shared" ref="K36:K41" si="2">SUM(C36:J36)</f>
        <v>71961</v>
      </c>
      <c r="L36" s="466">
        <v>71350</v>
      </c>
    </row>
    <row r="37" spans="1:14" x14ac:dyDescent="0.2">
      <c r="A37" s="1519" t="s">
        <v>1150</v>
      </c>
      <c r="B37" s="615">
        <v>2120</v>
      </c>
      <c r="C37" s="466">
        <v>6131</v>
      </c>
      <c r="D37" s="466">
        <v>530</v>
      </c>
      <c r="E37" s="466"/>
      <c r="F37" s="466"/>
      <c r="G37" s="466"/>
      <c r="H37" s="466"/>
      <c r="I37" s="467"/>
      <c r="J37" s="467"/>
      <c r="K37" s="1683">
        <f t="shared" si="2"/>
        <v>6661</v>
      </c>
      <c r="L37" s="466">
        <v>8700</v>
      </c>
    </row>
    <row r="38" spans="1:14" x14ac:dyDescent="0.2">
      <c r="A38" s="1519" t="s">
        <v>207</v>
      </c>
      <c r="B38" s="615">
        <v>2130</v>
      </c>
      <c r="C38" s="466">
        <v>23748</v>
      </c>
      <c r="D38" s="466">
        <v>5990</v>
      </c>
      <c r="E38" s="466">
        <v>1591</v>
      </c>
      <c r="F38" s="466">
        <v>2547</v>
      </c>
      <c r="G38" s="466"/>
      <c r="H38" s="466"/>
      <c r="I38" s="467"/>
      <c r="J38" s="467"/>
      <c r="K38" s="1683">
        <f t="shared" si="2"/>
        <v>33876</v>
      </c>
      <c r="L38" s="466">
        <v>32150</v>
      </c>
    </row>
    <row r="39" spans="1:14" x14ac:dyDescent="0.2">
      <c r="A39" s="1519" t="s">
        <v>208</v>
      </c>
      <c r="B39" s="615">
        <v>2140</v>
      </c>
      <c r="C39" s="466">
        <v>43759</v>
      </c>
      <c r="D39" s="466">
        <v>11388</v>
      </c>
      <c r="E39" s="466"/>
      <c r="F39" s="466">
        <v>972</v>
      </c>
      <c r="G39" s="466"/>
      <c r="H39" s="466"/>
      <c r="I39" s="467"/>
      <c r="J39" s="467"/>
      <c r="K39" s="1683">
        <f t="shared" si="2"/>
        <v>56119</v>
      </c>
      <c r="L39" s="466">
        <v>63600</v>
      </c>
    </row>
    <row r="40" spans="1:14" x14ac:dyDescent="0.2">
      <c r="A40" s="1519" t="s">
        <v>209</v>
      </c>
      <c r="B40" s="615">
        <v>2150</v>
      </c>
      <c r="C40" s="466">
        <v>132370</v>
      </c>
      <c r="D40" s="466">
        <v>27911</v>
      </c>
      <c r="E40" s="466"/>
      <c r="F40" s="466">
        <v>737</v>
      </c>
      <c r="G40" s="466"/>
      <c r="H40" s="466"/>
      <c r="I40" s="467"/>
      <c r="J40" s="467"/>
      <c r="K40" s="1683">
        <f t="shared" si="2"/>
        <v>161018</v>
      </c>
      <c r="L40" s="466">
        <v>163850</v>
      </c>
    </row>
    <row r="41" spans="1:14" x14ac:dyDescent="0.2">
      <c r="A41" s="1519" t="s">
        <v>1767</v>
      </c>
      <c r="B41" s="615">
        <v>2190</v>
      </c>
      <c r="C41" s="466">
        <v>45488</v>
      </c>
      <c r="D41" s="466">
        <v>471</v>
      </c>
      <c r="E41" s="466"/>
      <c r="F41" s="466">
        <v>2007</v>
      </c>
      <c r="G41" s="466"/>
      <c r="H41" s="466"/>
      <c r="I41" s="467"/>
      <c r="J41" s="467"/>
      <c r="K41" s="1683">
        <f t="shared" si="2"/>
        <v>47966</v>
      </c>
      <c r="L41" s="466">
        <v>59300</v>
      </c>
    </row>
    <row r="42" spans="1:14" ht="12.75" customHeight="1" thickBot="1" x14ac:dyDescent="0.25">
      <c r="A42" s="1680" t="s">
        <v>580</v>
      </c>
      <c r="B42" s="1681" t="s">
        <v>739</v>
      </c>
      <c r="C42" s="1682">
        <f>SUM(C36:C41)</f>
        <v>304548</v>
      </c>
      <c r="D42" s="1682">
        <f t="shared" ref="D42:L42" si="3">SUM(D36:D41)</f>
        <v>58640</v>
      </c>
      <c r="E42" s="1682">
        <f t="shared" si="3"/>
        <v>1591</v>
      </c>
      <c r="F42" s="1682">
        <f t="shared" si="3"/>
        <v>12822</v>
      </c>
      <c r="G42" s="1682">
        <f t="shared" si="3"/>
        <v>0</v>
      </c>
      <c r="H42" s="1682">
        <f t="shared" si="3"/>
        <v>0</v>
      </c>
      <c r="I42" s="1682">
        <f t="shared" si="3"/>
        <v>0</v>
      </c>
      <c r="J42" s="1682">
        <f t="shared" si="3"/>
        <v>0</v>
      </c>
      <c r="K42" s="1682">
        <f t="shared" si="3"/>
        <v>377601</v>
      </c>
      <c r="L42" s="1682">
        <f t="shared" si="3"/>
        <v>398950</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10964</v>
      </c>
      <c r="D44" s="481">
        <v>1776</v>
      </c>
      <c r="E44" s="481">
        <v>16207</v>
      </c>
      <c r="F44" s="481"/>
      <c r="G44" s="481"/>
      <c r="H44" s="481"/>
      <c r="I44" s="467"/>
      <c r="J44" s="467"/>
      <c r="K44" s="1684">
        <f>SUM(C44:J44)</f>
        <v>28947</v>
      </c>
      <c r="L44" s="481">
        <v>35340</v>
      </c>
    </row>
    <row r="45" spans="1:14" x14ac:dyDescent="0.2">
      <c r="A45" s="1519" t="s">
        <v>868</v>
      </c>
      <c r="B45" s="615">
        <v>2220</v>
      </c>
      <c r="C45" s="466"/>
      <c r="D45" s="466"/>
      <c r="E45" s="466"/>
      <c r="F45" s="466"/>
      <c r="G45" s="466"/>
      <c r="H45" s="466"/>
      <c r="I45" s="467"/>
      <c r="J45" s="467"/>
      <c r="K45" s="1684">
        <f>SUM(C45:J45)</f>
        <v>0</v>
      </c>
      <c r="L45" s="466"/>
    </row>
    <row r="46" spans="1:14" x14ac:dyDescent="0.2">
      <c r="A46" s="1519" t="s">
        <v>869</v>
      </c>
      <c r="B46" s="615">
        <v>2230</v>
      </c>
      <c r="C46" s="466"/>
      <c r="D46" s="466"/>
      <c r="E46" s="466"/>
      <c r="F46" s="466">
        <v>920</v>
      </c>
      <c r="G46" s="466"/>
      <c r="H46" s="466"/>
      <c r="I46" s="467"/>
      <c r="J46" s="467"/>
      <c r="K46" s="1684">
        <f>SUM(C46:J46)</f>
        <v>920</v>
      </c>
      <c r="L46" s="466">
        <v>1000</v>
      </c>
    </row>
    <row r="47" spans="1:14" ht="12.75" customHeight="1" thickBot="1" x14ac:dyDescent="0.25">
      <c r="A47" s="1680" t="s">
        <v>581</v>
      </c>
      <c r="B47" s="1681" t="s">
        <v>32</v>
      </c>
      <c r="C47" s="1682">
        <f>SUM(C44:C46)</f>
        <v>10964</v>
      </c>
      <c r="D47" s="1682">
        <f t="shared" ref="D47:K47" si="4">SUM(D44:D46)</f>
        <v>1776</v>
      </c>
      <c r="E47" s="1682">
        <f t="shared" si="4"/>
        <v>16207</v>
      </c>
      <c r="F47" s="1682">
        <f t="shared" si="4"/>
        <v>920</v>
      </c>
      <c r="G47" s="1682">
        <f t="shared" si="4"/>
        <v>0</v>
      </c>
      <c r="H47" s="1682">
        <f t="shared" si="4"/>
        <v>0</v>
      </c>
      <c r="I47" s="1682">
        <f t="shared" si="4"/>
        <v>0</v>
      </c>
      <c r="J47" s="1682">
        <f t="shared" si="4"/>
        <v>0</v>
      </c>
      <c r="K47" s="1682">
        <f t="shared" si="4"/>
        <v>29867</v>
      </c>
      <c r="L47" s="1682">
        <f>SUM(L44:L46)</f>
        <v>36340</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c r="D49" s="481"/>
      <c r="E49" s="481">
        <v>39614</v>
      </c>
      <c r="F49" s="481">
        <v>1849</v>
      </c>
      <c r="G49" s="481"/>
      <c r="H49" s="481">
        <v>7310</v>
      </c>
      <c r="I49" s="467"/>
      <c r="J49" s="467"/>
      <c r="K49" s="1684">
        <f>SUM(C49:J49)</f>
        <v>48773</v>
      </c>
      <c r="L49" s="481">
        <v>44325</v>
      </c>
    </row>
    <row r="50" spans="1:14" x14ac:dyDescent="0.2">
      <c r="A50" s="1519" t="s">
        <v>871</v>
      </c>
      <c r="B50" s="615">
        <v>2320</v>
      </c>
      <c r="C50" s="466">
        <v>149063</v>
      </c>
      <c r="D50" s="466">
        <v>26691</v>
      </c>
      <c r="E50" s="466">
        <v>6237</v>
      </c>
      <c r="F50" s="466">
        <v>184</v>
      </c>
      <c r="G50" s="466"/>
      <c r="H50" s="466">
        <v>949</v>
      </c>
      <c r="I50" s="467"/>
      <c r="J50" s="467"/>
      <c r="K50" s="1684">
        <f>SUM(C50:J50)</f>
        <v>183124</v>
      </c>
      <c r="L50" s="466">
        <v>185550</v>
      </c>
    </row>
    <row r="51" spans="1:14" x14ac:dyDescent="0.2">
      <c r="A51" s="1519" t="s">
        <v>44</v>
      </c>
      <c r="B51" s="615">
        <v>2330</v>
      </c>
      <c r="C51" s="466">
        <v>26208</v>
      </c>
      <c r="D51" s="466"/>
      <c r="E51" s="466">
        <v>3458</v>
      </c>
      <c r="F51" s="466">
        <v>268</v>
      </c>
      <c r="G51" s="466"/>
      <c r="H51" s="466"/>
      <c r="I51" s="467"/>
      <c r="J51" s="467"/>
      <c r="K51" s="1684">
        <f>SUM(C51:J51)</f>
        <v>29934</v>
      </c>
      <c r="L51" s="466">
        <v>30165</v>
      </c>
    </row>
    <row r="52" spans="1:14" ht="22.5" x14ac:dyDescent="0.2">
      <c r="A52" s="1520" t="s">
        <v>315</v>
      </c>
      <c r="B52" s="628" t="s">
        <v>383</v>
      </c>
      <c r="C52" s="474"/>
      <c r="D52" s="474"/>
      <c r="E52" s="474"/>
      <c r="F52" s="474"/>
      <c r="G52" s="474"/>
      <c r="H52" s="474"/>
      <c r="I52" s="474"/>
      <c r="J52" s="474"/>
      <c r="K52" s="1684">
        <f>SUM(C52:J52)</f>
        <v>0</v>
      </c>
      <c r="L52" s="474"/>
    </row>
    <row r="53" spans="1:14" ht="12.75" customHeight="1" thickBot="1" x14ac:dyDescent="0.25">
      <c r="A53" s="1680" t="s">
        <v>740</v>
      </c>
      <c r="B53" s="1681" t="s">
        <v>33</v>
      </c>
      <c r="C53" s="1682">
        <f>SUM(C49:C52)</f>
        <v>175271</v>
      </c>
      <c r="D53" s="1682">
        <f t="shared" ref="D53:L53" si="5">SUM(D49:D52)</f>
        <v>26691</v>
      </c>
      <c r="E53" s="1682">
        <f t="shared" si="5"/>
        <v>49309</v>
      </c>
      <c r="F53" s="1682">
        <f t="shared" si="5"/>
        <v>2301</v>
      </c>
      <c r="G53" s="1682">
        <f t="shared" si="5"/>
        <v>0</v>
      </c>
      <c r="H53" s="1682">
        <f t="shared" si="5"/>
        <v>8259</v>
      </c>
      <c r="I53" s="1682">
        <f t="shared" si="5"/>
        <v>0</v>
      </c>
      <c r="J53" s="1682">
        <f t="shared" si="5"/>
        <v>0</v>
      </c>
      <c r="K53" s="1682">
        <f t="shared" si="5"/>
        <v>261831</v>
      </c>
      <c r="L53" s="1682">
        <f t="shared" si="5"/>
        <v>260040</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272179</v>
      </c>
      <c r="D55" s="481">
        <v>54475</v>
      </c>
      <c r="E55" s="481">
        <v>21220</v>
      </c>
      <c r="F55" s="481">
        <v>3750</v>
      </c>
      <c r="G55" s="481"/>
      <c r="H55" s="481">
        <v>2408</v>
      </c>
      <c r="I55" s="467"/>
      <c r="J55" s="467"/>
      <c r="K55" s="1684">
        <f>SUM(C55:J55)</f>
        <v>354032</v>
      </c>
      <c r="L55" s="481">
        <v>370585</v>
      </c>
    </row>
    <row r="56" spans="1:14" ht="12.75" customHeight="1" x14ac:dyDescent="0.2">
      <c r="A56" s="1523" t="s">
        <v>393</v>
      </c>
      <c r="B56" s="629">
        <v>2490</v>
      </c>
      <c r="C56" s="466"/>
      <c r="D56" s="466"/>
      <c r="E56" s="466"/>
      <c r="F56" s="466"/>
      <c r="G56" s="466"/>
      <c r="H56" s="466"/>
      <c r="I56" s="467"/>
      <c r="J56" s="467"/>
      <c r="K56" s="1684">
        <f>SUM(C56:J56)</f>
        <v>0</v>
      </c>
      <c r="L56" s="466"/>
    </row>
    <row r="57" spans="1:14" s="343" customFormat="1" ht="12.75" customHeight="1" thickBot="1" x14ac:dyDescent="0.25">
      <c r="A57" s="1680" t="s">
        <v>281</v>
      </c>
      <c r="B57" s="1685" t="s">
        <v>34</v>
      </c>
      <c r="C57" s="1686">
        <f>SUM(C55:C56)</f>
        <v>272179</v>
      </c>
      <c r="D57" s="1686">
        <f t="shared" ref="D57:K57" si="6">SUM(D55:D56)</f>
        <v>54475</v>
      </c>
      <c r="E57" s="1686">
        <f t="shared" si="6"/>
        <v>21220</v>
      </c>
      <c r="F57" s="1686">
        <f t="shared" si="6"/>
        <v>3750</v>
      </c>
      <c r="G57" s="1686">
        <f t="shared" si="6"/>
        <v>0</v>
      </c>
      <c r="H57" s="1686">
        <f t="shared" si="6"/>
        <v>2408</v>
      </c>
      <c r="I57" s="1686">
        <f t="shared" si="6"/>
        <v>0</v>
      </c>
      <c r="J57" s="1686">
        <f t="shared" si="6"/>
        <v>0</v>
      </c>
      <c r="K57" s="1686">
        <f t="shared" si="6"/>
        <v>354032</v>
      </c>
      <c r="L57" s="1682">
        <f>SUM(L55:L56)</f>
        <v>370585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c r="D59" s="481"/>
      <c r="E59" s="481"/>
      <c r="F59" s="481"/>
      <c r="G59" s="481"/>
      <c r="H59" s="481"/>
      <c r="I59" s="467"/>
      <c r="J59" s="467"/>
      <c r="K59" s="1684">
        <f t="shared" ref="K59:K64" si="7">SUM(C59:J59)</f>
        <v>0</v>
      </c>
      <c r="L59" s="481"/>
      <c r="M59" s="610"/>
      <c r="N59" s="610"/>
    </row>
    <row r="60" spans="1:14" s="343" customFormat="1" x14ac:dyDescent="0.2">
      <c r="A60" s="1519" t="s">
        <v>482</v>
      </c>
      <c r="B60" s="615">
        <v>2520</v>
      </c>
      <c r="C60" s="466">
        <v>68130</v>
      </c>
      <c r="D60" s="466">
        <v>10599</v>
      </c>
      <c r="E60" s="466">
        <v>2147</v>
      </c>
      <c r="F60" s="466">
        <v>9151</v>
      </c>
      <c r="G60" s="466"/>
      <c r="H60" s="466">
        <v>235</v>
      </c>
      <c r="I60" s="467"/>
      <c r="J60" s="467"/>
      <c r="K60" s="1684">
        <f t="shared" si="7"/>
        <v>90262</v>
      </c>
      <c r="L60" s="466">
        <v>96700</v>
      </c>
      <c r="M60" s="610"/>
      <c r="N60" s="610"/>
    </row>
    <row r="61" spans="1:14" s="343" customFormat="1" x14ac:dyDescent="0.2">
      <c r="A61" s="1519" t="s">
        <v>206</v>
      </c>
      <c r="B61" s="615">
        <v>2540</v>
      </c>
      <c r="C61" s="466"/>
      <c r="D61" s="466"/>
      <c r="E61" s="466"/>
      <c r="F61" s="466"/>
      <c r="G61" s="466"/>
      <c r="H61" s="466"/>
      <c r="I61" s="467"/>
      <c r="J61" s="467"/>
      <c r="K61" s="1684">
        <f t="shared" si="7"/>
        <v>0</v>
      </c>
      <c r="L61" s="466"/>
      <c r="M61" s="610"/>
      <c r="N61" s="610"/>
    </row>
    <row r="62" spans="1:14" s="343" customFormat="1" x14ac:dyDescent="0.2">
      <c r="A62" s="1519" t="s">
        <v>1009</v>
      </c>
      <c r="B62" s="615">
        <v>2550</v>
      </c>
      <c r="C62" s="466"/>
      <c r="D62" s="466"/>
      <c r="E62" s="466"/>
      <c r="F62" s="466"/>
      <c r="G62" s="466"/>
      <c r="H62" s="466"/>
      <c r="I62" s="467"/>
      <c r="J62" s="467"/>
      <c r="K62" s="1684">
        <f t="shared" si="7"/>
        <v>0</v>
      </c>
      <c r="L62" s="466"/>
      <c r="M62" s="610"/>
      <c r="N62" s="610"/>
    </row>
    <row r="63" spans="1:14" s="610" customFormat="1" x14ac:dyDescent="0.2">
      <c r="A63" s="1519" t="s">
        <v>102</v>
      </c>
      <c r="B63" s="615">
        <v>2560</v>
      </c>
      <c r="C63" s="466">
        <v>168771</v>
      </c>
      <c r="D63" s="466">
        <v>19306</v>
      </c>
      <c r="E63" s="466">
        <v>13386</v>
      </c>
      <c r="F63" s="466">
        <v>209226</v>
      </c>
      <c r="G63" s="466">
        <v>10782</v>
      </c>
      <c r="H63" s="466"/>
      <c r="I63" s="467"/>
      <c r="J63" s="467"/>
      <c r="K63" s="1684">
        <f t="shared" si="7"/>
        <v>421471</v>
      </c>
      <c r="L63" s="466">
        <v>406795</v>
      </c>
    </row>
    <row r="64" spans="1:14" s="610" customFormat="1" x14ac:dyDescent="0.2">
      <c r="A64" s="1524" t="s">
        <v>103</v>
      </c>
      <c r="B64" s="631">
        <v>2570</v>
      </c>
      <c r="C64" s="481"/>
      <c r="D64" s="481"/>
      <c r="E64" s="481"/>
      <c r="F64" s="481"/>
      <c r="G64" s="481"/>
      <c r="H64" s="481"/>
      <c r="I64" s="467"/>
      <c r="J64" s="467"/>
      <c r="K64" s="1684">
        <f t="shared" si="7"/>
        <v>0</v>
      </c>
      <c r="L64" s="481"/>
    </row>
    <row r="65" spans="1:14" s="343" customFormat="1" ht="12.75" customHeight="1" thickBot="1" x14ac:dyDescent="0.25">
      <c r="A65" s="1680" t="s">
        <v>742</v>
      </c>
      <c r="B65" s="1681" t="s">
        <v>35</v>
      </c>
      <c r="C65" s="1682">
        <f>SUM(C59:C64)</f>
        <v>236901</v>
      </c>
      <c r="D65" s="1682">
        <f t="shared" ref="D65:L65" si="8">SUM(D59:D64)</f>
        <v>29905</v>
      </c>
      <c r="E65" s="1682">
        <f t="shared" si="8"/>
        <v>15533</v>
      </c>
      <c r="F65" s="1682">
        <f t="shared" si="8"/>
        <v>218377</v>
      </c>
      <c r="G65" s="1682">
        <f t="shared" si="8"/>
        <v>10782</v>
      </c>
      <c r="H65" s="1682">
        <f t="shared" si="8"/>
        <v>235</v>
      </c>
      <c r="I65" s="1682">
        <f t="shared" si="8"/>
        <v>0</v>
      </c>
      <c r="J65" s="1682">
        <f t="shared" si="8"/>
        <v>0</v>
      </c>
      <c r="K65" s="1682">
        <f t="shared" si="8"/>
        <v>511733</v>
      </c>
      <c r="L65" s="1682">
        <f t="shared" si="8"/>
        <v>503495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c r="E67" s="466"/>
      <c r="F67" s="466"/>
      <c r="G67" s="466"/>
      <c r="H67" s="466"/>
      <c r="I67" s="467"/>
      <c r="J67" s="467"/>
      <c r="K67" s="1684">
        <f>SUM(C67:J67)</f>
        <v>0</v>
      </c>
      <c r="L67" s="481"/>
      <c r="M67" s="610"/>
      <c r="N67" s="610"/>
    </row>
    <row r="68" spans="1:14" s="343" customFormat="1" x14ac:dyDescent="0.2">
      <c r="A68" s="1519" t="s">
        <v>627</v>
      </c>
      <c r="B68" s="615">
        <v>2620</v>
      </c>
      <c r="C68" s="466"/>
      <c r="D68" s="466"/>
      <c r="E68" s="466"/>
      <c r="F68" s="466"/>
      <c r="G68" s="466"/>
      <c r="H68" s="466"/>
      <c r="I68" s="467"/>
      <c r="J68" s="467"/>
      <c r="K68" s="1684">
        <f>SUM(C68:J68)</f>
        <v>0</v>
      </c>
      <c r="L68" s="466"/>
      <c r="M68" s="610"/>
      <c r="N68" s="610"/>
    </row>
    <row r="69" spans="1:14" s="343" customFormat="1" x14ac:dyDescent="0.2">
      <c r="A69" s="1519" t="s">
        <v>1120</v>
      </c>
      <c r="B69" s="615">
        <v>2630</v>
      </c>
      <c r="C69" s="466"/>
      <c r="D69" s="466"/>
      <c r="E69" s="466"/>
      <c r="F69" s="466"/>
      <c r="G69" s="466"/>
      <c r="H69" s="466"/>
      <c r="I69" s="467"/>
      <c r="J69" s="467"/>
      <c r="K69" s="1684">
        <f>SUM(C69:J69)</f>
        <v>0</v>
      </c>
      <c r="L69" s="466"/>
      <c r="M69" s="610"/>
      <c r="N69" s="610"/>
    </row>
    <row r="70" spans="1:14" s="343" customFormat="1" x14ac:dyDescent="0.2">
      <c r="A70" s="1519" t="s">
        <v>422</v>
      </c>
      <c r="B70" s="615">
        <v>2640</v>
      </c>
      <c r="C70" s="466"/>
      <c r="D70" s="466"/>
      <c r="E70" s="466"/>
      <c r="F70" s="466"/>
      <c r="G70" s="466"/>
      <c r="H70" s="466"/>
      <c r="I70" s="467"/>
      <c r="J70" s="467"/>
      <c r="K70" s="1684">
        <f>SUM(C70:J70)</f>
        <v>0</v>
      </c>
      <c r="L70" s="466"/>
      <c r="M70" s="610"/>
      <c r="N70" s="610"/>
    </row>
    <row r="71" spans="1:14" s="343" customFormat="1" x14ac:dyDescent="0.2">
      <c r="A71" s="1519" t="s">
        <v>423</v>
      </c>
      <c r="B71" s="615">
        <v>2660</v>
      </c>
      <c r="C71" s="466">
        <v>77946</v>
      </c>
      <c r="D71" s="466">
        <v>6410</v>
      </c>
      <c r="E71" s="466">
        <v>1250</v>
      </c>
      <c r="F71" s="466">
        <v>9209</v>
      </c>
      <c r="G71" s="466">
        <v>1445</v>
      </c>
      <c r="H71" s="466">
        <v>300</v>
      </c>
      <c r="I71" s="467"/>
      <c r="J71" s="467"/>
      <c r="K71" s="1684">
        <f>SUM(C71:J71)</f>
        <v>96560</v>
      </c>
      <c r="L71" s="466">
        <v>93750</v>
      </c>
      <c r="M71" s="610"/>
      <c r="N71" s="610"/>
    </row>
    <row r="72" spans="1:14" s="343" customFormat="1" ht="12.75" customHeight="1" thickBot="1" x14ac:dyDescent="0.25">
      <c r="A72" s="1680" t="s">
        <v>37</v>
      </c>
      <c r="B72" s="1687" t="s">
        <v>36</v>
      </c>
      <c r="C72" s="1682">
        <f>SUM(C67:C71)</f>
        <v>77946</v>
      </c>
      <c r="D72" s="1682">
        <f t="shared" ref="D72:K72" si="9">SUM(D67:D71)</f>
        <v>6410</v>
      </c>
      <c r="E72" s="1682">
        <f t="shared" si="9"/>
        <v>1250</v>
      </c>
      <c r="F72" s="1682">
        <f t="shared" si="9"/>
        <v>9209</v>
      </c>
      <c r="G72" s="1682">
        <f t="shared" si="9"/>
        <v>1445</v>
      </c>
      <c r="H72" s="1682">
        <f t="shared" si="9"/>
        <v>300</v>
      </c>
      <c r="I72" s="1682">
        <f t="shared" si="9"/>
        <v>0</v>
      </c>
      <c r="J72" s="1682">
        <f t="shared" si="9"/>
        <v>0</v>
      </c>
      <c r="K72" s="1682">
        <f t="shared" si="9"/>
        <v>96560</v>
      </c>
      <c r="L72" s="1682">
        <f>SUM(L67:L71)</f>
        <v>93750</v>
      </c>
      <c r="M72" s="610"/>
      <c r="N72" s="610"/>
    </row>
    <row r="73" spans="1:14" s="343" customFormat="1" ht="14.25" thickTop="1" thickBot="1" x14ac:dyDescent="0.25">
      <c r="A73" s="1525" t="s">
        <v>1036</v>
      </c>
      <c r="B73" s="633" t="s">
        <v>594</v>
      </c>
      <c r="C73" s="573"/>
      <c r="D73" s="573"/>
      <c r="E73" s="573"/>
      <c r="F73" s="573"/>
      <c r="G73" s="573"/>
      <c r="H73" s="573"/>
      <c r="I73" s="531"/>
      <c r="J73" s="531"/>
      <c r="K73" s="1682">
        <f>SUM(C73:J73)</f>
        <v>0</v>
      </c>
      <c r="L73" s="576">
        <v>1900</v>
      </c>
      <c r="M73" s="610"/>
      <c r="N73" s="610"/>
    </row>
    <row r="74" spans="1:14" ht="12.75" customHeight="1" thickTop="1" thickBot="1" x14ac:dyDescent="0.25">
      <c r="A74" s="1680" t="s">
        <v>864</v>
      </c>
      <c r="B74" s="1688">
        <v>2000</v>
      </c>
      <c r="C74" s="1689">
        <f>SUM(C42,C47,C53,C57,C65,C72,C73)</f>
        <v>1077809</v>
      </c>
      <c r="D74" s="1689">
        <f t="shared" ref="D74:K74" si="10">SUM(D42,D47,D53,D57,D65,D72,D73)</f>
        <v>177897</v>
      </c>
      <c r="E74" s="1689">
        <f t="shared" si="10"/>
        <v>105110</v>
      </c>
      <c r="F74" s="1689">
        <f t="shared" si="10"/>
        <v>247379</v>
      </c>
      <c r="G74" s="1689">
        <f t="shared" si="10"/>
        <v>12227</v>
      </c>
      <c r="H74" s="1689">
        <f t="shared" si="10"/>
        <v>11202</v>
      </c>
      <c r="I74" s="1689">
        <f t="shared" si="10"/>
        <v>0</v>
      </c>
      <c r="J74" s="1689">
        <f t="shared" si="10"/>
        <v>0</v>
      </c>
      <c r="K74" s="1689">
        <f t="shared" si="10"/>
        <v>1631624</v>
      </c>
      <c r="L74" s="1689">
        <f>SUM(L42,L47,L53,L57,L65,L72,L73)</f>
        <v>1665060</v>
      </c>
    </row>
    <row r="75" spans="1:14" s="259" customFormat="1" ht="15.75" customHeight="1" thickTop="1" thickBot="1" x14ac:dyDescent="0.25">
      <c r="A75" s="1625" t="s">
        <v>49</v>
      </c>
      <c r="B75" s="1626" t="s">
        <v>595</v>
      </c>
      <c r="C75" s="573">
        <v>51556</v>
      </c>
      <c r="D75" s="573">
        <v>6385</v>
      </c>
      <c r="E75" s="573">
        <v>2202</v>
      </c>
      <c r="F75" s="573">
        <v>6890</v>
      </c>
      <c r="G75" s="573"/>
      <c r="H75" s="573"/>
      <c r="I75" s="531"/>
      <c r="J75" s="531"/>
      <c r="K75" s="1682">
        <f>SUM(C75:J75)</f>
        <v>67033</v>
      </c>
      <c r="L75" s="576">
        <v>67670</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v>187</v>
      </c>
      <c r="F78" s="617"/>
      <c r="G78" s="617"/>
      <c r="H78" s="635"/>
      <c r="I78" s="477"/>
      <c r="J78" s="477"/>
      <c r="K78" s="1683">
        <f t="shared" ref="K78:K83" si="11">SUM(C78:J78)</f>
        <v>187</v>
      </c>
      <c r="L78" s="481">
        <v>2800</v>
      </c>
    </row>
    <row r="79" spans="1:14" x14ac:dyDescent="0.2">
      <c r="A79" s="1519" t="s">
        <v>321</v>
      </c>
      <c r="B79" s="615">
        <v>4120</v>
      </c>
      <c r="C79" s="617"/>
      <c r="D79" s="617"/>
      <c r="E79" s="466">
        <v>110017</v>
      </c>
      <c r="F79" s="617"/>
      <c r="G79" s="617"/>
      <c r="H79" s="466">
        <v>101732</v>
      </c>
      <c r="I79" s="477"/>
      <c r="J79" s="477"/>
      <c r="K79" s="1683">
        <f t="shared" si="11"/>
        <v>211749</v>
      </c>
      <c r="L79" s="466">
        <v>250000</v>
      </c>
    </row>
    <row r="80" spans="1:14" x14ac:dyDescent="0.2">
      <c r="A80" s="1519" t="s">
        <v>322</v>
      </c>
      <c r="B80" s="615">
        <v>4130</v>
      </c>
      <c r="C80" s="617"/>
      <c r="D80" s="617"/>
      <c r="E80" s="466"/>
      <c r="F80" s="617"/>
      <c r="G80" s="617"/>
      <c r="H80" s="466"/>
      <c r="I80" s="477"/>
      <c r="J80" s="477"/>
      <c r="K80" s="1683">
        <f t="shared" si="11"/>
        <v>0</v>
      </c>
      <c r="L80" s="466"/>
    </row>
    <row r="81" spans="1:12" x14ac:dyDescent="0.2">
      <c r="A81" s="1519" t="s">
        <v>720</v>
      </c>
      <c r="B81" s="615">
        <v>4140</v>
      </c>
      <c r="C81" s="617"/>
      <c r="D81" s="617"/>
      <c r="E81" s="466"/>
      <c r="F81" s="617"/>
      <c r="G81" s="617"/>
      <c r="H81" s="466"/>
      <c r="I81" s="477"/>
      <c r="J81" s="477"/>
      <c r="K81" s="1683">
        <f t="shared" si="11"/>
        <v>0</v>
      </c>
      <c r="L81" s="466"/>
    </row>
    <row r="82" spans="1:12" x14ac:dyDescent="0.2">
      <c r="A82" s="1519" t="s">
        <v>88</v>
      </c>
      <c r="B82" s="615">
        <v>4170</v>
      </c>
      <c r="C82" s="617"/>
      <c r="D82" s="617"/>
      <c r="E82" s="466"/>
      <c r="F82" s="617"/>
      <c r="G82" s="617"/>
      <c r="H82" s="466"/>
      <c r="I82" s="477"/>
      <c r="J82" s="477"/>
      <c r="K82" s="1683">
        <f t="shared" si="11"/>
        <v>0</v>
      </c>
      <c r="L82" s="466"/>
    </row>
    <row r="83" spans="1:12" x14ac:dyDescent="0.2">
      <c r="A83" s="1523" t="s">
        <v>721</v>
      </c>
      <c r="B83" s="629">
        <v>4190</v>
      </c>
      <c r="C83" s="617"/>
      <c r="D83" s="617"/>
      <c r="E83" s="466"/>
      <c r="F83" s="617"/>
      <c r="G83" s="617"/>
      <c r="H83" s="466"/>
      <c r="I83" s="477"/>
      <c r="J83" s="477"/>
      <c r="K83" s="1683">
        <f t="shared" si="11"/>
        <v>0</v>
      </c>
      <c r="L83" s="466"/>
    </row>
    <row r="84" spans="1:12" ht="13.5" thickBot="1" x14ac:dyDescent="0.25">
      <c r="A84" s="1680" t="s">
        <v>1564</v>
      </c>
      <c r="B84" s="1690">
        <v>4100</v>
      </c>
      <c r="C84" s="617"/>
      <c r="D84" s="617"/>
      <c r="E84" s="1682">
        <f>SUM(E78:E83)</f>
        <v>110204</v>
      </c>
      <c r="F84" s="617"/>
      <c r="G84" s="617"/>
      <c r="H84" s="1682">
        <f>SUM(H78:H83)</f>
        <v>101732</v>
      </c>
      <c r="I84" s="477"/>
      <c r="J84" s="477"/>
      <c r="K84" s="1682">
        <f>SUM(K78:K83)</f>
        <v>211936</v>
      </c>
      <c r="L84" s="1682">
        <f>SUM(L78:L83)</f>
        <v>252800</v>
      </c>
    </row>
    <row r="85" spans="1:12" ht="12.75" customHeight="1" thickTop="1" thickBot="1" x14ac:dyDescent="0.25">
      <c r="A85" s="1526" t="s">
        <v>273</v>
      </c>
      <c r="B85" s="636">
        <v>4210</v>
      </c>
      <c r="C85" s="617"/>
      <c r="D85" s="617"/>
      <c r="E85" s="637"/>
      <c r="F85" s="617"/>
      <c r="G85" s="617"/>
      <c r="H85" s="535"/>
      <c r="I85" s="477"/>
      <c r="J85" s="477"/>
      <c r="K85" s="1689">
        <f>H85</f>
        <v>0</v>
      </c>
      <c r="L85" s="530"/>
    </row>
    <row r="86" spans="1:12" ht="12.75" customHeight="1" thickTop="1" thickBot="1" x14ac:dyDescent="0.25">
      <c r="A86" s="1527" t="s">
        <v>722</v>
      </c>
      <c r="B86" s="638">
        <v>4220</v>
      </c>
      <c r="C86" s="617"/>
      <c r="D86" s="617"/>
      <c r="E86" s="639"/>
      <c r="F86" s="617"/>
      <c r="G86" s="617"/>
      <c r="H86" s="467"/>
      <c r="I86" s="477"/>
      <c r="J86" s="477"/>
      <c r="K86" s="1689">
        <f t="shared" ref="K86:K98" si="12">H86</f>
        <v>0</v>
      </c>
      <c r="L86" s="530"/>
    </row>
    <row r="87" spans="1:12" ht="14.25" thickTop="1" thickBot="1" x14ac:dyDescent="0.25">
      <c r="A87" s="1528" t="s">
        <v>723</v>
      </c>
      <c r="B87" s="640">
        <v>4230</v>
      </c>
      <c r="C87" s="617"/>
      <c r="D87" s="617"/>
      <c r="E87" s="639"/>
      <c r="F87" s="617"/>
      <c r="G87" s="617"/>
      <c r="H87" s="467"/>
      <c r="I87" s="477"/>
      <c r="J87" s="477"/>
      <c r="K87" s="1689">
        <f t="shared" si="12"/>
        <v>0</v>
      </c>
      <c r="L87" s="530"/>
    </row>
    <row r="88" spans="1:12" ht="12.75" customHeight="1" thickTop="1" thickBot="1" x14ac:dyDescent="0.25">
      <c r="A88" s="1528" t="s">
        <v>788</v>
      </c>
      <c r="B88" s="640">
        <v>4240</v>
      </c>
      <c r="C88" s="617"/>
      <c r="D88" s="617"/>
      <c r="E88" s="639"/>
      <c r="F88" s="617"/>
      <c r="G88" s="617"/>
      <c r="H88" s="467"/>
      <c r="I88" s="477"/>
      <c r="J88" s="477"/>
      <c r="K88" s="1689">
        <f t="shared" si="12"/>
        <v>0</v>
      </c>
      <c r="L88" s="530"/>
    </row>
    <row r="89" spans="1:12" ht="12.75" customHeight="1" thickTop="1" thickBot="1" x14ac:dyDescent="0.25">
      <c r="A89" s="1528" t="s">
        <v>724</v>
      </c>
      <c r="B89" s="640">
        <v>4270</v>
      </c>
      <c r="C89" s="617"/>
      <c r="D89" s="617"/>
      <c r="E89" s="639"/>
      <c r="F89" s="617"/>
      <c r="G89" s="617"/>
      <c r="H89" s="467"/>
      <c r="I89" s="477"/>
      <c r="J89" s="477"/>
      <c r="K89" s="1689">
        <f t="shared" si="12"/>
        <v>0</v>
      </c>
      <c r="L89" s="530"/>
    </row>
    <row r="90" spans="1:12" ht="12.75" customHeight="1" thickTop="1" thickBot="1" x14ac:dyDescent="0.25">
      <c r="A90" s="1528" t="s">
        <v>709</v>
      </c>
      <c r="B90" s="640">
        <v>4280</v>
      </c>
      <c r="C90" s="617"/>
      <c r="D90" s="617"/>
      <c r="E90" s="639"/>
      <c r="F90" s="617"/>
      <c r="G90" s="617"/>
      <c r="H90" s="467"/>
      <c r="I90" s="477"/>
      <c r="J90" s="477"/>
      <c r="K90" s="1689">
        <f t="shared" si="12"/>
        <v>0</v>
      </c>
      <c r="L90" s="530"/>
    </row>
    <row r="91" spans="1:12" ht="12.75" customHeight="1" thickTop="1" thickBot="1" x14ac:dyDescent="0.25">
      <c r="A91" s="1528" t="s">
        <v>710</v>
      </c>
      <c r="B91" s="640">
        <v>4290</v>
      </c>
      <c r="C91" s="617"/>
      <c r="D91" s="617"/>
      <c r="E91" s="639"/>
      <c r="F91" s="617"/>
      <c r="G91" s="617"/>
      <c r="H91" s="467"/>
      <c r="I91" s="477"/>
      <c r="J91" s="477"/>
      <c r="K91" s="1689">
        <f t="shared" si="12"/>
        <v>0</v>
      </c>
      <c r="L91" s="530"/>
    </row>
    <row r="92" spans="1:12" ht="14.25" thickTop="1" thickBot="1" x14ac:dyDescent="0.25">
      <c r="A92" s="1692" t="s">
        <v>1640</v>
      </c>
      <c r="B92" s="1690">
        <v>4200</v>
      </c>
      <c r="C92" s="617"/>
      <c r="D92" s="617"/>
      <c r="E92" s="639"/>
      <c r="F92" s="617"/>
      <c r="G92" s="617"/>
      <c r="H92" s="1682">
        <f>SUM(H85:H91)</f>
        <v>0</v>
      </c>
      <c r="I92" s="477"/>
      <c r="J92" s="477"/>
      <c r="K92" s="1689">
        <f t="shared" si="12"/>
        <v>0</v>
      </c>
      <c r="L92" s="1682">
        <f>SUM(L85:L91)</f>
        <v>0</v>
      </c>
    </row>
    <row r="93" spans="1:12" ht="14.25" thickTop="1" thickBot="1" x14ac:dyDescent="0.25">
      <c r="A93" s="1527" t="s">
        <v>711</v>
      </c>
      <c r="B93" s="641">
        <v>4310</v>
      </c>
      <c r="C93" s="617"/>
      <c r="D93" s="617"/>
      <c r="E93" s="639"/>
      <c r="F93" s="617"/>
      <c r="G93" s="617"/>
      <c r="H93" s="642"/>
      <c r="I93" s="477"/>
      <c r="J93" s="477"/>
      <c r="K93" s="1689">
        <f t="shared" si="12"/>
        <v>0</v>
      </c>
      <c r="L93" s="532"/>
    </row>
    <row r="94" spans="1:12" ht="12.75" customHeight="1" thickTop="1" thickBot="1" x14ac:dyDescent="0.25">
      <c r="A94" s="1528" t="s">
        <v>712</v>
      </c>
      <c r="B94" s="640">
        <v>4320</v>
      </c>
      <c r="C94" s="617"/>
      <c r="D94" s="617"/>
      <c r="E94" s="639"/>
      <c r="F94" s="617"/>
      <c r="G94" s="617"/>
      <c r="H94" s="467"/>
      <c r="I94" s="477"/>
      <c r="J94" s="477"/>
      <c r="K94" s="1689">
        <f t="shared" si="12"/>
        <v>0</v>
      </c>
      <c r="L94" s="530"/>
    </row>
    <row r="95" spans="1:12" ht="15" customHeight="1" thickTop="1" thickBot="1" x14ac:dyDescent="0.25">
      <c r="A95" s="1528" t="s">
        <v>1567</v>
      </c>
      <c r="B95" s="640">
        <v>4330</v>
      </c>
      <c r="C95" s="617"/>
      <c r="D95" s="617"/>
      <c r="E95" s="639"/>
      <c r="F95" s="617"/>
      <c r="G95" s="617"/>
      <c r="H95" s="467"/>
      <c r="I95" s="477"/>
      <c r="J95" s="477"/>
      <c r="K95" s="1689">
        <f t="shared" si="12"/>
        <v>0</v>
      </c>
      <c r="L95" s="530"/>
    </row>
    <row r="96" spans="1:12" ht="14.25" thickTop="1" thickBot="1" x14ac:dyDescent="0.25">
      <c r="A96" s="1528" t="s">
        <v>713</v>
      </c>
      <c r="B96" s="640">
        <v>4340</v>
      </c>
      <c r="C96" s="617"/>
      <c r="D96" s="617"/>
      <c r="E96" s="639"/>
      <c r="F96" s="617"/>
      <c r="G96" s="617"/>
      <c r="H96" s="467"/>
      <c r="I96" s="477"/>
      <c r="J96" s="477"/>
      <c r="K96" s="1689">
        <f t="shared" si="12"/>
        <v>0</v>
      </c>
      <c r="L96" s="530"/>
    </row>
    <row r="97" spans="1:14" ht="12.75" customHeight="1" thickTop="1" thickBot="1" x14ac:dyDescent="0.25">
      <c r="A97" s="1528" t="s">
        <v>786</v>
      </c>
      <c r="B97" s="640">
        <v>4370</v>
      </c>
      <c r="C97" s="617"/>
      <c r="D97" s="617"/>
      <c r="E97" s="639"/>
      <c r="F97" s="617"/>
      <c r="G97" s="617"/>
      <c r="H97" s="467"/>
      <c r="I97" s="477"/>
      <c r="J97" s="477"/>
      <c r="K97" s="1689">
        <f t="shared" si="12"/>
        <v>0</v>
      </c>
      <c r="L97" s="530"/>
    </row>
    <row r="98" spans="1:14" ht="14.25" thickTop="1" thickBot="1" x14ac:dyDescent="0.25">
      <c r="A98" s="1528" t="s">
        <v>787</v>
      </c>
      <c r="B98" s="640">
        <v>4380</v>
      </c>
      <c r="C98" s="617"/>
      <c r="D98" s="617"/>
      <c r="E98" s="643"/>
      <c r="F98" s="617"/>
      <c r="G98" s="617"/>
      <c r="H98" s="467"/>
      <c r="I98" s="477"/>
      <c r="J98" s="477"/>
      <c r="K98" s="1689">
        <f t="shared" si="12"/>
        <v>0</v>
      </c>
      <c r="L98" s="530"/>
    </row>
    <row r="99" spans="1:14" ht="14.25" thickTop="1" thickBot="1" x14ac:dyDescent="0.25">
      <c r="A99" s="1528" t="s">
        <v>384</v>
      </c>
      <c r="B99" s="640">
        <v>4390</v>
      </c>
      <c r="C99" s="617"/>
      <c r="D99" s="617"/>
      <c r="E99" s="532"/>
      <c r="F99" s="617"/>
      <c r="G99" s="617"/>
      <c r="H99" s="467"/>
      <c r="I99" s="477"/>
      <c r="J99" s="477"/>
      <c r="K99" s="1689">
        <f>SUM(E99,H99)</f>
        <v>0</v>
      </c>
      <c r="L99" s="530"/>
    </row>
    <row r="100" spans="1:14" ht="14.25" thickTop="1" thickBot="1" x14ac:dyDescent="0.25">
      <c r="A100" s="1692" t="s">
        <v>1565</v>
      </c>
      <c r="B100" s="1693">
        <v>4300</v>
      </c>
      <c r="C100" s="617"/>
      <c r="D100" s="617"/>
      <c r="E100" s="1689">
        <f>SUM(E93:E99)</f>
        <v>0</v>
      </c>
      <c r="F100" s="617"/>
      <c r="G100" s="617"/>
      <c r="H100" s="1689">
        <f>SUM(H93:H99)</f>
        <v>0</v>
      </c>
      <c r="I100" s="477"/>
      <c r="J100" s="477"/>
      <c r="K100" s="1689">
        <f>SUM(K93:K99)</f>
        <v>0</v>
      </c>
      <c r="L100" s="1689">
        <f>SUM(L93:L99)</f>
        <v>0</v>
      </c>
    </row>
    <row r="101" spans="1:14" ht="12.75" customHeight="1" thickTop="1" thickBot="1" x14ac:dyDescent="0.25">
      <c r="A101" s="1525" t="s">
        <v>1568</v>
      </c>
      <c r="B101" s="644" t="s">
        <v>987</v>
      </c>
      <c r="C101" s="617"/>
      <c r="D101" s="617"/>
      <c r="E101" s="531"/>
      <c r="F101" s="617"/>
      <c r="G101" s="617"/>
      <c r="H101" s="531"/>
      <c r="I101" s="477"/>
      <c r="J101" s="477"/>
      <c r="K101" s="1691">
        <f>SUM(C101:J101)</f>
        <v>0</v>
      </c>
      <c r="L101" s="530"/>
    </row>
    <row r="102" spans="1:14" ht="12.75" customHeight="1" thickTop="1" thickBot="1" x14ac:dyDescent="0.25">
      <c r="A102" s="1680" t="s">
        <v>1566</v>
      </c>
      <c r="B102" s="1690">
        <v>4000</v>
      </c>
      <c r="C102" s="617"/>
      <c r="D102" s="617"/>
      <c r="E102" s="1689">
        <f>SUM(E84,E92,E100,E101)</f>
        <v>110204</v>
      </c>
      <c r="F102" s="617"/>
      <c r="G102" s="617"/>
      <c r="H102" s="1689">
        <f>SUM(H84,H92,H100,H101)</f>
        <v>101732</v>
      </c>
      <c r="I102" s="477"/>
      <c r="J102" s="477"/>
      <c r="K102" s="1689">
        <f>SUM(K84,K92,K100,K101)</f>
        <v>211936</v>
      </c>
      <c r="L102" s="1689">
        <f>SUM(L84,L92,L100,L101)</f>
        <v>252800</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3">
        <f>H105</f>
        <v>0</v>
      </c>
      <c r="L105" s="481"/>
      <c r="M105" s="210"/>
      <c r="N105" s="210"/>
    </row>
    <row r="106" spans="1:14" s="598" customFormat="1" x14ac:dyDescent="0.2">
      <c r="A106" s="1519" t="s">
        <v>90</v>
      </c>
      <c r="B106" s="615">
        <v>5120</v>
      </c>
      <c r="C106" s="617"/>
      <c r="D106" s="617"/>
      <c r="E106" s="617"/>
      <c r="F106" s="617"/>
      <c r="G106" s="617"/>
      <c r="H106" s="466"/>
      <c r="I106" s="468"/>
      <c r="J106" s="468"/>
      <c r="K106" s="1683">
        <f>H106</f>
        <v>0</v>
      </c>
      <c r="L106" s="466"/>
      <c r="M106" s="210"/>
      <c r="N106" s="210"/>
    </row>
    <row r="107" spans="1:14" s="598" customFormat="1" ht="12.75" customHeight="1" x14ac:dyDescent="0.2">
      <c r="A107" s="1519" t="s">
        <v>1231</v>
      </c>
      <c r="B107" s="615">
        <v>5130</v>
      </c>
      <c r="C107" s="617"/>
      <c r="D107" s="617"/>
      <c r="E107" s="617"/>
      <c r="F107" s="617"/>
      <c r="G107" s="617"/>
      <c r="H107" s="466"/>
      <c r="I107" s="468"/>
      <c r="J107" s="468"/>
      <c r="K107" s="1683">
        <f>H107</f>
        <v>0</v>
      </c>
      <c r="L107" s="466"/>
      <c r="M107" s="210"/>
      <c r="N107" s="210"/>
    </row>
    <row r="108" spans="1:14" s="598" customFormat="1" x14ac:dyDescent="0.2">
      <c r="A108" s="1519" t="s">
        <v>91</v>
      </c>
      <c r="B108" s="615" t="s">
        <v>609</v>
      </c>
      <c r="C108" s="617"/>
      <c r="D108" s="617"/>
      <c r="E108" s="617"/>
      <c r="F108" s="617"/>
      <c r="G108" s="617"/>
      <c r="H108" s="466"/>
      <c r="I108" s="468"/>
      <c r="J108" s="468"/>
      <c r="K108" s="1683">
        <f>H108</f>
        <v>0</v>
      </c>
      <c r="L108" s="466"/>
      <c r="M108" s="210"/>
      <c r="N108" s="210"/>
    </row>
    <row r="109" spans="1:14" s="598" customFormat="1" x14ac:dyDescent="0.2">
      <c r="A109" s="1519" t="s">
        <v>272</v>
      </c>
      <c r="B109" s="629">
        <v>5150</v>
      </c>
      <c r="C109" s="617"/>
      <c r="D109" s="617"/>
      <c r="E109" s="617"/>
      <c r="F109" s="617"/>
      <c r="G109" s="617"/>
      <c r="H109" s="466"/>
      <c r="I109" s="468"/>
      <c r="J109" s="468"/>
      <c r="K109" s="1683">
        <f>H109</f>
        <v>0</v>
      </c>
      <c r="L109" s="466"/>
      <c r="M109" s="210"/>
      <c r="N109" s="210"/>
    </row>
    <row r="110" spans="1:14" s="598" customFormat="1" ht="12.75" customHeight="1" thickBot="1" x14ac:dyDescent="0.25">
      <c r="A110" s="1680" t="s">
        <v>1163</v>
      </c>
      <c r="B110" s="1687" t="s">
        <v>741</v>
      </c>
      <c r="C110" s="617"/>
      <c r="D110" s="617"/>
      <c r="E110" s="617"/>
      <c r="F110" s="617"/>
      <c r="G110" s="617"/>
      <c r="H110" s="1682">
        <f>SUM(H105:H109)</f>
        <v>0</v>
      </c>
      <c r="I110" s="468"/>
      <c r="J110" s="468"/>
      <c r="K110" s="1682">
        <f>SUM(K105:K109)</f>
        <v>0</v>
      </c>
      <c r="L110" s="1682">
        <f>SUM(L105:L109)</f>
        <v>0</v>
      </c>
      <c r="M110" s="210"/>
      <c r="N110" s="210"/>
    </row>
    <row r="111" spans="1:14" s="598" customFormat="1" ht="12.75" customHeight="1" thickTop="1" thickBot="1" x14ac:dyDescent="0.25">
      <c r="A111" s="1529" t="s">
        <v>385</v>
      </c>
      <c r="B111" s="648" t="s">
        <v>38</v>
      </c>
      <c r="C111" s="617"/>
      <c r="D111" s="617"/>
      <c r="E111" s="617"/>
      <c r="F111" s="617"/>
      <c r="G111" s="617"/>
      <c r="H111" s="535"/>
      <c r="I111" s="468"/>
      <c r="J111" s="468"/>
      <c r="K111" s="1695">
        <f>H111</f>
        <v>0</v>
      </c>
      <c r="L111" s="532"/>
      <c r="M111" s="210"/>
      <c r="N111" s="210"/>
    </row>
    <row r="112" spans="1:14" s="598" customFormat="1" ht="12.75" customHeight="1" thickTop="1" thickBot="1" x14ac:dyDescent="0.25">
      <c r="A112" s="1680" t="s">
        <v>658</v>
      </c>
      <c r="B112" s="1681" t="s">
        <v>512</v>
      </c>
      <c r="C112" s="617"/>
      <c r="D112" s="617"/>
      <c r="E112" s="617"/>
      <c r="F112" s="617"/>
      <c r="G112" s="617"/>
      <c r="H112" s="1682">
        <f>SUM(H110:H111)</f>
        <v>0</v>
      </c>
      <c r="I112" s="468"/>
      <c r="J112" s="468"/>
      <c r="K112" s="1682">
        <f>SUM(K110:K111)</f>
        <v>0</v>
      </c>
      <c r="L112" s="1689">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c r="M113" s="614"/>
      <c r="N113" s="614"/>
    </row>
    <row r="114" spans="1:14" ht="12.75" customHeight="1" thickTop="1" thickBot="1" x14ac:dyDescent="0.25">
      <c r="A114" s="1680" t="s">
        <v>50</v>
      </c>
      <c r="B114" s="1694"/>
      <c r="C114" s="1682">
        <f>SUM(C33,C74,C75,C102,C112,C113)</f>
        <v>3926663</v>
      </c>
      <c r="D114" s="1682">
        <f t="shared" ref="D114:K114" si="13">SUM(D33,D74,D75,D102,D112,D113)</f>
        <v>750657</v>
      </c>
      <c r="E114" s="1682">
        <f t="shared" si="13"/>
        <v>246073</v>
      </c>
      <c r="F114" s="1682">
        <f t="shared" si="13"/>
        <v>381591</v>
      </c>
      <c r="G114" s="1682">
        <f t="shared" si="13"/>
        <v>17781</v>
      </c>
      <c r="H114" s="1682">
        <f>SUM(H33,H74,H75,H102,H112,H113)</f>
        <v>116670</v>
      </c>
      <c r="I114" s="1682">
        <f t="shared" si="13"/>
        <v>0</v>
      </c>
      <c r="J114" s="1682">
        <f t="shared" si="13"/>
        <v>0</v>
      </c>
      <c r="K114" s="1682">
        <f t="shared" si="13"/>
        <v>5439435</v>
      </c>
      <c r="L114" s="1682">
        <f>SUM(L33,L74,L75,L102,L112,L113)</f>
        <v>5594490</v>
      </c>
    </row>
    <row r="115" spans="1:14" ht="13.5" thickTop="1" x14ac:dyDescent="0.2">
      <c r="A115" s="2176" t="s">
        <v>1052</v>
      </c>
      <c r="B115" s="2177"/>
      <c r="C115" s="619"/>
      <c r="D115" s="619"/>
      <c r="E115" s="619"/>
      <c r="F115" s="619"/>
      <c r="G115" s="619"/>
      <c r="H115" s="619"/>
      <c r="I115" s="619"/>
      <c r="J115" s="619"/>
      <c r="K115" s="1696">
        <f>'Revenues 9-14'!C275-'Expenditures 15-22'!K114</f>
        <v>680426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313</v>
      </c>
      <c r="B117" s="2182"/>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2">
        <f>SUM(C122:J122)</f>
        <v>0</v>
      </c>
      <c r="L122" s="466"/>
    </row>
    <row r="123" spans="1:14" ht="14.25" thickTop="1" thickBot="1" x14ac:dyDescent="0.25">
      <c r="A123" s="1519" t="s">
        <v>4</v>
      </c>
      <c r="B123" s="615">
        <v>2530</v>
      </c>
      <c r="C123" s="466"/>
      <c r="D123" s="466"/>
      <c r="E123" s="466"/>
      <c r="F123" s="466"/>
      <c r="G123" s="466"/>
      <c r="H123" s="466"/>
      <c r="I123" s="467"/>
      <c r="J123" s="467"/>
      <c r="K123" s="1682">
        <f>SUM(C123:J123)</f>
        <v>0</v>
      </c>
      <c r="L123" s="466"/>
    </row>
    <row r="124" spans="1:14" ht="14.25" thickTop="1" thickBot="1" x14ac:dyDescent="0.25">
      <c r="A124" s="1519" t="s">
        <v>206</v>
      </c>
      <c r="B124" s="615">
        <v>2540</v>
      </c>
      <c r="C124" s="466">
        <v>242081</v>
      </c>
      <c r="D124" s="466">
        <v>29834</v>
      </c>
      <c r="E124" s="466">
        <v>66683</v>
      </c>
      <c r="F124" s="466">
        <v>188230</v>
      </c>
      <c r="G124" s="466">
        <v>2097</v>
      </c>
      <c r="H124" s="466"/>
      <c r="I124" s="467">
        <v>758</v>
      </c>
      <c r="J124" s="467"/>
      <c r="K124" s="1682">
        <f>SUM(C124:J124)</f>
        <v>529683</v>
      </c>
      <c r="L124" s="466">
        <v>522792</v>
      </c>
    </row>
    <row r="125" spans="1:14" ht="14.25" thickTop="1" thickBot="1" x14ac:dyDescent="0.25">
      <c r="A125" s="1519" t="s">
        <v>1009</v>
      </c>
      <c r="B125" s="615">
        <v>2550</v>
      </c>
      <c r="C125" s="466"/>
      <c r="D125" s="466"/>
      <c r="E125" s="466"/>
      <c r="F125" s="466"/>
      <c r="G125" s="466"/>
      <c r="H125" s="466"/>
      <c r="I125" s="467"/>
      <c r="J125" s="467"/>
      <c r="K125" s="1682">
        <f>SUM(C125:J125)</f>
        <v>0</v>
      </c>
      <c r="L125" s="466"/>
    </row>
    <row r="126" spans="1:14" ht="14.25" thickTop="1" thickBot="1" x14ac:dyDescent="0.25">
      <c r="A126" s="1519" t="s">
        <v>102</v>
      </c>
      <c r="B126" s="615">
        <v>2560</v>
      </c>
      <c r="C126" s="655"/>
      <c r="D126" s="655"/>
      <c r="E126" s="655"/>
      <c r="F126" s="655"/>
      <c r="G126" s="466"/>
      <c r="H126" s="655"/>
      <c r="I126" s="474"/>
      <c r="J126" s="617"/>
      <c r="K126" s="1682">
        <f>SUM(C126:J126)</f>
        <v>0</v>
      </c>
      <c r="L126" s="466"/>
    </row>
    <row r="127" spans="1:14" ht="12.75" customHeight="1" thickTop="1" thickBot="1" x14ac:dyDescent="0.25">
      <c r="A127" s="1680" t="s">
        <v>742</v>
      </c>
      <c r="B127" s="1681" t="s">
        <v>35</v>
      </c>
      <c r="C127" s="1682">
        <f>SUM(C122:C126)</f>
        <v>242081</v>
      </c>
      <c r="D127" s="1682">
        <f t="shared" ref="D127:L127" si="14">SUM(D122:D126)</f>
        <v>29834</v>
      </c>
      <c r="E127" s="1682">
        <f t="shared" si="14"/>
        <v>66683</v>
      </c>
      <c r="F127" s="1682">
        <f t="shared" si="14"/>
        <v>188230</v>
      </c>
      <c r="G127" s="1682">
        <f t="shared" si="14"/>
        <v>2097</v>
      </c>
      <c r="H127" s="1682">
        <f t="shared" si="14"/>
        <v>0</v>
      </c>
      <c r="I127" s="1682">
        <f t="shared" si="14"/>
        <v>758</v>
      </c>
      <c r="J127" s="1682">
        <f t="shared" si="14"/>
        <v>0</v>
      </c>
      <c r="K127" s="1682">
        <f t="shared" si="14"/>
        <v>529683</v>
      </c>
      <c r="L127" s="1682">
        <f t="shared" si="14"/>
        <v>522792</v>
      </c>
    </row>
    <row r="128" spans="1:14" ht="12.75" customHeight="1" thickTop="1" x14ac:dyDescent="0.2">
      <c r="A128" s="1526" t="s">
        <v>1036</v>
      </c>
      <c r="B128" s="656" t="s">
        <v>594</v>
      </c>
      <c r="C128" s="657"/>
      <c r="D128" s="657"/>
      <c r="E128" s="657"/>
      <c r="F128" s="657"/>
      <c r="G128" s="657"/>
      <c r="H128" s="657"/>
      <c r="I128" s="535"/>
      <c r="J128" s="535"/>
      <c r="K128" s="1697">
        <f>SUM(C128:J128)</f>
        <v>0</v>
      </c>
      <c r="L128" s="657"/>
    </row>
    <row r="129" spans="1:14" ht="12.75" customHeight="1" thickBot="1" x14ac:dyDescent="0.25">
      <c r="A129" s="1698" t="s">
        <v>864</v>
      </c>
      <c r="B129" s="1699" t="s">
        <v>589</v>
      </c>
      <c r="C129" s="1689">
        <f>SUM(C120,C127,C128)</f>
        <v>242081</v>
      </c>
      <c r="D129" s="1689">
        <f t="shared" ref="D129:L129" si="15">SUM(D120,D127,D128)</f>
        <v>29834</v>
      </c>
      <c r="E129" s="1689">
        <f t="shared" si="15"/>
        <v>66683</v>
      </c>
      <c r="F129" s="1689">
        <f t="shared" si="15"/>
        <v>188230</v>
      </c>
      <c r="G129" s="1689">
        <f t="shared" si="15"/>
        <v>2097</v>
      </c>
      <c r="H129" s="1689">
        <f t="shared" si="15"/>
        <v>0</v>
      </c>
      <c r="I129" s="1689">
        <f t="shared" si="15"/>
        <v>758</v>
      </c>
      <c r="J129" s="1689">
        <f t="shared" si="15"/>
        <v>0</v>
      </c>
      <c r="K129" s="1689">
        <f t="shared" si="15"/>
        <v>529683</v>
      </c>
      <c r="L129" s="1689">
        <f t="shared" si="15"/>
        <v>522792</v>
      </c>
    </row>
    <row r="130" spans="1:14" ht="15.75" customHeight="1" thickTop="1" thickBot="1" x14ac:dyDescent="0.25">
      <c r="A130" s="1625" t="s">
        <v>1095</v>
      </c>
      <c r="B130" s="1626" t="s">
        <v>595</v>
      </c>
      <c r="C130" s="576"/>
      <c r="D130" s="576"/>
      <c r="E130" s="576"/>
      <c r="F130" s="576"/>
      <c r="G130" s="576"/>
      <c r="H130" s="576"/>
      <c r="I130" s="531"/>
      <c r="J130" s="531"/>
      <c r="K130" s="1682">
        <f>SUM(C130:J130)</f>
        <v>0</v>
      </c>
      <c r="L130" s="576"/>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3" t="s">
        <v>1953</v>
      </c>
      <c r="C133" s="468"/>
      <c r="D133" s="468"/>
      <c r="E133" s="642"/>
      <c r="F133" s="468"/>
      <c r="G133" s="468"/>
      <c r="H133" s="642"/>
      <c r="I133" s="468"/>
      <c r="J133" s="468"/>
      <c r="K133" s="1834">
        <f>SUM(E133,H133)</f>
        <v>0</v>
      </c>
      <c r="L133" s="642"/>
      <c r="M133" s="206"/>
      <c r="N133" s="206"/>
    </row>
    <row r="134" spans="1:14" x14ac:dyDescent="0.2">
      <c r="A134" s="1519" t="s">
        <v>321</v>
      </c>
      <c r="B134" s="615">
        <v>4120</v>
      </c>
      <c r="C134" s="617"/>
      <c r="D134" s="617"/>
      <c r="E134" s="478"/>
      <c r="F134" s="617"/>
      <c r="G134" s="617"/>
      <c r="H134" s="481"/>
      <c r="I134" s="477"/>
      <c r="J134" s="617"/>
      <c r="K134" s="1684">
        <f>SUM(E134,H134)</f>
        <v>0</v>
      </c>
      <c r="L134" s="481"/>
    </row>
    <row r="135" spans="1:14" x14ac:dyDescent="0.2">
      <c r="A135" s="1519" t="s">
        <v>720</v>
      </c>
      <c r="B135" s="615">
        <v>4140</v>
      </c>
      <c r="C135" s="617"/>
      <c r="D135" s="617"/>
      <c r="E135" s="467"/>
      <c r="F135" s="617"/>
      <c r="G135" s="617"/>
      <c r="H135" s="466"/>
      <c r="I135" s="477"/>
      <c r="J135" s="617"/>
      <c r="K135" s="1684">
        <f>SUM(E135,H135)</f>
        <v>0</v>
      </c>
      <c r="L135" s="466"/>
    </row>
    <row r="136" spans="1:14" x14ac:dyDescent="0.2">
      <c r="A136" s="1523" t="s">
        <v>721</v>
      </c>
      <c r="B136" s="629">
        <v>4190</v>
      </c>
      <c r="C136" s="617"/>
      <c r="D136" s="617"/>
      <c r="E136" s="467"/>
      <c r="F136" s="617"/>
      <c r="G136" s="617"/>
      <c r="H136" s="466"/>
      <c r="I136" s="477"/>
      <c r="J136" s="617"/>
      <c r="K136" s="1684">
        <f>SUM(E136,H136)</f>
        <v>0</v>
      </c>
      <c r="L136" s="466"/>
    </row>
    <row r="137" spans="1:14" ht="12.75" customHeight="1" thickBot="1" x14ac:dyDescent="0.25">
      <c r="A137" s="1680" t="s">
        <v>500</v>
      </c>
      <c r="B137" s="1690">
        <v>4100</v>
      </c>
      <c r="C137" s="617"/>
      <c r="D137" s="617"/>
      <c r="E137" s="1682">
        <f>SUM(E133:E136)</f>
        <v>0</v>
      </c>
      <c r="F137" s="617"/>
      <c r="G137" s="617"/>
      <c r="H137" s="1682">
        <f>SUM(H133:H136)</f>
        <v>0</v>
      </c>
      <c r="I137" s="477"/>
      <c r="J137" s="617"/>
      <c r="K137" s="1682">
        <f>SUM(K133:K136)</f>
        <v>0</v>
      </c>
      <c r="L137" s="1682">
        <f>SUM(L133:L136)</f>
        <v>0</v>
      </c>
    </row>
    <row r="138" spans="1:14" ht="12.75" customHeight="1" thickTop="1" thickBot="1" x14ac:dyDescent="0.25">
      <c r="A138" s="1525" t="s">
        <v>98</v>
      </c>
      <c r="B138" s="644" t="s">
        <v>987</v>
      </c>
      <c r="C138" s="617"/>
      <c r="D138" s="617"/>
      <c r="E138" s="479"/>
      <c r="F138" s="617"/>
      <c r="G138" s="617"/>
      <c r="H138" s="576"/>
      <c r="I138" s="477"/>
      <c r="J138" s="617"/>
      <c r="K138" s="1684">
        <f>SUM(E138,H138)</f>
        <v>0</v>
      </c>
      <c r="L138" s="576"/>
    </row>
    <row r="139" spans="1:14" ht="12.75" customHeight="1" thickTop="1" thickBot="1" x14ac:dyDescent="0.25">
      <c r="A139" s="1680" t="s">
        <v>1566</v>
      </c>
      <c r="B139" s="1690">
        <v>4000</v>
      </c>
      <c r="C139" s="617"/>
      <c r="D139" s="617"/>
      <c r="E139" s="1682">
        <f>SUM(E137,E138)</f>
        <v>0</v>
      </c>
      <c r="F139" s="617"/>
      <c r="G139" s="617"/>
      <c r="H139" s="1691">
        <f>SUM(H137:H138)</f>
        <v>0</v>
      </c>
      <c r="I139" s="477"/>
      <c r="J139" s="617"/>
      <c r="K139" s="1684">
        <f>SUM(K137,K138)</f>
        <v>0</v>
      </c>
      <c r="L139" s="1691">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4">
        <f>SUM(H142)</f>
        <v>0</v>
      </c>
      <c r="L142" s="481"/>
    </row>
    <row r="143" spans="1:14" x14ac:dyDescent="0.2">
      <c r="A143" s="1519" t="s">
        <v>90</v>
      </c>
      <c r="B143" s="615">
        <v>5120</v>
      </c>
      <c r="C143" s="617"/>
      <c r="D143" s="617"/>
      <c r="E143" s="617"/>
      <c r="F143" s="617"/>
      <c r="G143" s="617"/>
      <c r="H143" s="466"/>
      <c r="I143" s="468"/>
      <c r="J143" s="617"/>
      <c r="K143" s="1684">
        <f>SUM(H143)</f>
        <v>0</v>
      </c>
      <c r="L143" s="466"/>
    </row>
    <row r="144" spans="1:14" ht="12.75" customHeight="1" x14ac:dyDescent="0.2">
      <c r="A144" s="1519" t="s">
        <v>1231</v>
      </c>
      <c r="B144" s="629" t="s">
        <v>637</v>
      </c>
      <c r="C144" s="617"/>
      <c r="D144" s="617"/>
      <c r="E144" s="617"/>
      <c r="F144" s="617"/>
      <c r="G144" s="617"/>
      <c r="H144" s="466"/>
      <c r="I144" s="468"/>
      <c r="J144" s="617"/>
      <c r="K144" s="1684">
        <f>SUM(H144)</f>
        <v>0</v>
      </c>
      <c r="L144" s="466"/>
    </row>
    <row r="145" spans="1:14" x14ac:dyDescent="0.2">
      <c r="A145" s="1519" t="s">
        <v>91</v>
      </c>
      <c r="B145" s="615" t="s">
        <v>609</v>
      </c>
      <c r="C145" s="617"/>
      <c r="D145" s="617"/>
      <c r="E145" s="617"/>
      <c r="F145" s="617"/>
      <c r="G145" s="617"/>
      <c r="H145" s="466"/>
      <c r="I145" s="468"/>
      <c r="J145" s="617"/>
      <c r="K145" s="1684">
        <f>SUM(H145)</f>
        <v>0</v>
      </c>
      <c r="L145" s="466"/>
    </row>
    <row r="146" spans="1:14" ht="12.75" customHeight="1" x14ac:dyDescent="0.2">
      <c r="A146" s="1519" t="s">
        <v>639</v>
      </c>
      <c r="B146" s="615" t="s">
        <v>638</v>
      </c>
      <c r="C146" s="617"/>
      <c r="D146" s="617"/>
      <c r="E146" s="617"/>
      <c r="F146" s="617"/>
      <c r="G146" s="617"/>
      <c r="H146" s="466"/>
      <c r="I146" s="468"/>
      <c r="J146" s="617"/>
      <c r="K146" s="1684">
        <f>SUM(H146)</f>
        <v>0</v>
      </c>
      <c r="L146" s="466"/>
    </row>
    <row r="147" spans="1:14" ht="12.75" customHeight="1" thickBot="1" x14ac:dyDescent="0.25">
      <c r="A147" s="1530" t="s">
        <v>646</v>
      </c>
      <c r="B147" s="660" t="s">
        <v>741</v>
      </c>
      <c r="C147" s="617"/>
      <c r="D147" s="617"/>
      <c r="E147" s="617"/>
      <c r="F147" s="617"/>
      <c r="G147" s="617"/>
      <c r="H147" s="1700">
        <f>SUM(H142:H146)</f>
        <v>0</v>
      </c>
      <c r="I147" s="468"/>
      <c r="J147" s="617"/>
      <c r="K147" s="1682">
        <f>SUM(K142:K146)</f>
        <v>0</v>
      </c>
      <c r="L147" s="1700">
        <f>SUM(L142:L146)</f>
        <v>0</v>
      </c>
    </row>
    <row r="148" spans="1:14" ht="15.75" customHeight="1" thickTop="1" x14ac:dyDescent="0.2">
      <c r="A148" s="661" t="s">
        <v>1164</v>
      </c>
      <c r="B148" s="662" t="s">
        <v>38</v>
      </c>
      <c r="C148" s="617"/>
      <c r="D148" s="617"/>
      <c r="E148" s="617"/>
      <c r="F148" s="617"/>
      <c r="G148" s="617"/>
      <c r="H148" s="479"/>
      <c r="I148" s="468"/>
      <c r="J148" s="617"/>
      <c r="K148" s="1684">
        <f>SUM(H148)</f>
        <v>0</v>
      </c>
      <c r="L148" s="492"/>
    </row>
    <row r="149" spans="1:14" ht="12.75" customHeight="1" thickBot="1" x14ac:dyDescent="0.25">
      <c r="A149" s="1522" t="s">
        <v>658</v>
      </c>
      <c r="B149" s="618" t="s">
        <v>512</v>
      </c>
      <c r="C149" s="617"/>
      <c r="D149" s="617"/>
      <c r="E149" s="617"/>
      <c r="F149" s="617"/>
      <c r="G149" s="617"/>
      <c r="H149" s="1682">
        <f>SUM(H147,H148)</f>
        <v>0</v>
      </c>
      <c r="I149" s="468"/>
      <c r="J149" s="617"/>
      <c r="K149" s="1682">
        <f>SUM(K147:K148)</f>
        <v>0</v>
      </c>
      <c r="L149" s="1682">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row>
    <row r="151" spans="1:14" ht="12.75" customHeight="1" thickTop="1" thickBot="1" x14ac:dyDescent="0.25">
      <c r="A151" s="2193" t="s">
        <v>640</v>
      </c>
      <c r="B151" s="2173"/>
      <c r="C151" s="1682">
        <f>SUM(C129,C130,C139,C149,C150)</f>
        <v>242081</v>
      </c>
      <c r="D151" s="1682">
        <f t="shared" ref="D151:K151" si="16">SUM(D129,D130,D139,D149,D150)</f>
        <v>29834</v>
      </c>
      <c r="E151" s="1682">
        <f t="shared" si="16"/>
        <v>66683</v>
      </c>
      <c r="F151" s="1682">
        <f t="shared" si="16"/>
        <v>188230</v>
      </c>
      <c r="G151" s="1682">
        <f t="shared" si="16"/>
        <v>2097</v>
      </c>
      <c r="H151" s="1682">
        <f t="shared" si="16"/>
        <v>0</v>
      </c>
      <c r="I151" s="1682">
        <f t="shared" si="16"/>
        <v>758</v>
      </c>
      <c r="J151" s="1682">
        <f t="shared" si="16"/>
        <v>0</v>
      </c>
      <c r="K151" s="1682">
        <f t="shared" si="16"/>
        <v>529683</v>
      </c>
      <c r="L151" s="1682">
        <f>SUM(L129,L130,L139,L149,L150)</f>
        <v>522792</v>
      </c>
    </row>
    <row r="152" spans="1:14" ht="12.75" customHeight="1" thickTop="1" x14ac:dyDescent="0.2">
      <c r="A152" s="2196" t="s">
        <v>1239</v>
      </c>
      <c r="B152" s="2197"/>
      <c r="C152" s="619"/>
      <c r="D152" s="619"/>
      <c r="E152" s="619"/>
      <c r="F152" s="619"/>
      <c r="G152" s="619"/>
      <c r="H152" s="619"/>
      <c r="I152" s="619"/>
      <c r="J152" s="617"/>
      <c r="K152" s="1696">
        <f>'Revenues 9-14'!D275-'Expenditures 15-22'!K151</f>
        <v>-30400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641</v>
      </c>
      <c r="B154" s="2183"/>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4"/>
      <c r="I155" s="617"/>
      <c r="J155" s="617"/>
      <c r="K155" s="1838"/>
      <c r="L155" s="1854"/>
      <c r="M155" s="620"/>
      <c r="N155" s="620"/>
    </row>
    <row r="156" spans="1:14" s="621" customFormat="1" ht="15.75" customHeight="1" thickTop="1" x14ac:dyDescent="0.2">
      <c r="A156" s="1835" t="s">
        <v>1954</v>
      </c>
      <c r="B156" s="1836"/>
      <c r="C156" s="617"/>
      <c r="D156" s="617"/>
      <c r="E156" s="617"/>
      <c r="F156" s="617"/>
      <c r="G156" s="617"/>
      <c r="H156" s="1855"/>
      <c r="I156" s="617"/>
      <c r="J156" s="617"/>
      <c r="K156" s="1837"/>
      <c r="L156" s="1855"/>
      <c r="M156" s="620"/>
      <c r="N156" s="620"/>
    </row>
    <row r="157" spans="1:14" s="621" customFormat="1" ht="12" x14ac:dyDescent="0.2">
      <c r="A157" s="1839" t="s">
        <v>516</v>
      </c>
      <c r="B157" s="1840" t="s">
        <v>1953</v>
      </c>
      <c r="C157" s="617"/>
      <c r="D157" s="617"/>
      <c r="E157" s="617"/>
      <c r="F157" s="617"/>
      <c r="G157" s="617"/>
      <c r="H157" s="642"/>
      <c r="I157" s="617"/>
      <c r="J157" s="617"/>
      <c r="K157" s="1683">
        <f>H157</f>
        <v>0</v>
      </c>
      <c r="L157" s="467"/>
      <c r="M157" s="620"/>
      <c r="N157" s="620"/>
    </row>
    <row r="158" spans="1:14" s="621" customFormat="1" ht="12" x14ac:dyDescent="0.2">
      <c r="A158" s="1839" t="s">
        <v>321</v>
      </c>
      <c r="B158" s="1840" t="s">
        <v>1955</v>
      </c>
      <c r="C158" s="617"/>
      <c r="D158" s="617"/>
      <c r="E158" s="617"/>
      <c r="F158" s="617"/>
      <c r="G158" s="617"/>
      <c r="H158" s="467"/>
      <c r="I158" s="617"/>
      <c r="J158" s="617"/>
      <c r="K158" s="1683">
        <f>H158</f>
        <v>0</v>
      </c>
      <c r="L158" s="467"/>
      <c r="M158" s="620"/>
      <c r="N158" s="620"/>
    </row>
    <row r="159" spans="1:14" s="621" customFormat="1" ht="12" x14ac:dyDescent="0.2">
      <c r="A159" s="1839" t="s">
        <v>1956</v>
      </c>
      <c r="B159" s="1840" t="s">
        <v>578</v>
      </c>
      <c r="C159" s="617"/>
      <c r="D159" s="617"/>
      <c r="E159" s="617"/>
      <c r="F159" s="617"/>
      <c r="G159" s="617"/>
      <c r="H159" s="467"/>
      <c r="I159" s="617"/>
      <c r="J159" s="617"/>
      <c r="K159" s="1683">
        <f>H159</f>
        <v>0</v>
      </c>
      <c r="L159" s="467"/>
      <c r="M159" s="620"/>
      <c r="N159" s="620"/>
    </row>
    <row r="160" spans="1:14" s="621" customFormat="1" ht="15.75" customHeight="1" thickBot="1" x14ac:dyDescent="0.25">
      <c r="A160" s="1841" t="s">
        <v>1957</v>
      </c>
      <c r="B160" s="1842" t="s">
        <v>914</v>
      </c>
      <c r="C160" s="617"/>
      <c r="D160" s="617"/>
      <c r="E160" s="617"/>
      <c r="F160" s="617"/>
      <c r="G160" s="617"/>
      <c r="H160" s="1700">
        <f>SUM(H157:H159)</f>
        <v>0</v>
      </c>
      <c r="I160" s="617"/>
      <c r="J160" s="617"/>
      <c r="K160" s="1682">
        <f>SUM(K157:K159)</f>
        <v>0</v>
      </c>
      <c r="L160" s="1700">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3">
        <f>SUM(C163:J163)</f>
        <v>0</v>
      </c>
      <c r="L163" s="466"/>
    </row>
    <row r="164" spans="1:14" x14ac:dyDescent="0.2">
      <c r="A164" s="1519" t="s">
        <v>90</v>
      </c>
      <c r="B164" s="615">
        <v>5120</v>
      </c>
      <c r="C164" s="617"/>
      <c r="D164" s="617"/>
      <c r="E164" s="617"/>
      <c r="F164" s="617"/>
      <c r="G164" s="617"/>
      <c r="H164" s="466"/>
      <c r="I164" s="617"/>
      <c r="J164" s="617"/>
      <c r="K164" s="1683">
        <f>SUM(C164:J164)</f>
        <v>0</v>
      </c>
      <c r="L164" s="466"/>
    </row>
    <row r="165" spans="1:14" ht="12.75" customHeight="1" x14ac:dyDescent="0.2">
      <c r="A165" s="1519" t="s">
        <v>1231</v>
      </c>
      <c r="B165" s="615" t="s">
        <v>637</v>
      </c>
      <c r="C165" s="617"/>
      <c r="D165" s="617"/>
      <c r="E165" s="617"/>
      <c r="F165" s="617"/>
      <c r="G165" s="617"/>
      <c r="H165" s="466"/>
      <c r="I165" s="617"/>
      <c r="J165" s="617"/>
      <c r="K165" s="1683">
        <f>SUM(C165:J165)</f>
        <v>0</v>
      </c>
      <c r="L165" s="466"/>
    </row>
    <row r="166" spans="1:14" x14ac:dyDescent="0.2">
      <c r="A166" s="1519" t="s">
        <v>91</v>
      </c>
      <c r="B166" s="629" t="s">
        <v>609</v>
      </c>
      <c r="C166" s="617"/>
      <c r="D166" s="617"/>
      <c r="E166" s="617"/>
      <c r="F166" s="617"/>
      <c r="G166" s="617"/>
      <c r="H166" s="466"/>
      <c r="I166" s="617"/>
      <c r="J166" s="617"/>
      <c r="K166" s="1683">
        <f>SUM(C166:J166)</f>
        <v>0</v>
      </c>
      <c r="L166" s="466"/>
    </row>
    <row r="167" spans="1:14" ht="12.75" customHeight="1" x14ac:dyDescent="0.2">
      <c r="A167" s="1519" t="s">
        <v>639</v>
      </c>
      <c r="B167" s="615" t="s">
        <v>638</v>
      </c>
      <c r="C167" s="617"/>
      <c r="D167" s="617"/>
      <c r="E167" s="617"/>
      <c r="F167" s="617"/>
      <c r="G167" s="617"/>
      <c r="H167" s="466"/>
      <c r="I167" s="617"/>
      <c r="J167" s="617"/>
      <c r="K167" s="1683">
        <f>SUM(C167:J167)</f>
        <v>0</v>
      </c>
      <c r="L167" s="466"/>
    </row>
    <row r="168" spans="1:14" ht="13.5" thickBot="1" x14ac:dyDescent="0.25">
      <c r="A168" s="1680" t="s">
        <v>293</v>
      </c>
      <c r="B168" s="1687" t="s">
        <v>741</v>
      </c>
      <c r="C168" s="617"/>
      <c r="D168" s="617"/>
      <c r="E168" s="617"/>
      <c r="F168" s="617"/>
      <c r="G168" s="617"/>
      <c r="H168" s="1682">
        <f>SUM(H163:H167)</f>
        <v>0</v>
      </c>
      <c r="I168" s="617"/>
      <c r="J168" s="617"/>
      <c r="K168" s="1682">
        <f>SUM(K163:K167)</f>
        <v>0</v>
      </c>
      <c r="L168" s="1682">
        <f>SUM(L163:L167)</f>
        <v>0</v>
      </c>
    </row>
    <row r="169" spans="1:14" ht="15.75" customHeight="1" thickTop="1" x14ac:dyDescent="0.2">
      <c r="A169" s="670" t="s">
        <v>85</v>
      </c>
      <c r="B169" s="671" t="s">
        <v>38</v>
      </c>
      <c r="C169" s="617"/>
      <c r="D169" s="617"/>
      <c r="E169" s="617"/>
      <c r="F169" s="617"/>
      <c r="G169" s="617"/>
      <c r="H169" s="657">
        <v>156843</v>
      </c>
      <c r="I169" s="617"/>
      <c r="J169" s="617"/>
      <c r="K169" s="1683">
        <f>SUM(C169:H169)</f>
        <v>156843</v>
      </c>
      <c r="L169" s="657">
        <v>149500</v>
      </c>
    </row>
    <row r="170" spans="1:14" ht="33.75" customHeight="1" x14ac:dyDescent="0.2">
      <c r="A170" s="670" t="s">
        <v>1768</v>
      </c>
      <c r="B170" s="672" t="s">
        <v>31</v>
      </c>
      <c r="C170" s="617"/>
      <c r="D170" s="617"/>
      <c r="E170" s="617"/>
      <c r="F170" s="617"/>
      <c r="G170" s="617"/>
      <c r="H170" s="569">
        <v>416683</v>
      </c>
      <c r="I170" s="617"/>
      <c r="J170" s="617"/>
      <c r="K170" s="1683">
        <f>SUM(C170:J170)</f>
        <v>416683</v>
      </c>
      <c r="L170" s="569">
        <v>330000</v>
      </c>
    </row>
    <row r="171" spans="1:14" ht="15.75" customHeight="1" x14ac:dyDescent="0.2">
      <c r="A171" s="622" t="s">
        <v>789</v>
      </c>
      <c r="B171" s="673" t="s">
        <v>86</v>
      </c>
      <c r="C171" s="617"/>
      <c r="D171" s="617"/>
      <c r="E171" s="466"/>
      <c r="F171" s="617"/>
      <c r="G171" s="617"/>
      <c r="H171" s="569">
        <v>802</v>
      </c>
      <c r="I171" s="477"/>
      <c r="J171" s="617"/>
      <c r="K171" s="1683">
        <f>SUM(C171:J171)</f>
        <v>802</v>
      </c>
      <c r="L171" s="569"/>
    </row>
    <row r="172" spans="1:14" ht="12.75" customHeight="1" thickBot="1" x14ac:dyDescent="0.25">
      <c r="A172" s="1680" t="s">
        <v>658</v>
      </c>
      <c r="B172" s="1681" t="s">
        <v>512</v>
      </c>
      <c r="C172" s="617"/>
      <c r="D172" s="617"/>
      <c r="E172" s="1689">
        <f>SUM(E168,E169,E170,E171)</f>
        <v>0</v>
      </c>
      <c r="F172" s="617"/>
      <c r="G172" s="617"/>
      <c r="H172" s="1689">
        <f>SUM(H168,H169,H170,H171)</f>
        <v>574328</v>
      </c>
      <c r="I172" s="639"/>
      <c r="J172" s="617"/>
      <c r="K172" s="1689">
        <f>SUM(K168,K169,K170,K171)</f>
        <v>574328</v>
      </c>
      <c r="L172" s="1689">
        <f>SUM(L168,L169,L170,L171)</f>
        <v>479500</v>
      </c>
    </row>
    <row r="173" spans="1:14" ht="15.75" customHeight="1" thickTop="1" thickBot="1" x14ac:dyDescent="0.25">
      <c r="A173" s="1634" t="s">
        <v>87</v>
      </c>
      <c r="B173" s="1626" t="s">
        <v>915</v>
      </c>
      <c r="C173" s="617"/>
      <c r="D173" s="617"/>
      <c r="E173" s="624"/>
      <c r="F173" s="617"/>
      <c r="G173" s="617"/>
      <c r="H173" s="627"/>
      <c r="I173" s="639"/>
      <c r="J173" s="617"/>
      <c r="K173" s="624"/>
      <c r="L173" s="576"/>
    </row>
    <row r="174" spans="1:14" ht="12.75" customHeight="1" thickTop="1" thickBot="1" x14ac:dyDescent="0.25">
      <c r="A174" s="1701" t="s">
        <v>92</v>
      </c>
      <c r="B174" s="1702"/>
      <c r="C174" s="617"/>
      <c r="D174" s="617"/>
      <c r="E174" s="1689">
        <f>SUM(E155,E172,E173)</f>
        <v>0</v>
      </c>
      <c r="F174" s="617"/>
      <c r="G174" s="617"/>
      <c r="H174" s="1689">
        <f>SUM(H160,H172,H173)</f>
        <v>574328</v>
      </c>
      <c r="I174" s="639"/>
      <c r="J174" s="617"/>
      <c r="K174" s="1689">
        <f>SUM(K160,K172,K173)</f>
        <v>574328</v>
      </c>
      <c r="L174" s="1689">
        <f>SUM(L160,L172,L173)</f>
        <v>479500</v>
      </c>
    </row>
    <row r="175" spans="1:14" ht="13.5" thickTop="1" x14ac:dyDescent="0.2">
      <c r="A175" s="2176" t="s">
        <v>1052</v>
      </c>
      <c r="B175" s="2177"/>
      <c r="C175" s="617"/>
      <c r="D175" s="617"/>
      <c r="E175" s="617"/>
      <c r="F175" s="617"/>
      <c r="G175" s="617"/>
      <c r="H175" s="619"/>
      <c r="I175" s="617"/>
      <c r="J175" s="617"/>
      <c r="K175" s="1696">
        <f>'Revenues 9-14'!E275-'Expenditures 15-22'!K174</f>
        <v>-137522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v>65650</v>
      </c>
      <c r="D182" s="466">
        <v>546</v>
      </c>
      <c r="E182" s="466">
        <v>9494</v>
      </c>
      <c r="F182" s="466">
        <v>16273</v>
      </c>
      <c r="G182" s="466">
        <v>51709</v>
      </c>
      <c r="H182" s="466"/>
      <c r="I182" s="467"/>
      <c r="J182" s="467"/>
      <c r="K182" s="1683">
        <f>SUM(C182:J182)</f>
        <v>143672</v>
      </c>
      <c r="L182" s="466">
        <v>159605</v>
      </c>
    </row>
    <row r="183" spans="1:14" ht="12.75" customHeight="1" thickBot="1" x14ac:dyDescent="0.25">
      <c r="A183" s="1524" t="s">
        <v>1036</v>
      </c>
      <c r="B183" s="678">
        <v>2900</v>
      </c>
      <c r="C183" s="573"/>
      <c r="D183" s="573"/>
      <c r="E183" s="573"/>
      <c r="F183" s="573"/>
      <c r="G183" s="573"/>
      <c r="H183" s="573"/>
      <c r="I183" s="532"/>
      <c r="J183" s="532"/>
      <c r="K183" s="1689">
        <f>SUM(C183:J183)</f>
        <v>0</v>
      </c>
      <c r="L183" s="573"/>
    </row>
    <row r="184" spans="1:14" ht="12.75" customHeight="1" thickTop="1" thickBot="1" x14ac:dyDescent="0.25">
      <c r="A184" s="1703" t="s">
        <v>864</v>
      </c>
      <c r="B184" s="1681" t="s">
        <v>589</v>
      </c>
      <c r="C184" s="1689">
        <f>SUM(C180,C182,C183)</f>
        <v>65650</v>
      </c>
      <c r="D184" s="1689">
        <f t="shared" ref="D184:J184" si="17">SUM(D180,D182,D183)</f>
        <v>546</v>
      </c>
      <c r="E184" s="1689">
        <f t="shared" si="17"/>
        <v>9494</v>
      </c>
      <c r="F184" s="1689">
        <f t="shared" si="17"/>
        <v>16273</v>
      </c>
      <c r="G184" s="1689">
        <f t="shared" si="17"/>
        <v>51709</v>
      </c>
      <c r="H184" s="1689">
        <f t="shared" si="17"/>
        <v>0</v>
      </c>
      <c r="I184" s="1689">
        <f t="shared" si="17"/>
        <v>0</v>
      </c>
      <c r="J184" s="1689">
        <f t="shared" si="17"/>
        <v>0</v>
      </c>
      <c r="K184" s="1689">
        <f>SUM(K180,K182,K183)</f>
        <v>143672</v>
      </c>
      <c r="L184" s="1689">
        <f>SUM(L180, L182:L183)</f>
        <v>159605</v>
      </c>
    </row>
    <row r="185" spans="1:14" ht="15.75" customHeight="1" thickTop="1" thickBot="1" x14ac:dyDescent="0.25">
      <c r="A185" s="1637" t="s">
        <v>995</v>
      </c>
      <c r="B185" s="1626">
        <v>3000</v>
      </c>
      <c r="C185" s="576"/>
      <c r="D185" s="576"/>
      <c r="E185" s="576"/>
      <c r="F185" s="576"/>
      <c r="G185" s="576"/>
      <c r="H185" s="576"/>
      <c r="I185" s="531"/>
      <c r="J185" s="531"/>
      <c r="K185" s="1682">
        <f>SUM(C185:J185)</f>
        <v>0</v>
      </c>
      <c r="L185" s="576"/>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v>214</v>
      </c>
      <c r="F188" s="617"/>
      <c r="G188" s="617"/>
      <c r="H188" s="466"/>
      <c r="I188" s="477"/>
      <c r="J188" s="617"/>
      <c r="K188" s="1683">
        <f t="shared" ref="K188:K193" si="18">SUM(E188,H188)</f>
        <v>214</v>
      </c>
      <c r="L188" s="466">
        <v>2000</v>
      </c>
    </row>
    <row r="189" spans="1:14" x14ac:dyDescent="0.2">
      <c r="A189" s="1519" t="s">
        <v>321</v>
      </c>
      <c r="B189" s="615">
        <v>4120</v>
      </c>
      <c r="C189" s="617"/>
      <c r="D189" s="617"/>
      <c r="E189" s="466"/>
      <c r="F189" s="617"/>
      <c r="G189" s="617"/>
      <c r="H189" s="466"/>
      <c r="I189" s="477"/>
      <c r="J189" s="617"/>
      <c r="K189" s="1683">
        <f t="shared" si="18"/>
        <v>0</v>
      </c>
      <c r="L189" s="466">
        <v>5000</v>
      </c>
    </row>
    <row r="190" spans="1:14" x14ac:dyDescent="0.2">
      <c r="A190" s="1519" t="s">
        <v>322</v>
      </c>
      <c r="B190" s="629">
        <v>4130</v>
      </c>
      <c r="C190" s="617"/>
      <c r="D190" s="617"/>
      <c r="E190" s="466"/>
      <c r="F190" s="617"/>
      <c r="G190" s="617"/>
      <c r="H190" s="466"/>
      <c r="I190" s="477"/>
      <c r="J190" s="617"/>
      <c r="K190" s="1683">
        <f t="shared" si="18"/>
        <v>0</v>
      </c>
      <c r="L190" s="466"/>
    </row>
    <row r="191" spans="1:14" x14ac:dyDescent="0.2">
      <c r="A191" s="1519" t="s">
        <v>720</v>
      </c>
      <c r="B191" s="615">
        <v>4140</v>
      </c>
      <c r="C191" s="617"/>
      <c r="D191" s="617"/>
      <c r="E191" s="466"/>
      <c r="F191" s="617"/>
      <c r="G191" s="617"/>
      <c r="H191" s="466"/>
      <c r="I191" s="477"/>
      <c r="J191" s="617"/>
      <c r="K191" s="1683">
        <f t="shared" si="18"/>
        <v>0</v>
      </c>
      <c r="L191" s="466"/>
    </row>
    <row r="192" spans="1:14" x14ac:dyDescent="0.2">
      <c r="A192" s="1519" t="s">
        <v>88</v>
      </c>
      <c r="B192" s="615">
        <v>4170</v>
      </c>
      <c r="C192" s="617"/>
      <c r="D192" s="617"/>
      <c r="E192" s="466"/>
      <c r="F192" s="617"/>
      <c r="G192" s="617"/>
      <c r="H192" s="466"/>
      <c r="I192" s="477"/>
      <c r="J192" s="617"/>
      <c r="K192" s="1683">
        <f t="shared" si="18"/>
        <v>0</v>
      </c>
      <c r="L192" s="466"/>
    </row>
    <row r="193" spans="1:14" x14ac:dyDescent="0.2">
      <c r="A193" s="1523" t="s">
        <v>721</v>
      </c>
      <c r="B193" s="629">
        <v>4190</v>
      </c>
      <c r="C193" s="617"/>
      <c r="D193" s="617"/>
      <c r="E193" s="466"/>
      <c r="F193" s="617"/>
      <c r="G193" s="617"/>
      <c r="H193" s="466"/>
      <c r="I193" s="477"/>
      <c r="J193" s="617"/>
      <c r="K193" s="1683">
        <f t="shared" si="18"/>
        <v>0</v>
      </c>
      <c r="L193" s="466"/>
    </row>
    <row r="194" spans="1:14" ht="12.75" customHeight="1" thickBot="1" x14ac:dyDescent="0.25">
      <c r="A194" s="1680" t="s">
        <v>1201</v>
      </c>
      <c r="B194" s="1681" t="s">
        <v>579</v>
      </c>
      <c r="C194" s="617"/>
      <c r="D194" s="617"/>
      <c r="E194" s="1682">
        <f>SUM(E188:E193)</f>
        <v>214</v>
      </c>
      <c r="F194" s="617"/>
      <c r="G194" s="617"/>
      <c r="H194" s="1682">
        <f>SUM(H188:H193)</f>
        <v>0</v>
      </c>
      <c r="I194" s="477"/>
      <c r="J194" s="617"/>
      <c r="K194" s="1682">
        <f>SUM(K188:K193)</f>
        <v>214</v>
      </c>
      <c r="L194" s="1682">
        <f>SUM(L188:L193)</f>
        <v>7000</v>
      </c>
    </row>
    <row r="195" spans="1:14" ht="15.75" customHeight="1" thickTop="1" x14ac:dyDescent="0.2">
      <c r="A195" s="670" t="s">
        <v>94</v>
      </c>
      <c r="B195" s="679" t="s">
        <v>987</v>
      </c>
      <c r="C195" s="617"/>
      <c r="D195" s="617"/>
      <c r="E195" s="657"/>
      <c r="F195" s="617"/>
      <c r="G195" s="617"/>
      <c r="H195" s="657"/>
      <c r="I195" s="477"/>
      <c r="J195" s="617"/>
      <c r="K195" s="1697">
        <f>SUM(E195,H195)</f>
        <v>0</v>
      </c>
      <c r="L195" s="657"/>
    </row>
    <row r="196" spans="1:14" ht="12.75" customHeight="1" thickBot="1" x14ac:dyDescent="0.25">
      <c r="A196" s="1680" t="s">
        <v>1566</v>
      </c>
      <c r="B196" s="1681" t="s">
        <v>914</v>
      </c>
      <c r="C196" s="617"/>
      <c r="D196" s="617"/>
      <c r="E196" s="1689">
        <f>SUM(E194,E195)</f>
        <v>214</v>
      </c>
      <c r="F196" s="617"/>
      <c r="G196" s="617"/>
      <c r="H196" s="1689">
        <f>SUM(H194,H195)</f>
        <v>0</v>
      </c>
      <c r="I196" s="477"/>
      <c r="J196" s="617"/>
      <c r="K196" s="1689">
        <f>SUM(K194,K195)</f>
        <v>214</v>
      </c>
      <c r="L196" s="1689">
        <f>SUM(L194,L195)</f>
        <v>7000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3">
        <f>SUM(H199)</f>
        <v>0</v>
      </c>
      <c r="L199" s="466"/>
    </row>
    <row r="200" spans="1:14" x14ac:dyDescent="0.2">
      <c r="A200" s="1519" t="s">
        <v>90</v>
      </c>
      <c r="B200" s="615">
        <v>5120</v>
      </c>
      <c r="C200" s="617"/>
      <c r="D200" s="617"/>
      <c r="E200" s="617"/>
      <c r="F200" s="617"/>
      <c r="G200" s="617"/>
      <c r="H200" s="466"/>
      <c r="I200" s="617"/>
      <c r="J200" s="617"/>
      <c r="K200" s="1683">
        <f>SUM(H200)</f>
        <v>0</v>
      </c>
      <c r="L200" s="466"/>
    </row>
    <row r="201" spans="1:14" ht="12.75" customHeight="1" x14ac:dyDescent="0.2">
      <c r="A201" s="1519" t="s">
        <v>1231</v>
      </c>
      <c r="B201" s="629" t="s">
        <v>637</v>
      </c>
      <c r="C201" s="617"/>
      <c r="D201" s="617"/>
      <c r="E201" s="617"/>
      <c r="F201" s="617"/>
      <c r="G201" s="617"/>
      <c r="H201" s="466"/>
      <c r="I201" s="617"/>
      <c r="J201" s="617"/>
      <c r="K201" s="1683">
        <f>SUM(H201)</f>
        <v>0</v>
      </c>
      <c r="L201" s="466"/>
    </row>
    <row r="202" spans="1:14" x14ac:dyDescent="0.2">
      <c r="A202" s="1519" t="s">
        <v>91</v>
      </c>
      <c r="B202" s="615" t="s">
        <v>609</v>
      </c>
      <c r="C202" s="617"/>
      <c r="D202" s="617"/>
      <c r="E202" s="617"/>
      <c r="F202" s="617"/>
      <c r="G202" s="617"/>
      <c r="H202" s="466"/>
      <c r="I202" s="617"/>
      <c r="J202" s="617"/>
      <c r="K202" s="1683">
        <f>SUM(H202)</f>
        <v>0</v>
      </c>
      <c r="L202" s="466"/>
    </row>
    <row r="203" spans="1:14" x14ac:dyDescent="0.2">
      <c r="A203" s="1531" t="s">
        <v>639</v>
      </c>
      <c r="B203" s="615" t="s">
        <v>638</v>
      </c>
      <c r="C203" s="617"/>
      <c r="D203" s="617"/>
      <c r="E203" s="617"/>
      <c r="F203" s="617"/>
      <c r="G203" s="617"/>
      <c r="H203" s="471"/>
      <c r="I203" s="617"/>
      <c r="J203" s="617"/>
      <c r="K203" s="1683">
        <f>SUM(H203)</f>
        <v>0</v>
      </c>
      <c r="L203" s="471"/>
    </row>
    <row r="204" spans="1:14" ht="13.5" thickBot="1" x14ac:dyDescent="0.25">
      <c r="A204" s="1680" t="s">
        <v>293</v>
      </c>
      <c r="B204" s="1681" t="s">
        <v>741</v>
      </c>
      <c r="C204" s="617"/>
      <c r="D204" s="617"/>
      <c r="E204" s="617"/>
      <c r="F204" s="617"/>
      <c r="G204" s="617"/>
      <c r="H204" s="1682">
        <f>SUM(H199:H203)</f>
        <v>0</v>
      </c>
      <c r="I204" s="617"/>
      <c r="J204" s="617"/>
      <c r="K204" s="1682">
        <f>SUM(K199:K203)</f>
        <v>0</v>
      </c>
      <c r="L204" s="1682">
        <f>SUM(L199:L203)</f>
        <v>0</v>
      </c>
    </row>
    <row r="205" spans="1:14" ht="15.75" customHeight="1" thickTop="1" x14ac:dyDescent="0.2">
      <c r="A205" s="680" t="s">
        <v>85</v>
      </c>
      <c r="B205" s="681" t="s">
        <v>38</v>
      </c>
      <c r="C205" s="617"/>
      <c r="D205" s="617"/>
      <c r="E205" s="617"/>
      <c r="F205" s="617"/>
      <c r="G205" s="617"/>
      <c r="H205" s="535"/>
      <c r="I205" s="617"/>
      <c r="J205" s="617"/>
      <c r="K205" s="1697">
        <f>SUM(H205)</f>
        <v>0</v>
      </c>
      <c r="L205" s="535"/>
    </row>
    <row r="206" spans="1:14" ht="30" customHeight="1" x14ac:dyDescent="0.2">
      <c r="A206" s="682" t="s">
        <v>1769</v>
      </c>
      <c r="B206" s="673" t="s">
        <v>31</v>
      </c>
      <c r="C206" s="617"/>
      <c r="D206" s="617"/>
      <c r="E206" s="617"/>
      <c r="F206" s="617"/>
      <c r="G206" s="617"/>
      <c r="H206" s="466"/>
      <c r="I206" s="617"/>
      <c r="J206" s="617"/>
      <c r="K206" s="1683">
        <f>SUM(H206)</f>
        <v>0</v>
      </c>
      <c r="L206" s="466"/>
    </row>
    <row r="207" spans="1:14" ht="15.75" customHeight="1" x14ac:dyDescent="0.2">
      <c r="A207" s="622" t="s">
        <v>789</v>
      </c>
      <c r="B207" s="673" t="s">
        <v>86</v>
      </c>
      <c r="C207" s="617"/>
      <c r="D207" s="617"/>
      <c r="E207" s="617"/>
      <c r="F207" s="617"/>
      <c r="G207" s="617"/>
      <c r="H207" s="467"/>
      <c r="I207" s="617"/>
      <c r="J207" s="617"/>
      <c r="K207" s="1683">
        <f>H207</f>
        <v>0</v>
      </c>
      <c r="L207" s="466"/>
    </row>
    <row r="208" spans="1:14" ht="12.75" customHeight="1" thickBot="1" x14ac:dyDescent="0.25">
      <c r="A208" s="1698" t="s">
        <v>658</v>
      </c>
      <c r="B208" s="1699" t="s">
        <v>512</v>
      </c>
      <c r="C208" s="617"/>
      <c r="D208" s="617"/>
      <c r="E208" s="617"/>
      <c r="F208" s="617"/>
      <c r="G208" s="617"/>
      <c r="H208" s="1689">
        <f>SUM(H204,H205,H206,H207)</f>
        <v>0</v>
      </c>
      <c r="I208" s="617"/>
      <c r="J208" s="617"/>
      <c r="K208" s="1689">
        <f>SUM(K204,K205,K206,K207)</f>
        <v>0</v>
      </c>
      <c r="L208" s="1689">
        <f>SUM(L204,L205,L206,L207)</f>
        <v>0</v>
      </c>
    </row>
    <row r="209" spans="1:14" ht="15.75" customHeight="1" thickTop="1" thickBot="1" x14ac:dyDescent="0.25">
      <c r="A209" s="1621" t="s">
        <v>926</v>
      </c>
      <c r="B209" s="1628" t="s">
        <v>915</v>
      </c>
      <c r="C209" s="624"/>
      <c r="D209" s="624"/>
      <c r="E209" s="624"/>
      <c r="F209" s="624"/>
      <c r="G209" s="624"/>
      <c r="H209" s="624"/>
      <c r="I209" s="617"/>
      <c r="J209" s="617"/>
      <c r="K209" s="624"/>
      <c r="L209" s="576"/>
    </row>
    <row r="210" spans="1:14" ht="12.75" customHeight="1" thickTop="1" thickBot="1" x14ac:dyDescent="0.25">
      <c r="A210" s="1704" t="s">
        <v>294</v>
      </c>
      <c r="B210" s="1705"/>
      <c r="C210" s="1682">
        <f>SUM(C184,C185)</f>
        <v>65650</v>
      </c>
      <c r="D210" s="1682">
        <f>SUM(D184,D185)</f>
        <v>546</v>
      </c>
      <c r="E210" s="1682">
        <f>SUM(E184,E185,E196)</f>
        <v>9708</v>
      </c>
      <c r="F210" s="1682">
        <f>SUM(F184,F185)</f>
        <v>16273</v>
      </c>
      <c r="G210" s="1682">
        <f>SUM(G184,G185)</f>
        <v>51709</v>
      </c>
      <c r="H210" s="1682">
        <f>SUM(H184,H185,H196,H208,H209)</f>
        <v>0</v>
      </c>
      <c r="I210" s="1682">
        <f>SUM(I184,I185)</f>
        <v>0</v>
      </c>
      <c r="J210" s="1682">
        <f>SUM(J184,J185)</f>
        <v>0</v>
      </c>
      <c r="K210" s="1683">
        <f>SUM(K184,K185,K196,K208,K209)</f>
        <v>143886</v>
      </c>
      <c r="L210" s="1682">
        <f>SUM(L184,L185,L196,L208,L209)</f>
        <v>166605</v>
      </c>
    </row>
    <row r="211" spans="1:14" ht="13.5" thickTop="1" x14ac:dyDescent="0.2">
      <c r="A211" s="2176" t="s">
        <v>1052</v>
      </c>
      <c r="B211" s="2177"/>
      <c r="C211" s="619"/>
      <c r="D211" s="619"/>
      <c r="E211" s="619"/>
      <c r="F211" s="619"/>
      <c r="G211" s="619"/>
      <c r="H211" s="619"/>
      <c r="I211" s="617"/>
      <c r="J211" s="617"/>
      <c r="K211" s="1696">
        <f>'Revenues 9-14'!F275-'Expenditures 15-22'!K210</f>
        <v>33571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1021</v>
      </c>
      <c r="B213" s="2199"/>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29700</v>
      </c>
      <c r="E215" s="617"/>
      <c r="F215" s="617"/>
      <c r="G215" s="617"/>
      <c r="H215" s="617"/>
      <c r="I215" s="617"/>
      <c r="J215" s="617"/>
      <c r="K215" s="1683">
        <f>D215</f>
        <v>29700</v>
      </c>
      <c r="L215" s="466">
        <v>33125</v>
      </c>
    </row>
    <row r="216" spans="1:14" x14ac:dyDescent="0.2">
      <c r="A216" s="1519" t="s">
        <v>165</v>
      </c>
      <c r="B216" s="615" t="s">
        <v>1023</v>
      </c>
      <c r="C216" s="617"/>
      <c r="D216" s="467">
        <v>14864</v>
      </c>
      <c r="E216" s="617"/>
      <c r="F216" s="617"/>
      <c r="G216" s="617"/>
      <c r="H216" s="617"/>
      <c r="I216" s="617"/>
      <c r="J216" s="617"/>
      <c r="K216" s="1683">
        <f t="shared" ref="K216:K228" si="19">D216</f>
        <v>14864</v>
      </c>
      <c r="L216" s="466">
        <v>14230</v>
      </c>
    </row>
    <row r="217" spans="1:14" x14ac:dyDescent="0.2">
      <c r="A217" s="1519" t="s">
        <v>166</v>
      </c>
      <c r="B217" s="615">
        <v>1200</v>
      </c>
      <c r="C217" s="617"/>
      <c r="D217" s="466">
        <v>51644</v>
      </c>
      <c r="E217" s="617"/>
      <c r="F217" s="617"/>
      <c r="G217" s="617"/>
      <c r="H217" s="617"/>
      <c r="I217" s="617"/>
      <c r="J217" s="617"/>
      <c r="K217" s="1683">
        <f t="shared" si="19"/>
        <v>51644</v>
      </c>
      <c r="L217" s="466">
        <v>53005</v>
      </c>
    </row>
    <row r="218" spans="1:14" x14ac:dyDescent="0.2">
      <c r="A218" s="1519" t="s">
        <v>295</v>
      </c>
      <c r="B218" s="615" t="s">
        <v>1024</v>
      </c>
      <c r="C218" s="617"/>
      <c r="D218" s="467">
        <v>6526</v>
      </c>
      <c r="E218" s="617"/>
      <c r="F218" s="617"/>
      <c r="G218" s="617"/>
      <c r="H218" s="617"/>
      <c r="I218" s="617"/>
      <c r="J218" s="617"/>
      <c r="K218" s="1683">
        <f t="shared" si="19"/>
        <v>6526</v>
      </c>
      <c r="L218" s="466">
        <v>6790</v>
      </c>
    </row>
    <row r="219" spans="1:14" x14ac:dyDescent="0.2">
      <c r="A219" s="1519" t="s">
        <v>296</v>
      </c>
      <c r="B219" s="615">
        <v>1250</v>
      </c>
      <c r="C219" s="617"/>
      <c r="D219" s="466">
        <v>14304</v>
      </c>
      <c r="E219" s="617"/>
      <c r="F219" s="617"/>
      <c r="G219" s="617"/>
      <c r="H219" s="617"/>
      <c r="I219" s="617"/>
      <c r="J219" s="617"/>
      <c r="K219" s="1683">
        <f t="shared" si="19"/>
        <v>14304</v>
      </c>
      <c r="L219" s="466">
        <v>14915</v>
      </c>
    </row>
    <row r="220" spans="1:14" x14ac:dyDescent="0.2">
      <c r="A220" s="1519" t="s">
        <v>297</v>
      </c>
      <c r="B220" s="615" t="s">
        <v>163</v>
      </c>
      <c r="C220" s="617"/>
      <c r="D220" s="467"/>
      <c r="E220" s="617"/>
      <c r="F220" s="617"/>
      <c r="G220" s="617"/>
      <c r="H220" s="617"/>
      <c r="I220" s="617"/>
      <c r="J220" s="617"/>
      <c r="K220" s="1683">
        <f t="shared" si="19"/>
        <v>0</v>
      </c>
      <c r="L220" s="466"/>
    </row>
    <row r="221" spans="1:14" x14ac:dyDescent="0.2">
      <c r="A221" s="1519" t="s">
        <v>1018</v>
      </c>
      <c r="B221" s="615">
        <v>1300</v>
      </c>
      <c r="C221" s="617"/>
      <c r="D221" s="466"/>
      <c r="E221" s="617"/>
      <c r="F221" s="617"/>
      <c r="G221" s="617"/>
      <c r="H221" s="617"/>
      <c r="I221" s="617"/>
      <c r="J221" s="617"/>
      <c r="K221" s="1683">
        <f t="shared" si="19"/>
        <v>0</v>
      </c>
      <c r="L221" s="466"/>
    </row>
    <row r="222" spans="1:14" x14ac:dyDescent="0.2">
      <c r="A222" s="1519" t="s">
        <v>746</v>
      </c>
      <c r="B222" s="615">
        <v>1400</v>
      </c>
      <c r="C222" s="617"/>
      <c r="D222" s="466"/>
      <c r="E222" s="617"/>
      <c r="F222" s="617"/>
      <c r="G222" s="617"/>
      <c r="H222" s="617"/>
      <c r="I222" s="617"/>
      <c r="J222" s="617"/>
      <c r="K222" s="1683">
        <f t="shared" si="19"/>
        <v>0</v>
      </c>
      <c r="L222" s="466"/>
    </row>
    <row r="223" spans="1:14" x14ac:dyDescent="0.2">
      <c r="A223" s="1519" t="s">
        <v>1019</v>
      </c>
      <c r="B223" s="615">
        <v>1500</v>
      </c>
      <c r="C223" s="617"/>
      <c r="D223" s="466">
        <v>2125</v>
      </c>
      <c r="E223" s="617"/>
      <c r="F223" s="617"/>
      <c r="G223" s="617"/>
      <c r="H223" s="617"/>
      <c r="I223" s="617"/>
      <c r="J223" s="617"/>
      <c r="K223" s="1683">
        <f t="shared" si="19"/>
        <v>2125</v>
      </c>
      <c r="L223" s="466">
        <v>2980</v>
      </c>
    </row>
    <row r="224" spans="1:14" x14ac:dyDescent="0.2">
      <c r="A224" s="1519" t="s">
        <v>1020</v>
      </c>
      <c r="B224" s="615">
        <v>1600</v>
      </c>
      <c r="C224" s="617"/>
      <c r="D224" s="466"/>
      <c r="E224" s="617"/>
      <c r="F224" s="617"/>
      <c r="G224" s="617"/>
      <c r="H224" s="617"/>
      <c r="I224" s="617"/>
      <c r="J224" s="617"/>
      <c r="K224" s="1683">
        <f t="shared" si="19"/>
        <v>0</v>
      </c>
      <c r="L224" s="466"/>
    </row>
    <row r="225" spans="1:12" x14ac:dyDescent="0.2">
      <c r="A225" s="1519" t="s">
        <v>1043</v>
      </c>
      <c r="B225" s="615">
        <v>1650</v>
      </c>
      <c r="C225" s="617"/>
      <c r="D225" s="466"/>
      <c r="E225" s="617"/>
      <c r="F225" s="617"/>
      <c r="G225" s="617"/>
      <c r="H225" s="617"/>
      <c r="I225" s="617"/>
      <c r="J225" s="617"/>
      <c r="K225" s="1683">
        <f t="shared" si="19"/>
        <v>0</v>
      </c>
      <c r="L225" s="466"/>
    </row>
    <row r="226" spans="1:12" x14ac:dyDescent="0.2">
      <c r="A226" s="1519" t="s">
        <v>747</v>
      </c>
      <c r="B226" s="615" t="s">
        <v>164</v>
      </c>
      <c r="C226" s="617"/>
      <c r="D226" s="467"/>
      <c r="E226" s="617"/>
      <c r="F226" s="617"/>
      <c r="G226" s="617"/>
      <c r="H226" s="617"/>
      <c r="I226" s="617"/>
      <c r="J226" s="617"/>
      <c r="K226" s="1683">
        <f t="shared" si="19"/>
        <v>0</v>
      </c>
      <c r="L226" s="466"/>
    </row>
    <row r="227" spans="1:12" x14ac:dyDescent="0.2">
      <c r="A227" s="1519" t="s">
        <v>1147</v>
      </c>
      <c r="B227" s="615">
        <v>1800</v>
      </c>
      <c r="C227" s="617"/>
      <c r="D227" s="466"/>
      <c r="E227" s="617"/>
      <c r="F227" s="617"/>
      <c r="G227" s="617"/>
      <c r="H227" s="617"/>
      <c r="I227" s="617"/>
      <c r="J227" s="617"/>
      <c r="K227" s="1683">
        <f t="shared" si="19"/>
        <v>0</v>
      </c>
      <c r="L227" s="466"/>
    </row>
    <row r="228" spans="1:12" x14ac:dyDescent="0.2">
      <c r="A228" s="1519" t="s">
        <v>1148</v>
      </c>
      <c r="B228" s="615">
        <v>1900</v>
      </c>
      <c r="C228" s="617"/>
      <c r="D228" s="466"/>
      <c r="E228" s="617"/>
      <c r="F228" s="617"/>
      <c r="G228" s="617"/>
      <c r="H228" s="617"/>
      <c r="I228" s="617"/>
      <c r="J228" s="617"/>
      <c r="K228" s="1683">
        <f t="shared" si="19"/>
        <v>0</v>
      </c>
      <c r="L228" s="466"/>
    </row>
    <row r="229" spans="1:12" ht="12.75" customHeight="1" thickBot="1" x14ac:dyDescent="0.25">
      <c r="A229" s="1680" t="s">
        <v>738</v>
      </c>
      <c r="B229" s="1687" t="s">
        <v>590</v>
      </c>
      <c r="C229" s="617"/>
      <c r="D229" s="1682">
        <f>SUM(D215:D228)</f>
        <v>119163</v>
      </c>
      <c r="E229" s="617"/>
      <c r="F229" s="617"/>
      <c r="G229" s="617"/>
      <c r="H229" s="617"/>
      <c r="I229" s="617"/>
      <c r="J229" s="617"/>
      <c r="K229" s="1682">
        <f>SUM(K215:K228)</f>
        <v>119163</v>
      </c>
      <c r="L229" s="1682">
        <f>SUM(L215:L228)</f>
        <v>125045</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v>1042</v>
      </c>
      <c r="E232" s="617"/>
      <c r="F232" s="617"/>
      <c r="G232" s="617"/>
      <c r="H232" s="617"/>
      <c r="I232" s="617"/>
      <c r="J232" s="617"/>
      <c r="K232" s="1683">
        <f t="shared" ref="K232:K237" si="20">D232</f>
        <v>1042</v>
      </c>
      <c r="L232" s="466">
        <v>1055</v>
      </c>
    </row>
    <row r="233" spans="1:12" x14ac:dyDescent="0.2">
      <c r="A233" s="1519" t="s">
        <v>1150</v>
      </c>
      <c r="B233" s="615">
        <v>2120</v>
      </c>
      <c r="C233" s="617"/>
      <c r="D233" s="466">
        <v>89</v>
      </c>
      <c r="E233" s="617"/>
      <c r="F233" s="617"/>
      <c r="G233" s="617"/>
      <c r="H233" s="617"/>
      <c r="I233" s="617"/>
      <c r="J233" s="617"/>
      <c r="K233" s="1683">
        <f t="shared" si="20"/>
        <v>89</v>
      </c>
      <c r="L233" s="466">
        <v>125</v>
      </c>
    </row>
    <row r="234" spans="1:12" x14ac:dyDescent="0.2">
      <c r="A234" s="1519" t="s">
        <v>207</v>
      </c>
      <c r="B234" s="615">
        <v>2130</v>
      </c>
      <c r="C234" s="617"/>
      <c r="D234" s="466">
        <v>6694</v>
      </c>
      <c r="E234" s="617"/>
      <c r="F234" s="617"/>
      <c r="G234" s="617"/>
      <c r="H234" s="617"/>
      <c r="I234" s="617"/>
      <c r="J234" s="617"/>
      <c r="K234" s="1683">
        <f t="shared" si="20"/>
        <v>6694</v>
      </c>
      <c r="L234" s="466">
        <v>6350</v>
      </c>
    </row>
    <row r="235" spans="1:12" x14ac:dyDescent="0.2">
      <c r="A235" s="1519" t="s">
        <v>208</v>
      </c>
      <c r="B235" s="615">
        <v>2140</v>
      </c>
      <c r="C235" s="617"/>
      <c r="D235" s="466">
        <v>539</v>
      </c>
      <c r="E235" s="617"/>
      <c r="F235" s="617"/>
      <c r="G235" s="617"/>
      <c r="H235" s="617"/>
      <c r="I235" s="617"/>
      <c r="J235" s="617"/>
      <c r="K235" s="1683">
        <f t="shared" si="20"/>
        <v>539</v>
      </c>
      <c r="L235" s="466">
        <v>625</v>
      </c>
    </row>
    <row r="236" spans="1:12" x14ac:dyDescent="0.2">
      <c r="A236" s="1519" t="s">
        <v>209</v>
      </c>
      <c r="B236" s="615">
        <v>2150</v>
      </c>
      <c r="C236" s="617"/>
      <c r="D236" s="466">
        <v>1747</v>
      </c>
      <c r="E236" s="617"/>
      <c r="F236" s="617"/>
      <c r="G236" s="617"/>
      <c r="H236" s="617"/>
      <c r="I236" s="617"/>
      <c r="J236" s="617"/>
      <c r="K236" s="1683">
        <f t="shared" si="20"/>
        <v>1747</v>
      </c>
      <c r="L236" s="466">
        <v>1800</v>
      </c>
    </row>
    <row r="237" spans="1:12" x14ac:dyDescent="0.2">
      <c r="A237" s="1519" t="s">
        <v>167</v>
      </c>
      <c r="B237" s="615">
        <v>2190</v>
      </c>
      <c r="C237" s="617"/>
      <c r="D237" s="466">
        <v>6018</v>
      </c>
      <c r="E237" s="617"/>
      <c r="F237" s="617"/>
      <c r="G237" s="617"/>
      <c r="H237" s="617"/>
      <c r="I237" s="617"/>
      <c r="J237" s="617"/>
      <c r="K237" s="1683">
        <f t="shared" si="20"/>
        <v>6018</v>
      </c>
      <c r="L237" s="466">
        <v>6900</v>
      </c>
    </row>
    <row r="238" spans="1:12" ht="12.75" customHeight="1" thickBot="1" x14ac:dyDescent="0.25">
      <c r="A238" s="1680" t="s">
        <v>580</v>
      </c>
      <c r="B238" s="1687" t="s">
        <v>739</v>
      </c>
      <c r="C238" s="617"/>
      <c r="D238" s="1682">
        <f>SUM(D232:D237)</f>
        <v>16129</v>
      </c>
      <c r="E238" s="617"/>
      <c r="F238" s="617"/>
      <c r="G238" s="617"/>
      <c r="H238" s="617"/>
      <c r="I238" s="617"/>
      <c r="J238" s="617"/>
      <c r="K238" s="1682">
        <f>SUM(K232:K237)</f>
        <v>16129</v>
      </c>
      <c r="L238" s="1682">
        <f>SUM(L232:L237)</f>
        <v>16855</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v>147</v>
      </c>
      <c r="E240" s="617"/>
      <c r="F240" s="617"/>
      <c r="G240" s="617"/>
      <c r="H240" s="617"/>
      <c r="I240" s="617"/>
      <c r="J240" s="617"/>
      <c r="K240" s="1684">
        <f>D240</f>
        <v>147</v>
      </c>
      <c r="L240" s="481">
        <v>390</v>
      </c>
    </row>
    <row r="241" spans="1:12" x14ac:dyDescent="0.2">
      <c r="A241" s="1519" t="s">
        <v>868</v>
      </c>
      <c r="B241" s="615">
        <v>2220</v>
      </c>
      <c r="C241" s="617"/>
      <c r="D241" s="466"/>
      <c r="E241" s="617"/>
      <c r="F241" s="617"/>
      <c r="G241" s="617"/>
      <c r="H241" s="617"/>
      <c r="I241" s="617"/>
      <c r="J241" s="617"/>
      <c r="K241" s="1684">
        <f>D241</f>
        <v>0</v>
      </c>
      <c r="L241" s="466"/>
    </row>
    <row r="242" spans="1:12" x14ac:dyDescent="0.2">
      <c r="A242" s="1519" t="s">
        <v>869</v>
      </c>
      <c r="B242" s="615">
        <v>2230</v>
      </c>
      <c r="C242" s="617"/>
      <c r="D242" s="466"/>
      <c r="E242" s="617"/>
      <c r="F242" s="617"/>
      <c r="G242" s="617"/>
      <c r="H242" s="617"/>
      <c r="I242" s="617"/>
      <c r="J242" s="617"/>
      <c r="K242" s="1684">
        <f>D242</f>
        <v>0</v>
      </c>
      <c r="L242" s="466"/>
    </row>
    <row r="243" spans="1:12" ht="12.75" customHeight="1" thickBot="1" x14ac:dyDescent="0.25">
      <c r="A243" s="1706" t="s">
        <v>581</v>
      </c>
      <c r="B243" s="1707">
        <v>2200</v>
      </c>
      <c r="C243" s="617"/>
      <c r="D243" s="1682">
        <f>SUM(D240:D242)</f>
        <v>147</v>
      </c>
      <c r="E243" s="617"/>
      <c r="F243" s="617"/>
      <c r="G243" s="617"/>
      <c r="H243" s="617"/>
      <c r="I243" s="617"/>
      <c r="J243" s="617"/>
      <c r="K243" s="1682">
        <f>SUM(K240:K242)</f>
        <v>147</v>
      </c>
      <c r="L243" s="1682">
        <f>SUM(L240:L242)</f>
        <v>390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c r="E245" s="617"/>
      <c r="F245" s="617"/>
      <c r="G245" s="617"/>
      <c r="H245" s="617"/>
      <c r="I245" s="617"/>
      <c r="J245" s="617"/>
      <c r="K245" s="1684">
        <f>D245</f>
        <v>0</v>
      </c>
      <c r="L245" s="481"/>
    </row>
    <row r="246" spans="1:12" x14ac:dyDescent="0.2">
      <c r="A246" s="1519" t="s">
        <v>871</v>
      </c>
      <c r="B246" s="615">
        <v>2320</v>
      </c>
      <c r="C246" s="617"/>
      <c r="D246" s="466">
        <v>10119</v>
      </c>
      <c r="E246" s="617"/>
      <c r="F246" s="617"/>
      <c r="G246" s="617"/>
      <c r="H246" s="617"/>
      <c r="I246" s="617"/>
      <c r="J246" s="617"/>
      <c r="K246" s="1684">
        <f t="shared" ref="K246:K256" si="21">D246</f>
        <v>10119</v>
      </c>
      <c r="L246" s="466">
        <v>10125</v>
      </c>
    </row>
    <row r="247" spans="1:12" x14ac:dyDescent="0.2">
      <c r="A247" s="1519" t="s">
        <v>872</v>
      </c>
      <c r="B247" s="615">
        <v>2330</v>
      </c>
      <c r="C247" s="617"/>
      <c r="D247" s="466">
        <v>2005</v>
      </c>
      <c r="E247" s="617"/>
      <c r="F247" s="617"/>
      <c r="G247" s="617"/>
      <c r="H247" s="617"/>
      <c r="I247" s="617"/>
      <c r="J247" s="617"/>
      <c r="K247" s="1684">
        <f t="shared" si="21"/>
        <v>2005</v>
      </c>
      <c r="L247" s="466">
        <v>2060</v>
      </c>
    </row>
    <row r="248" spans="1:12" x14ac:dyDescent="0.2">
      <c r="A248" s="1520" t="s">
        <v>316</v>
      </c>
      <c r="B248" s="603" t="s">
        <v>298</v>
      </c>
      <c r="C248" s="617"/>
      <c r="D248" s="474"/>
      <c r="E248" s="617"/>
      <c r="F248" s="617"/>
      <c r="G248" s="617"/>
      <c r="H248" s="617"/>
      <c r="I248" s="617"/>
      <c r="J248" s="617"/>
      <c r="K248" s="1684">
        <f t="shared" si="21"/>
        <v>0</v>
      </c>
      <c r="L248" s="466"/>
    </row>
    <row r="249" spans="1:12" x14ac:dyDescent="0.2">
      <c r="A249" s="1521" t="s">
        <v>1905</v>
      </c>
      <c r="B249" s="684" t="s">
        <v>299</v>
      </c>
      <c r="C249" s="617"/>
      <c r="D249" s="474"/>
      <c r="E249" s="617"/>
      <c r="F249" s="617"/>
      <c r="G249" s="617"/>
      <c r="H249" s="617"/>
      <c r="I249" s="617"/>
      <c r="J249" s="617"/>
      <c r="K249" s="1684">
        <f t="shared" si="21"/>
        <v>0</v>
      </c>
      <c r="L249" s="466"/>
    </row>
    <row r="250" spans="1:12" x14ac:dyDescent="0.2">
      <c r="A250" s="1520" t="s">
        <v>1906</v>
      </c>
      <c r="B250" s="603" t="s">
        <v>300</v>
      </c>
      <c r="C250" s="617"/>
      <c r="D250" s="474"/>
      <c r="E250" s="617"/>
      <c r="F250" s="617"/>
      <c r="G250" s="617"/>
      <c r="H250" s="617"/>
      <c r="I250" s="617"/>
      <c r="J250" s="617"/>
      <c r="K250" s="1684">
        <f t="shared" si="21"/>
        <v>0</v>
      </c>
      <c r="L250" s="466"/>
    </row>
    <row r="251" spans="1:12" x14ac:dyDescent="0.2">
      <c r="A251" s="1520" t="s">
        <v>256</v>
      </c>
      <c r="B251" s="603" t="s">
        <v>301</v>
      </c>
      <c r="C251" s="617"/>
      <c r="D251" s="474"/>
      <c r="E251" s="617"/>
      <c r="F251" s="617"/>
      <c r="G251" s="617"/>
      <c r="H251" s="617"/>
      <c r="I251" s="617"/>
      <c r="J251" s="617"/>
      <c r="K251" s="1684">
        <f t="shared" si="21"/>
        <v>0</v>
      </c>
      <c r="L251" s="466"/>
    </row>
    <row r="252" spans="1:12" x14ac:dyDescent="0.2">
      <c r="A252" s="1520" t="s">
        <v>725</v>
      </c>
      <c r="B252" s="603" t="s">
        <v>302</v>
      </c>
      <c r="C252" s="617"/>
      <c r="D252" s="474"/>
      <c r="E252" s="617"/>
      <c r="F252" s="617"/>
      <c r="G252" s="617"/>
      <c r="H252" s="617"/>
      <c r="I252" s="617"/>
      <c r="J252" s="617"/>
      <c r="K252" s="1684">
        <f t="shared" si="21"/>
        <v>0</v>
      </c>
      <c r="L252" s="466"/>
    </row>
    <row r="253" spans="1:12" x14ac:dyDescent="0.2">
      <c r="A253" s="1520" t="s">
        <v>257</v>
      </c>
      <c r="B253" s="603" t="s">
        <v>303</v>
      </c>
      <c r="C253" s="617"/>
      <c r="D253" s="474"/>
      <c r="E253" s="617"/>
      <c r="F253" s="617"/>
      <c r="G253" s="617"/>
      <c r="H253" s="617"/>
      <c r="I253" s="617"/>
      <c r="J253" s="617"/>
      <c r="K253" s="1684">
        <f t="shared" si="21"/>
        <v>0</v>
      </c>
      <c r="L253" s="466"/>
    </row>
    <row r="254" spans="1:12" ht="22.5" x14ac:dyDescent="0.2">
      <c r="A254" s="1520" t="s">
        <v>1086</v>
      </c>
      <c r="B254" s="684" t="s">
        <v>304</v>
      </c>
      <c r="C254" s="617"/>
      <c r="D254" s="474"/>
      <c r="E254" s="617"/>
      <c r="F254" s="617"/>
      <c r="G254" s="617"/>
      <c r="H254" s="617"/>
      <c r="I254" s="617"/>
      <c r="J254" s="617"/>
      <c r="K254" s="1684">
        <f t="shared" si="21"/>
        <v>0</v>
      </c>
      <c r="L254" s="466"/>
    </row>
    <row r="255" spans="1:12" x14ac:dyDescent="0.2">
      <c r="A255" s="1520" t="s">
        <v>1087</v>
      </c>
      <c r="B255" s="603" t="s">
        <v>305</v>
      </c>
      <c r="C255" s="617"/>
      <c r="D255" s="474"/>
      <c r="E255" s="617"/>
      <c r="F255" s="617"/>
      <c r="G255" s="617"/>
      <c r="H255" s="617"/>
      <c r="I255" s="617"/>
      <c r="J255" s="617"/>
      <c r="K255" s="1684">
        <f t="shared" si="21"/>
        <v>0</v>
      </c>
      <c r="L255" s="466"/>
    </row>
    <row r="256" spans="1:12" x14ac:dyDescent="0.2">
      <c r="A256" s="1520" t="s">
        <v>1027</v>
      </c>
      <c r="B256" s="615" t="s">
        <v>306</v>
      </c>
      <c r="C256" s="617"/>
      <c r="D256" s="474"/>
      <c r="E256" s="617"/>
      <c r="F256" s="617"/>
      <c r="G256" s="617"/>
      <c r="H256" s="617"/>
      <c r="I256" s="617"/>
      <c r="J256" s="617"/>
      <c r="K256" s="1684">
        <f t="shared" si="21"/>
        <v>0</v>
      </c>
      <c r="L256" s="466"/>
    </row>
    <row r="257" spans="1:14" ht="12.75" customHeight="1" thickBot="1" x14ac:dyDescent="0.25">
      <c r="A257" s="1680" t="s">
        <v>740</v>
      </c>
      <c r="B257" s="1708">
        <v>2300</v>
      </c>
      <c r="C257" s="617"/>
      <c r="D257" s="1682">
        <f>SUM(D245:D256)</f>
        <v>12124</v>
      </c>
      <c r="E257" s="617"/>
      <c r="F257" s="617"/>
      <c r="G257" s="617"/>
      <c r="H257" s="617"/>
      <c r="I257" s="617"/>
      <c r="J257" s="617"/>
      <c r="K257" s="1682">
        <f>SUM(K245:K256)</f>
        <v>12124</v>
      </c>
      <c r="L257" s="1682">
        <f>SUM(L245:L256)</f>
        <v>12185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v>19173</v>
      </c>
      <c r="E259" s="617"/>
      <c r="F259" s="617"/>
      <c r="G259" s="617"/>
      <c r="H259" s="617"/>
      <c r="I259" s="617"/>
      <c r="J259" s="617"/>
      <c r="K259" s="1684">
        <f>D259</f>
        <v>19173</v>
      </c>
      <c r="L259" s="481">
        <v>21610</v>
      </c>
    </row>
    <row r="260" spans="1:14" s="598" customFormat="1" x14ac:dyDescent="0.2">
      <c r="A260" s="1537" t="s">
        <v>1904</v>
      </c>
      <c r="B260" s="629">
        <v>2490</v>
      </c>
      <c r="C260" s="617"/>
      <c r="D260" s="466"/>
      <c r="E260" s="617"/>
      <c r="F260" s="617"/>
      <c r="G260" s="617"/>
      <c r="H260" s="617"/>
      <c r="I260" s="617"/>
      <c r="J260" s="617"/>
      <c r="K260" s="1684">
        <f>D260</f>
        <v>0</v>
      </c>
      <c r="L260" s="466"/>
      <c r="M260" s="210"/>
      <c r="N260" s="210"/>
    </row>
    <row r="261" spans="1:14" ht="12.75" customHeight="1" thickBot="1" x14ac:dyDescent="0.25">
      <c r="A261" s="1704" t="s">
        <v>281</v>
      </c>
      <c r="B261" s="1709" t="s">
        <v>34</v>
      </c>
      <c r="C261" s="617"/>
      <c r="D261" s="1682">
        <f>SUM(D259:D260)</f>
        <v>19173</v>
      </c>
      <c r="E261" s="617"/>
      <c r="F261" s="617"/>
      <c r="G261" s="617"/>
      <c r="H261" s="617"/>
      <c r="I261" s="617"/>
      <c r="J261" s="617"/>
      <c r="K261" s="1682">
        <f>SUM(K259:K260)</f>
        <v>19173</v>
      </c>
      <c r="L261" s="1682">
        <f>SUM(L259:L260)</f>
        <v>21610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c r="E263" s="617"/>
      <c r="F263" s="617"/>
      <c r="G263" s="617"/>
      <c r="H263" s="617"/>
      <c r="I263" s="617"/>
      <c r="J263" s="617"/>
      <c r="K263" s="1684">
        <f>D263</f>
        <v>0</v>
      </c>
      <c r="L263" s="481"/>
    </row>
    <row r="264" spans="1:14" x14ac:dyDescent="0.2">
      <c r="A264" s="1519" t="s">
        <v>482</v>
      </c>
      <c r="B264" s="686">
        <v>2520</v>
      </c>
      <c r="C264" s="617"/>
      <c r="D264" s="466">
        <v>13043</v>
      </c>
      <c r="E264" s="617"/>
      <c r="F264" s="617"/>
      <c r="G264" s="617"/>
      <c r="H264" s="617"/>
      <c r="I264" s="617"/>
      <c r="J264" s="617"/>
      <c r="K264" s="1684">
        <f t="shared" ref="K264:K269" si="22">D264</f>
        <v>13043</v>
      </c>
      <c r="L264" s="466">
        <v>13500</v>
      </c>
    </row>
    <row r="265" spans="1:14" x14ac:dyDescent="0.2">
      <c r="A265" s="1519" t="s">
        <v>4</v>
      </c>
      <c r="B265" s="615">
        <v>2530</v>
      </c>
      <c r="C265" s="617"/>
      <c r="D265" s="466"/>
      <c r="E265" s="617"/>
      <c r="F265" s="617"/>
      <c r="G265" s="617"/>
      <c r="H265" s="617"/>
      <c r="I265" s="617"/>
      <c r="J265" s="617"/>
      <c r="K265" s="1684">
        <f t="shared" si="22"/>
        <v>0</v>
      </c>
      <c r="L265" s="466"/>
    </row>
    <row r="266" spans="1:14" x14ac:dyDescent="0.2">
      <c r="A266" s="1519" t="s">
        <v>206</v>
      </c>
      <c r="B266" s="615">
        <v>2540</v>
      </c>
      <c r="C266" s="617"/>
      <c r="D266" s="466">
        <v>50019</v>
      </c>
      <c r="E266" s="617"/>
      <c r="F266" s="617"/>
      <c r="G266" s="617"/>
      <c r="H266" s="617"/>
      <c r="I266" s="617"/>
      <c r="J266" s="617"/>
      <c r="K266" s="1684">
        <f t="shared" si="22"/>
        <v>50019</v>
      </c>
      <c r="L266" s="466">
        <v>55450</v>
      </c>
    </row>
    <row r="267" spans="1:14" x14ac:dyDescent="0.2">
      <c r="A267" s="1519" t="s">
        <v>1009</v>
      </c>
      <c r="B267" s="615">
        <v>2550</v>
      </c>
      <c r="C267" s="617"/>
      <c r="D267" s="466">
        <v>11415</v>
      </c>
      <c r="E267" s="617"/>
      <c r="F267" s="617"/>
      <c r="G267" s="617"/>
      <c r="H267" s="617"/>
      <c r="I267" s="617"/>
      <c r="J267" s="617"/>
      <c r="K267" s="1684">
        <f t="shared" si="22"/>
        <v>11415</v>
      </c>
      <c r="L267" s="466">
        <v>12525</v>
      </c>
    </row>
    <row r="268" spans="1:14" x14ac:dyDescent="0.2">
      <c r="A268" s="1519" t="s">
        <v>102</v>
      </c>
      <c r="B268" s="615">
        <v>2560</v>
      </c>
      <c r="C268" s="617"/>
      <c r="D268" s="466">
        <v>31433</v>
      </c>
      <c r="E268" s="617"/>
      <c r="F268" s="617"/>
      <c r="G268" s="617"/>
      <c r="H268" s="617"/>
      <c r="I268" s="617"/>
      <c r="J268" s="617"/>
      <c r="K268" s="1684">
        <f t="shared" si="22"/>
        <v>31433</v>
      </c>
      <c r="L268" s="466">
        <v>28900</v>
      </c>
    </row>
    <row r="269" spans="1:14" x14ac:dyDescent="0.2">
      <c r="A269" s="1519" t="s">
        <v>103</v>
      </c>
      <c r="B269" s="615">
        <v>2570</v>
      </c>
      <c r="C269" s="617"/>
      <c r="D269" s="466"/>
      <c r="E269" s="617"/>
      <c r="F269" s="617"/>
      <c r="G269" s="617"/>
      <c r="H269" s="617"/>
      <c r="I269" s="617"/>
      <c r="J269" s="617"/>
      <c r="K269" s="1684">
        <f t="shared" si="22"/>
        <v>0</v>
      </c>
      <c r="L269" s="466"/>
    </row>
    <row r="270" spans="1:14" ht="12.75" customHeight="1" thickBot="1" x14ac:dyDescent="0.25">
      <c r="A270" s="1680" t="s">
        <v>742</v>
      </c>
      <c r="B270" s="1687" t="s">
        <v>35</v>
      </c>
      <c r="C270" s="617"/>
      <c r="D270" s="1682">
        <f>SUM(D263:D269)</f>
        <v>105910</v>
      </c>
      <c r="E270" s="617"/>
      <c r="F270" s="617"/>
      <c r="G270" s="617"/>
      <c r="H270" s="617"/>
      <c r="I270" s="617"/>
      <c r="J270" s="617"/>
      <c r="K270" s="1682">
        <f>SUM(K263:K269)</f>
        <v>105910</v>
      </c>
      <c r="L270" s="1682">
        <f>SUM(L263:L269)</f>
        <v>110375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4">
        <f>D272</f>
        <v>0</v>
      </c>
      <c r="L272" s="481"/>
    </row>
    <row r="273" spans="1:12" x14ac:dyDescent="0.2">
      <c r="A273" s="1519" t="s">
        <v>627</v>
      </c>
      <c r="B273" s="629">
        <v>2620</v>
      </c>
      <c r="C273" s="617"/>
      <c r="D273" s="466"/>
      <c r="E273" s="617"/>
      <c r="F273" s="617"/>
      <c r="G273" s="617"/>
      <c r="H273" s="617"/>
      <c r="I273" s="617"/>
      <c r="J273" s="617"/>
      <c r="K273" s="1684">
        <f>D273</f>
        <v>0</v>
      </c>
      <c r="L273" s="466"/>
    </row>
    <row r="274" spans="1:12" ht="12" customHeight="1" x14ac:dyDescent="0.2">
      <c r="A274" s="1519" t="s">
        <v>1120</v>
      </c>
      <c r="B274" s="615">
        <v>2630</v>
      </c>
      <c r="C274" s="617"/>
      <c r="D274" s="466"/>
      <c r="E274" s="617"/>
      <c r="F274" s="617"/>
      <c r="G274" s="617"/>
      <c r="H274" s="617"/>
      <c r="I274" s="617"/>
      <c r="J274" s="617"/>
      <c r="K274" s="1684">
        <f>D274</f>
        <v>0</v>
      </c>
      <c r="L274" s="466"/>
    </row>
    <row r="275" spans="1:12" x14ac:dyDescent="0.2">
      <c r="A275" s="1519" t="s">
        <v>422</v>
      </c>
      <c r="B275" s="615">
        <v>2640</v>
      </c>
      <c r="C275" s="617"/>
      <c r="D275" s="466"/>
      <c r="E275" s="617"/>
      <c r="F275" s="617"/>
      <c r="G275" s="617"/>
      <c r="H275" s="617"/>
      <c r="I275" s="617"/>
      <c r="J275" s="617"/>
      <c r="K275" s="1684">
        <f>D275</f>
        <v>0</v>
      </c>
      <c r="L275" s="466"/>
    </row>
    <row r="276" spans="1:12" x14ac:dyDescent="0.2">
      <c r="A276" s="1519" t="s">
        <v>423</v>
      </c>
      <c r="B276" s="615">
        <v>2660</v>
      </c>
      <c r="C276" s="617"/>
      <c r="D276" s="466">
        <v>14486</v>
      </c>
      <c r="E276" s="617"/>
      <c r="F276" s="617"/>
      <c r="G276" s="617"/>
      <c r="H276" s="617"/>
      <c r="I276" s="617"/>
      <c r="J276" s="617"/>
      <c r="K276" s="1684">
        <f>D276</f>
        <v>14486</v>
      </c>
      <c r="L276" s="466">
        <v>14380</v>
      </c>
    </row>
    <row r="277" spans="1:12" ht="12.75" customHeight="1" thickBot="1" x14ac:dyDescent="0.25">
      <c r="A277" s="1703" t="s">
        <v>37</v>
      </c>
      <c r="B277" s="1681" t="s">
        <v>36</v>
      </c>
      <c r="C277" s="617"/>
      <c r="D277" s="1682">
        <f>SUM(D272:D276)</f>
        <v>14486</v>
      </c>
      <c r="E277" s="617"/>
      <c r="F277" s="617"/>
      <c r="G277" s="617"/>
      <c r="H277" s="617"/>
      <c r="I277" s="617"/>
      <c r="J277" s="617"/>
      <c r="K277" s="1682">
        <f>SUM(K272:K276)</f>
        <v>14486</v>
      </c>
      <c r="L277" s="1682">
        <f>SUM(L272:L276)</f>
        <v>14380</v>
      </c>
    </row>
    <row r="278" spans="1:12" ht="13.5" customHeight="1" thickTop="1" x14ac:dyDescent="0.2">
      <c r="A278" s="1525" t="s">
        <v>1036</v>
      </c>
      <c r="B278" s="656" t="s">
        <v>594</v>
      </c>
      <c r="C278" s="617"/>
      <c r="D278" s="657"/>
      <c r="E278" s="617"/>
      <c r="F278" s="617"/>
      <c r="G278" s="617"/>
      <c r="H278" s="617"/>
      <c r="I278" s="617"/>
      <c r="J278" s="617"/>
      <c r="K278" s="1697">
        <f>D278</f>
        <v>0</v>
      </c>
      <c r="L278" s="657"/>
    </row>
    <row r="279" spans="1:12" ht="12.75" customHeight="1" thickBot="1" x14ac:dyDescent="0.25">
      <c r="A279" s="1710" t="s">
        <v>864</v>
      </c>
      <c r="B279" s="1693">
        <v>2000</v>
      </c>
      <c r="C279" s="617"/>
      <c r="D279" s="1689">
        <f>SUM(D238,D243,D257,D261,D270,D277,D278)</f>
        <v>167969</v>
      </c>
      <c r="E279" s="617"/>
      <c r="F279" s="617"/>
      <c r="G279" s="617"/>
      <c r="H279" s="617"/>
      <c r="I279" s="617"/>
      <c r="J279" s="617"/>
      <c r="K279" s="1689">
        <f>SUM(K238,K243,K257,K261,K270,K277,K278)</f>
        <v>167969</v>
      </c>
      <c r="L279" s="1689">
        <f>SUM(L238,L243,L257,L261,L270,L277,L278)</f>
        <v>175795</v>
      </c>
    </row>
    <row r="280" spans="1:12" ht="15.75" customHeight="1" thickTop="1" thickBot="1" x14ac:dyDescent="0.25">
      <c r="A280" s="1639" t="s">
        <v>929</v>
      </c>
      <c r="B280" s="1628">
        <v>3000</v>
      </c>
      <c r="C280" s="617"/>
      <c r="D280" s="576">
        <v>9559</v>
      </c>
      <c r="E280" s="617"/>
      <c r="F280" s="617"/>
      <c r="G280" s="617"/>
      <c r="H280" s="617"/>
      <c r="I280" s="617"/>
      <c r="J280" s="617"/>
      <c r="K280" s="1691">
        <f>D280</f>
        <v>9559</v>
      </c>
      <c r="L280" s="576">
        <v>10275</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3" t="s">
        <v>516</v>
      </c>
      <c r="B282" s="691" t="s">
        <v>1953</v>
      </c>
      <c r="C282" s="617"/>
      <c r="D282" s="467"/>
      <c r="E282" s="617"/>
      <c r="F282" s="617"/>
      <c r="G282" s="617"/>
      <c r="H282" s="617"/>
      <c r="I282" s="617"/>
      <c r="J282" s="617"/>
      <c r="K282" s="1683">
        <f>D282</f>
        <v>0</v>
      </c>
      <c r="L282" s="467"/>
    </row>
    <row r="283" spans="1:12" x14ac:dyDescent="0.2">
      <c r="A283" s="1519" t="s">
        <v>321</v>
      </c>
      <c r="B283" s="615">
        <v>4120</v>
      </c>
      <c r="C283" s="617"/>
      <c r="D283" s="466"/>
      <c r="E283" s="617"/>
      <c r="F283" s="617"/>
      <c r="G283" s="617"/>
      <c r="H283" s="617"/>
      <c r="I283" s="617"/>
      <c r="J283" s="617"/>
      <c r="K283" s="1683">
        <f>D283</f>
        <v>0</v>
      </c>
      <c r="L283" s="466"/>
    </row>
    <row r="284" spans="1:12" x14ac:dyDescent="0.2">
      <c r="A284" s="1519" t="s">
        <v>720</v>
      </c>
      <c r="B284" s="615">
        <v>4140</v>
      </c>
      <c r="C284" s="617"/>
      <c r="D284" s="467"/>
      <c r="E284" s="617"/>
      <c r="F284" s="617"/>
      <c r="G284" s="617"/>
      <c r="H284" s="617"/>
      <c r="I284" s="617"/>
      <c r="J284" s="617"/>
      <c r="K284" s="1683">
        <f>D284</f>
        <v>0</v>
      </c>
      <c r="L284" s="466"/>
    </row>
    <row r="285" spans="1:12" ht="12.75" customHeight="1" thickBot="1" x14ac:dyDescent="0.25">
      <c r="A285" s="1680" t="s">
        <v>1566</v>
      </c>
      <c r="B285" s="1681" t="s">
        <v>914</v>
      </c>
      <c r="C285" s="617"/>
      <c r="D285" s="1682">
        <f>SUM(D282:D284)</f>
        <v>0</v>
      </c>
      <c r="E285" s="617"/>
      <c r="F285" s="617"/>
      <c r="G285" s="617"/>
      <c r="H285" s="617"/>
      <c r="I285" s="617"/>
      <c r="J285" s="617"/>
      <c r="K285" s="1682">
        <f>SUM(K282:K284)</f>
        <v>0</v>
      </c>
      <c r="L285" s="1682">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3">
        <f>H288</f>
        <v>0</v>
      </c>
      <c r="L288" s="466"/>
    </row>
    <row r="289" spans="1:14" x14ac:dyDescent="0.2">
      <c r="A289" s="1519" t="s">
        <v>90</v>
      </c>
      <c r="B289" s="615">
        <v>5120</v>
      </c>
      <c r="C289" s="617"/>
      <c r="D289" s="617"/>
      <c r="E289" s="617"/>
      <c r="F289" s="617"/>
      <c r="G289" s="617"/>
      <c r="H289" s="466"/>
      <c r="I289" s="617"/>
      <c r="J289" s="617"/>
      <c r="K289" s="1683">
        <f>H289</f>
        <v>0</v>
      </c>
      <c r="L289" s="466"/>
    </row>
    <row r="290" spans="1:14" ht="12.75" customHeight="1" x14ac:dyDescent="0.2">
      <c r="A290" s="1519" t="s">
        <v>1231</v>
      </c>
      <c r="B290" s="629" t="s">
        <v>637</v>
      </c>
      <c r="C290" s="617"/>
      <c r="D290" s="617"/>
      <c r="E290" s="617"/>
      <c r="F290" s="617"/>
      <c r="G290" s="617"/>
      <c r="H290" s="466"/>
      <c r="I290" s="617"/>
      <c r="J290" s="617"/>
      <c r="K290" s="1683">
        <f>H290</f>
        <v>0</v>
      </c>
      <c r="L290" s="466"/>
    </row>
    <row r="291" spans="1:14" x14ac:dyDescent="0.2">
      <c r="A291" s="1519" t="s">
        <v>91</v>
      </c>
      <c r="B291" s="615" t="s">
        <v>609</v>
      </c>
      <c r="C291" s="617"/>
      <c r="D291" s="617"/>
      <c r="E291" s="617"/>
      <c r="F291" s="617"/>
      <c r="G291" s="617"/>
      <c r="H291" s="466"/>
      <c r="I291" s="617"/>
      <c r="J291" s="617"/>
      <c r="K291" s="1683">
        <f>H291</f>
        <v>0</v>
      </c>
      <c r="L291" s="466"/>
    </row>
    <row r="292" spans="1:14" x14ac:dyDescent="0.2">
      <c r="A292" s="1519" t="s">
        <v>785</v>
      </c>
      <c r="B292" s="615" t="s">
        <v>638</v>
      </c>
      <c r="C292" s="617"/>
      <c r="D292" s="617"/>
      <c r="E292" s="617"/>
      <c r="F292" s="617"/>
      <c r="G292" s="617"/>
      <c r="H292" s="466"/>
      <c r="I292" s="617"/>
      <c r="J292" s="617"/>
      <c r="K292" s="1683">
        <f>H292</f>
        <v>0</v>
      </c>
      <c r="L292" s="466"/>
    </row>
    <row r="293" spans="1:14" ht="12.75" customHeight="1" thickBot="1" x14ac:dyDescent="0.25">
      <c r="A293" s="1680" t="s">
        <v>504</v>
      </c>
      <c r="B293" s="1681" t="s">
        <v>512</v>
      </c>
      <c r="C293" s="617"/>
      <c r="D293" s="617"/>
      <c r="E293" s="617"/>
      <c r="F293" s="617"/>
      <c r="G293" s="617"/>
      <c r="H293" s="1682">
        <f>SUM(H288:H292)</f>
        <v>0</v>
      </c>
      <c r="I293" s="617"/>
      <c r="J293" s="617"/>
      <c r="K293" s="1682">
        <f>SUM(K288:K292)</f>
        <v>0</v>
      </c>
      <c r="L293" s="1682">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row>
    <row r="295" spans="1:14" ht="12.75" customHeight="1" thickTop="1" thickBot="1" x14ac:dyDescent="0.25">
      <c r="A295" s="2194" t="s">
        <v>525</v>
      </c>
      <c r="B295" s="2195"/>
      <c r="C295" s="617"/>
      <c r="D295" s="1682">
        <f>SUM(D229,D279,D280,D285)</f>
        <v>296691</v>
      </c>
      <c r="E295" s="617"/>
      <c r="F295" s="617"/>
      <c r="G295" s="617"/>
      <c r="H295" s="1682">
        <f>H293</f>
        <v>0</v>
      </c>
      <c r="I295" s="617"/>
      <c r="J295" s="617"/>
      <c r="K295" s="1682">
        <f>SUM(K229,K279,K280,K285,K293,K294)</f>
        <v>296691</v>
      </c>
      <c r="L295" s="1682">
        <f>SUM(L229,L279,L280,L285,L293,L294)</f>
        <v>311115</v>
      </c>
    </row>
    <row r="296" spans="1:14" ht="13.5" thickTop="1" x14ac:dyDescent="0.2">
      <c r="A296" s="2176" t="s">
        <v>1052</v>
      </c>
      <c r="B296" s="2177"/>
      <c r="C296" s="617"/>
      <c r="D296" s="619"/>
      <c r="E296" s="617"/>
      <c r="F296" s="617"/>
      <c r="G296" s="617"/>
      <c r="H296" s="688"/>
      <c r="I296" s="617"/>
      <c r="J296" s="617"/>
      <c r="K296" s="1696">
        <f>'Revenues 9-14'!G275-'Expenditures 15-22'!K295</f>
        <v>-4901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c r="D301" s="466"/>
      <c r="E301" s="466"/>
      <c r="F301" s="466"/>
      <c r="G301" s="466"/>
      <c r="H301" s="466"/>
      <c r="I301" s="467"/>
      <c r="J301" s="467"/>
      <c r="K301" s="1683">
        <f>SUM(C301:J301)</f>
        <v>0</v>
      </c>
      <c r="L301" s="467"/>
    </row>
    <row r="302" spans="1:14" ht="13.5" customHeight="1" x14ac:dyDescent="0.2">
      <c r="A302" s="1532" t="s">
        <v>1036</v>
      </c>
      <c r="B302" s="615" t="s">
        <v>594</v>
      </c>
      <c r="C302" s="466"/>
      <c r="D302" s="466"/>
      <c r="E302" s="466"/>
      <c r="F302" s="466"/>
      <c r="G302" s="466"/>
      <c r="H302" s="466"/>
      <c r="I302" s="467"/>
      <c r="J302" s="467"/>
      <c r="K302" s="1683">
        <f>SUM(C302:J302)</f>
        <v>0</v>
      </c>
      <c r="L302" s="466"/>
    </row>
    <row r="303" spans="1:14" ht="12.75" customHeight="1" thickBot="1" x14ac:dyDescent="0.25">
      <c r="A303" s="1680" t="s">
        <v>864</v>
      </c>
      <c r="B303" s="1681" t="s">
        <v>589</v>
      </c>
      <c r="C303" s="1689">
        <f>SUM(C301:C302)</f>
        <v>0</v>
      </c>
      <c r="D303" s="1689">
        <f t="shared" ref="D303:L303" si="23">SUM(D301:D302)</f>
        <v>0</v>
      </c>
      <c r="E303" s="1689">
        <f t="shared" si="23"/>
        <v>0</v>
      </c>
      <c r="F303" s="1689">
        <f t="shared" si="23"/>
        <v>0</v>
      </c>
      <c r="G303" s="1689">
        <f t="shared" si="23"/>
        <v>0</v>
      </c>
      <c r="H303" s="1689">
        <f t="shared" si="23"/>
        <v>0</v>
      </c>
      <c r="I303" s="1689">
        <f t="shared" si="23"/>
        <v>0</v>
      </c>
      <c r="J303" s="1689">
        <f t="shared" si="23"/>
        <v>0</v>
      </c>
      <c r="K303" s="1689">
        <f t="shared" si="23"/>
        <v>0</v>
      </c>
      <c r="L303" s="1689">
        <f t="shared" si="23"/>
        <v>0</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1958</v>
      </c>
      <c r="B306" s="691" t="s">
        <v>1953</v>
      </c>
      <c r="C306" s="617"/>
      <c r="D306" s="617"/>
      <c r="E306" s="467"/>
      <c r="F306" s="617"/>
      <c r="G306" s="617"/>
      <c r="H306" s="467"/>
      <c r="I306" s="617"/>
      <c r="J306" s="617"/>
      <c r="K306" s="1683">
        <f>SUM(E306,H306)</f>
        <v>0</v>
      </c>
      <c r="L306" s="467"/>
    </row>
    <row r="307" spans="1:14" x14ac:dyDescent="0.2">
      <c r="A307" s="1519" t="s">
        <v>321</v>
      </c>
      <c r="B307" s="615">
        <v>4120</v>
      </c>
      <c r="C307" s="617"/>
      <c r="D307" s="617"/>
      <c r="E307" s="467"/>
      <c r="F307" s="617"/>
      <c r="G307" s="617"/>
      <c r="H307" s="467"/>
      <c r="I307" s="477"/>
      <c r="J307" s="617"/>
      <c r="K307" s="1683">
        <f>SUM(E307,H307)</f>
        <v>0</v>
      </c>
      <c r="L307" s="466"/>
    </row>
    <row r="308" spans="1:14" x14ac:dyDescent="0.2">
      <c r="A308" s="1519" t="s">
        <v>720</v>
      </c>
      <c r="B308" s="615">
        <v>4140</v>
      </c>
      <c r="C308" s="617"/>
      <c r="D308" s="617"/>
      <c r="E308" s="467"/>
      <c r="F308" s="617"/>
      <c r="G308" s="617"/>
      <c r="H308" s="467"/>
      <c r="I308" s="477"/>
      <c r="J308" s="617"/>
      <c r="K308" s="1683">
        <f>SUM(E308,H308)</f>
        <v>0</v>
      </c>
      <c r="L308" s="466"/>
    </row>
    <row r="309" spans="1:14" ht="12.75" customHeight="1" x14ac:dyDescent="0.2">
      <c r="A309" s="1523" t="s">
        <v>721</v>
      </c>
      <c r="B309" s="629">
        <v>4190</v>
      </c>
      <c r="C309" s="617"/>
      <c r="D309" s="617"/>
      <c r="E309" s="467"/>
      <c r="F309" s="617"/>
      <c r="G309" s="617"/>
      <c r="H309" s="467"/>
      <c r="I309" s="477"/>
      <c r="J309" s="617"/>
      <c r="K309" s="1683">
        <f>SUM(E309,H309)</f>
        <v>0</v>
      </c>
      <c r="L309" s="466"/>
    </row>
    <row r="310" spans="1:14" ht="12.75" customHeight="1" thickBot="1" x14ac:dyDescent="0.25">
      <c r="A310" s="1680" t="s">
        <v>1566</v>
      </c>
      <c r="B310" s="1687" t="s">
        <v>914</v>
      </c>
      <c r="C310" s="617"/>
      <c r="D310" s="617"/>
      <c r="E310" s="1682">
        <f>SUM(E306:E309)</f>
        <v>0</v>
      </c>
      <c r="F310" s="617"/>
      <c r="G310" s="617"/>
      <c r="H310" s="1682">
        <f>SUM(H306:H309)</f>
        <v>0</v>
      </c>
      <c r="I310" s="477"/>
      <c r="J310" s="617"/>
      <c r="K310" s="1682">
        <f>SUM(K306:K309)</f>
        <v>0</v>
      </c>
      <c r="L310" s="1689">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row>
    <row r="312" spans="1:14" s="675" customFormat="1" ht="12.75" customHeight="1" thickTop="1" thickBot="1" x14ac:dyDescent="0.25">
      <c r="A312" s="2191" t="s">
        <v>294</v>
      </c>
      <c r="B312" s="2192"/>
      <c r="C312" s="1682">
        <f>SUM(C303)</f>
        <v>0</v>
      </c>
      <c r="D312" s="1682">
        <f>SUM(D303)</f>
        <v>0</v>
      </c>
      <c r="E312" s="1682">
        <f>SUM(E303,E310)</f>
        <v>0</v>
      </c>
      <c r="F312" s="1682">
        <f>SUM(F303)</f>
        <v>0</v>
      </c>
      <c r="G312" s="1682">
        <f>SUM(G303)</f>
        <v>0</v>
      </c>
      <c r="H312" s="1682">
        <f>SUM(H303,H310)</f>
        <v>0</v>
      </c>
      <c r="I312" s="1682">
        <f>SUM(I303)</f>
        <v>0</v>
      </c>
      <c r="J312" s="1682">
        <f>SUM(J303)</f>
        <v>0</v>
      </c>
      <c r="K312" s="1682">
        <f>SUM(K303,K310,K311)</f>
        <v>0</v>
      </c>
      <c r="L312" s="1682">
        <f>SUM(L303,L310,L311)</f>
        <v>0</v>
      </c>
      <c r="M312" s="666"/>
      <c r="N312" s="666"/>
    </row>
    <row r="313" spans="1:14" ht="13.5" thickTop="1" x14ac:dyDescent="0.2">
      <c r="A313" s="2187" t="s">
        <v>1052</v>
      </c>
      <c r="B313" s="2188"/>
      <c r="C313" s="627"/>
      <c r="D313" s="627"/>
      <c r="E313" s="627"/>
      <c r="F313" s="627"/>
      <c r="G313" s="627"/>
      <c r="H313" s="627"/>
      <c r="I313" s="627"/>
      <c r="J313" s="627"/>
      <c r="K313" s="169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953</v>
      </c>
      <c r="B317" s="2201"/>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3">
        <f>SUM(C319:J319)</f>
        <v>0</v>
      </c>
      <c r="L319" s="467"/>
      <c r="M319" s="666"/>
      <c r="N319" s="666"/>
    </row>
    <row r="320" spans="1:14" s="675" customFormat="1" x14ac:dyDescent="0.2">
      <c r="A320" s="1538" t="s">
        <v>1905</v>
      </c>
      <c r="B320" s="699" t="s">
        <v>299</v>
      </c>
      <c r="C320" s="467"/>
      <c r="D320" s="467"/>
      <c r="E320" s="467">
        <v>36120</v>
      </c>
      <c r="F320" s="467"/>
      <c r="G320" s="467"/>
      <c r="H320" s="467"/>
      <c r="I320" s="467"/>
      <c r="J320" s="467"/>
      <c r="K320" s="1683">
        <f t="shared" ref="K320:K327" si="24">SUM(C320:J320)</f>
        <v>36120</v>
      </c>
      <c r="L320" s="467">
        <v>35515</v>
      </c>
      <c r="M320" s="666"/>
      <c r="N320" s="666"/>
    </row>
    <row r="321" spans="1:14" s="675" customFormat="1" x14ac:dyDescent="0.2">
      <c r="A321" s="1534" t="s">
        <v>317</v>
      </c>
      <c r="B321" s="698" t="s">
        <v>300</v>
      </c>
      <c r="C321" s="467"/>
      <c r="D321" s="467"/>
      <c r="E321" s="467">
        <v>5794</v>
      </c>
      <c r="F321" s="467"/>
      <c r="G321" s="467"/>
      <c r="H321" s="467"/>
      <c r="I321" s="467"/>
      <c r="J321" s="467"/>
      <c r="K321" s="1683">
        <f t="shared" si="24"/>
        <v>5794</v>
      </c>
      <c r="L321" s="467">
        <v>1400</v>
      </c>
      <c r="M321" s="666"/>
      <c r="N321" s="666"/>
    </row>
    <row r="322" spans="1:14" s="675" customFormat="1" x14ac:dyDescent="0.2">
      <c r="A322" s="1534" t="s">
        <v>256</v>
      </c>
      <c r="B322" s="698" t="s">
        <v>301</v>
      </c>
      <c r="C322" s="467"/>
      <c r="D322" s="467"/>
      <c r="E322" s="467"/>
      <c r="F322" s="467"/>
      <c r="G322" s="467"/>
      <c r="H322" s="467"/>
      <c r="I322" s="467"/>
      <c r="J322" s="467"/>
      <c r="K322" s="1683">
        <f t="shared" si="24"/>
        <v>0</v>
      </c>
      <c r="L322" s="467"/>
      <c r="M322" s="666"/>
      <c r="N322" s="666"/>
    </row>
    <row r="323" spans="1:14" s="675" customFormat="1" x14ac:dyDescent="0.2">
      <c r="A323" s="1534" t="s">
        <v>725</v>
      </c>
      <c r="B323" s="698" t="s">
        <v>302</v>
      </c>
      <c r="C323" s="467"/>
      <c r="D323" s="467"/>
      <c r="E323" s="467">
        <v>4007</v>
      </c>
      <c r="F323" s="467"/>
      <c r="G323" s="467"/>
      <c r="H323" s="467"/>
      <c r="I323" s="467"/>
      <c r="J323" s="467"/>
      <c r="K323" s="1683">
        <f t="shared" si="24"/>
        <v>4007</v>
      </c>
      <c r="L323" s="467">
        <v>4010</v>
      </c>
      <c r="M323" s="666"/>
      <c r="N323" s="666"/>
    </row>
    <row r="324" spans="1:14" s="675" customFormat="1" x14ac:dyDescent="0.2">
      <c r="A324" s="1534" t="s">
        <v>257</v>
      </c>
      <c r="B324" s="698" t="s">
        <v>303</v>
      </c>
      <c r="C324" s="467"/>
      <c r="D324" s="467"/>
      <c r="E324" s="467"/>
      <c r="F324" s="467"/>
      <c r="G324" s="467"/>
      <c r="H324" s="467"/>
      <c r="I324" s="467"/>
      <c r="J324" s="467"/>
      <c r="K324" s="1683">
        <f t="shared" si="24"/>
        <v>0</v>
      </c>
      <c r="L324" s="467"/>
      <c r="M324" s="666"/>
      <c r="N324" s="666"/>
    </row>
    <row r="325" spans="1:14" s="675" customFormat="1" ht="22.5" x14ac:dyDescent="0.2">
      <c r="A325" s="1534" t="s">
        <v>1086</v>
      </c>
      <c r="B325" s="699" t="s">
        <v>304</v>
      </c>
      <c r="C325" s="467">
        <v>175192</v>
      </c>
      <c r="D325" s="467">
        <v>13246</v>
      </c>
      <c r="E325" s="467">
        <v>22436</v>
      </c>
      <c r="F325" s="467"/>
      <c r="G325" s="467"/>
      <c r="H325" s="467"/>
      <c r="I325" s="467"/>
      <c r="J325" s="467"/>
      <c r="K325" s="1683">
        <f t="shared" si="24"/>
        <v>210874</v>
      </c>
      <c r="L325" s="467">
        <v>209450</v>
      </c>
      <c r="M325" s="666"/>
      <c r="N325" s="666"/>
    </row>
    <row r="326" spans="1:14" s="675" customFormat="1" x14ac:dyDescent="0.2">
      <c r="A326" s="1534" t="s">
        <v>1087</v>
      </c>
      <c r="B326" s="698" t="s">
        <v>305</v>
      </c>
      <c r="C326" s="467"/>
      <c r="D326" s="467"/>
      <c r="E326" s="467"/>
      <c r="F326" s="467"/>
      <c r="G326" s="467"/>
      <c r="H326" s="467"/>
      <c r="I326" s="467"/>
      <c r="J326" s="467"/>
      <c r="K326" s="1683">
        <f t="shared" si="24"/>
        <v>0</v>
      </c>
      <c r="L326" s="467"/>
      <c r="M326" s="666"/>
      <c r="N326" s="666"/>
    </row>
    <row r="327" spans="1:14" s="675" customFormat="1" x14ac:dyDescent="0.2">
      <c r="A327" s="1534" t="s">
        <v>1027</v>
      </c>
      <c r="B327" s="698" t="s">
        <v>306</v>
      </c>
      <c r="C327" s="467"/>
      <c r="D327" s="467"/>
      <c r="E327" s="467"/>
      <c r="F327" s="467"/>
      <c r="G327" s="467"/>
      <c r="H327" s="467"/>
      <c r="I327" s="467"/>
      <c r="J327" s="467"/>
      <c r="K327" s="1683">
        <f t="shared" si="24"/>
        <v>0</v>
      </c>
      <c r="L327" s="467"/>
      <c r="M327" s="666"/>
      <c r="N327" s="666"/>
    </row>
    <row r="328" spans="1:14" s="675" customFormat="1" x14ac:dyDescent="0.2">
      <c r="A328" s="1535" t="s">
        <v>491</v>
      </c>
      <c r="B328" s="691" t="s">
        <v>1193</v>
      </c>
      <c r="C328" s="474"/>
      <c r="D328" s="474"/>
      <c r="E328" s="474">
        <v>71526</v>
      </c>
      <c r="F328" s="474"/>
      <c r="G328" s="474"/>
      <c r="H328" s="474"/>
      <c r="I328" s="474"/>
      <c r="J328" s="474"/>
      <c r="K328" s="1711">
        <f>SUM(C328:J328)</f>
        <v>71526</v>
      </c>
      <c r="L328" s="474">
        <v>71550</v>
      </c>
      <c r="M328" s="666"/>
      <c r="N328" s="666"/>
    </row>
    <row r="329" spans="1:14" s="675" customFormat="1" x14ac:dyDescent="0.2">
      <c r="A329" s="1535" t="s">
        <v>1194</v>
      </c>
      <c r="B329" s="691" t="s">
        <v>1195</v>
      </c>
      <c r="C329" s="474"/>
      <c r="D329" s="474"/>
      <c r="E329" s="474"/>
      <c r="F329" s="474"/>
      <c r="G329" s="474"/>
      <c r="H329" s="474"/>
      <c r="I329" s="474"/>
      <c r="J329" s="474"/>
      <c r="K329" s="1711">
        <f>SUM(C329:J329)</f>
        <v>0</v>
      </c>
      <c r="L329" s="474"/>
      <c r="M329" s="666"/>
      <c r="N329" s="666"/>
    </row>
    <row r="330" spans="1:14" s="675" customFormat="1" ht="12.75" customHeight="1" thickBot="1" x14ac:dyDescent="0.25">
      <c r="A330" s="1712" t="s">
        <v>740</v>
      </c>
      <c r="B330" s="1681" t="s">
        <v>589</v>
      </c>
      <c r="C330" s="1682">
        <f>SUM(C319:C329)</f>
        <v>175192</v>
      </c>
      <c r="D330" s="1682">
        <f t="shared" ref="D330:J330" si="25">SUM(D319:D329)</f>
        <v>13246</v>
      </c>
      <c r="E330" s="1682">
        <f t="shared" si="25"/>
        <v>139883</v>
      </c>
      <c r="F330" s="1682">
        <f t="shared" si="25"/>
        <v>0</v>
      </c>
      <c r="G330" s="1682">
        <f t="shared" si="25"/>
        <v>0</v>
      </c>
      <c r="H330" s="1682">
        <f t="shared" si="25"/>
        <v>0</v>
      </c>
      <c r="I330" s="1682">
        <f t="shared" si="25"/>
        <v>0</v>
      </c>
      <c r="J330" s="1682">
        <f t="shared" si="25"/>
        <v>0</v>
      </c>
      <c r="K330" s="1682">
        <f>SUM(K319:K329)</f>
        <v>328321</v>
      </c>
      <c r="L330" s="1682">
        <f>SUM(L319:L329)</f>
        <v>321925</v>
      </c>
      <c r="M330" s="666"/>
      <c r="N330" s="666"/>
    </row>
    <row r="331" spans="1:14" s="675" customFormat="1" ht="12.75" customHeight="1" thickTop="1" x14ac:dyDescent="0.2">
      <c r="A331" s="1844" t="s">
        <v>1959</v>
      </c>
      <c r="B331" s="648" t="s">
        <v>914</v>
      </c>
      <c r="C331" s="1846"/>
      <c r="D331" s="1846"/>
      <c r="E331" s="1846"/>
      <c r="F331" s="1846"/>
      <c r="G331" s="1846"/>
      <c r="H331" s="1846"/>
      <c r="I331" s="1846"/>
      <c r="J331" s="1846"/>
      <c r="K331" s="1846"/>
      <c r="L331" s="1846"/>
      <c r="M331" s="666"/>
      <c r="N331" s="666"/>
    </row>
    <row r="332" spans="1:14" s="675" customFormat="1" ht="12.75" customHeight="1" x14ac:dyDescent="0.2">
      <c r="A332" s="1845" t="s">
        <v>516</v>
      </c>
      <c r="B332" s="1840" t="s">
        <v>1953</v>
      </c>
      <c r="C332" s="1846"/>
      <c r="D332" s="1846"/>
      <c r="E332" s="1846"/>
      <c r="F332" s="1846"/>
      <c r="G332" s="1846"/>
      <c r="H332" s="467"/>
      <c r="I332" s="1846"/>
      <c r="J332" s="1846"/>
      <c r="K332" s="1683">
        <f>H332</f>
        <v>0</v>
      </c>
      <c r="L332" s="467"/>
      <c r="M332" s="666"/>
      <c r="N332" s="666"/>
    </row>
    <row r="333" spans="1:14" s="675" customFormat="1" ht="12.75" customHeight="1" x14ac:dyDescent="0.2">
      <c r="A333" s="1845" t="s">
        <v>321</v>
      </c>
      <c r="B333" s="1840" t="s">
        <v>1955</v>
      </c>
      <c r="C333" s="1846"/>
      <c r="D333" s="1846"/>
      <c r="E333" s="1846"/>
      <c r="F333" s="1846"/>
      <c r="G333" s="1846"/>
      <c r="H333" s="467"/>
      <c r="I333" s="1846"/>
      <c r="J333" s="1846"/>
      <c r="K333" s="1683">
        <f>H333</f>
        <v>0</v>
      </c>
      <c r="L333" s="467"/>
      <c r="M333" s="666"/>
      <c r="N333" s="666"/>
    </row>
    <row r="334" spans="1:14" s="675" customFormat="1" ht="12.75" customHeight="1" thickBot="1" x14ac:dyDescent="0.25">
      <c r="A334" s="1845" t="s">
        <v>1960</v>
      </c>
      <c r="B334" s="1840" t="s">
        <v>914</v>
      </c>
      <c r="C334" s="1846"/>
      <c r="D334" s="1846"/>
      <c r="E334" s="1846"/>
      <c r="F334" s="1846"/>
      <c r="G334" s="1846"/>
      <c r="H334" s="1682">
        <f>SUM(H332:H333)</f>
        <v>0</v>
      </c>
      <c r="I334" s="1846"/>
      <c r="J334" s="1846"/>
      <c r="K334" s="1682">
        <f>SUM(K332:K333)</f>
        <v>0</v>
      </c>
      <c r="L334" s="1682">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3">
        <f>H337</f>
        <v>0</v>
      </c>
      <c r="L337" s="478"/>
    </row>
    <row r="338" spans="1:14" ht="12.75" customHeight="1" x14ac:dyDescent="0.2">
      <c r="A338" s="1533" t="s">
        <v>1231</v>
      </c>
      <c r="B338" s="691" t="s">
        <v>637</v>
      </c>
      <c r="C338" s="639"/>
      <c r="D338" s="639"/>
      <c r="E338" s="639"/>
      <c r="F338" s="639"/>
      <c r="G338" s="639"/>
      <c r="H338" s="478"/>
      <c r="I338" s="639"/>
      <c r="J338" s="639"/>
      <c r="K338" s="1683">
        <f>H338</f>
        <v>0</v>
      </c>
      <c r="L338" s="478"/>
    </row>
    <row r="339" spans="1:14" x14ac:dyDescent="0.2">
      <c r="A339" s="1519" t="s">
        <v>956</v>
      </c>
      <c r="B339" s="629">
        <v>5150</v>
      </c>
      <c r="C339" s="639"/>
      <c r="D339" s="639"/>
      <c r="E339" s="639"/>
      <c r="F339" s="639"/>
      <c r="G339" s="639"/>
      <c r="H339" s="467"/>
      <c r="I339" s="639"/>
      <c r="J339" s="639"/>
      <c r="K339" s="1683">
        <f>H339</f>
        <v>0</v>
      </c>
      <c r="L339" s="467"/>
    </row>
    <row r="340" spans="1:14" ht="13.5" thickBot="1" x14ac:dyDescent="0.25">
      <c r="A340" s="1706" t="s">
        <v>957</v>
      </c>
      <c r="B340" s="1681" t="s">
        <v>512</v>
      </c>
      <c r="C340" s="617"/>
      <c r="D340" s="617"/>
      <c r="E340" s="617"/>
      <c r="F340" s="617"/>
      <c r="G340" s="617"/>
      <c r="H340" s="1700">
        <f>SUM(H337:H339)</f>
        <v>0</v>
      </c>
      <c r="I340" s="617"/>
      <c r="J340" s="617"/>
      <c r="K340" s="1700">
        <f>SUM(K337:K339)</f>
        <v>0</v>
      </c>
      <c r="L340" s="1700">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row>
    <row r="342" spans="1:14" ht="12.75" customHeight="1" thickTop="1" thickBot="1" x14ac:dyDescent="0.25">
      <c r="A342" s="1698" t="s">
        <v>525</v>
      </c>
      <c r="B342" s="1713"/>
      <c r="C342" s="1682">
        <f>SUM(C330)</f>
        <v>175192</v>
      </c>
      <c r="D342" s="1682">
        <f>SUM(D330)</f>
        <v>13246</v>
      </c>
      <c r="E342" s="1682">
        <f>SUM(E330)</f>
        <v>139883</v>
      </c>
      <c r="F342" s="1682">
        <f>SUM(F330)</f>
        <v>0</v>
      </c>
      <c r="G342" s="1682">
        <f>SUM(G330)</f>
        <v>0</v>
      </c>
      <c r="H342" s="1682">
        <f>SUM(H330,H334,H340)</f>
        <v>0</v>
      </c>
      <c r="I342" s="1682">
        <f>SUM(I330)</f>
        <v>0</v>
      </c>
      <c r="J342" s="1682">
        <f>SUM(J330)</f>
        <v>0</v>
      </c>
      <c r="K342" s="1682">
        <f>SUM(K330,K334,K340)</f>
        <v>328321</v>
      </c>
      <c r="L342" s="1689">
        <f>SUM(L330,L340,L341)</f>
        <v>321925</v>
      </c>
    </row>
    <row r="343" spans="1:14" ht="12.75" customHeight="1" thickTop="1" x14ac:dyDescent="0.2">
      <c r="A343" s="2189" t="s">
        <v>1052</v>
      </c>
      <c r="B343" s="2190"/>
      <c r="C343" s="617"/>
      <c r="D343" s="617"/>
      <c r="E343" s="617"/>
      <c r="F343" s="617"/>
      <c r="G343" s="617"/>
      <c r="H343" s="617"/>
      <c r="I343" s="617"/>
      <c r="J343" s="617"/>
      <c r="K343" s="1696">
        <f>'Revenues 9-14'!J275-'Expenditures 15-22'!K342</f>
        <v>-1999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1022</v>
      </c>
      <c r="B345" s="2180"/>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c r="D348" s="466"/>
      <c r="E348" s="466"/>
      <c r="F348" s="466"/>
      <c r="G348" s="466">
        <v>2522323</v>
      </c>
      <c r="H348" s="466"/>
      <c r="I348" s="467"/>
      <c r="J348" s="467"/>
      <c r="K348" s="1683">
        <f>SUM(C348:J348)</f>
        <v>2522323</v>
      </c>
      <c r="L348" s="466">
        <v>2524325</v>
      </c>
    </row>
    <row r="349" spans="1:14" x14ac:dyDescent="0.2">
      <c r="A349" s="1519" t="s">
        <v>206</v>
      </c>
      <c r="B349" s="615">
        <v>2540</v>
      </c>
      <c r="C349" s="466"/>
      <c r="D349" s="466"/>
      <c r="E349" s="466"/>
      <c r="F349" s="466"/>
      <c r="G349" s="466"/>
      <c r="H349" s="466"/>
      <c r="I349" s="467"/>
      <c r="J349" s="467"/>
      <c r="K349" s="1683">
        <f>SUM(C349:J349)</f>
        <v>0</v>
      </c>
      <c r="L349" s="466"/>
    </row>
    <row r="350" spans="1:14" ht="12.75" customHeight="1" thickBot="1" x14ac:dyDescent="0.25">
      <c r="A350" s="1680" t="s">
        <v>742</v>
      </c>
      <c r="B350" s="1681" t="s">
        <v>35</v>
      </c>
      <c r="C350" s="1682">
        <f>SUM(C348:C349)</f>
        <v>0</v>
      </c>
      <c r="D350" s="1682">
        <f t="shared" ref="D350:L350" si="26">SUM(D348:D349)</f>
        <v>0</v>
      </c>
      <c r="E350" s="1682">
        <f t="shared" si="26"/>
        <v>0</v>
      </c>
      <c r="F350" s="1682">
        <f t="shared" si="26"/>
        <v>0</v>
      </c>
      <c r="G350" s="1682">
        <f t="shared" si="26"/>
        <v>2522323</v>
      </c>
      <c r="H350" s="1682">
        <f t="shared" si="26"/>
        <v>0</v>
      </c>
      <c r="I350" s="1682">
        <f t="shared" si="26"/>
        <v>0</v>
      </c>
      <c r="J350" s="1682">
        <f t="shared" si="26"/>
        <v>0</v>
      </c>
      <c r="K350" s="1682">
        <f t="shared" si="26"/>
        <v>2522323</v>
      </c>
      <c r="L350" s="1682">
        <f t="shared" si="26"/>
        <v>2524325</v>
      </c>
    </row>
    <row r="351" spans="1:14" ht="12.75" customHeight="1" thickTop="1" x14ac:dyDescent="0.2">
      <c r="A351" s="1525" t="s">
        <v>1036</v>
      </c>
      <c r="B351" s="644" t="s">
        <v>594</v>
      </c>
      <c r="C351" s="481"/>
      <c r="D351" s="481"/>
      <c r="E351" s="481"/>
      <c r="F351" s="481"/>
      <c r="G351" s="481"/>
      <c r="H351" s="481"/>
      <c r="I351" s="478"/>
      <c r="J351" s="478"/>
      <c r="K351" s="616">
        <f>SUM(C351:J351)</f>
        <v>0</v>
      </c>
      <c r="L351" s="481"/>
    </row>
    <row r="352" spans="1:14" ht="12.75" customHeight="1" thickBot="1" x14ac:dyDescent="0.25">
      <c r="A352" s="1680" t="s">
        <v>644</v>
      </c>
      <c r="B352" s="1687" t="s">
        <v>589</v>
      </c>
      <c r="C352" s="1682">
        <f>SUM(C350:C351)</f>
        <v>0</v>
      </c>
      <c r="D352" s="1682">
        <f t="shared" ref="D352:L352" si="27">SUM(D350:D351)</f>
        <v>0</v>
      </c>
      <c r="E352" s="1682">
        <f t="shared" si="27"/>
        <v>0</v>
      </c>
      <c r="F352" s="1682">
        <f t="shared" si="27"/>
        <v>0</v>
      </c>
      <c r="G352" s="1682">
        <f t="shared" si="27"/>
        <v>2522323</v>
      </c>
      <c r="H352" s="1682">
        <f t="shared" si="27"/>
        <v>0</v>
      </c>
      <c r="I352" s="1682">
        <f t="shared" si="27"/>
        <v>0</v>
      </c>
      <c r="J352" s="1682">
        <f t="shared" si="27"/>
        <v>0</v>
      </c>
      <c r="K352" s="1682">
        <f t="shared" si="27"/>
        <v>2522323</v>
      </c>
      <c r="L352" s="1682">
        <f t="shared" si="27"/>
        <v>2524325</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47" t="s">
        <v>1961</v>
      </c>
      <c r="B354" s="684" t="s">
        <v>1953</v>
      </c>
      <c r="C354" s="617"/>
      <c r="D354" s="617"/>
      <c r="E354" s="617"/>
      <c r="F354" s="617"/>
      <c r="G354" s="617"/>
      <c r="H354" s="474"/>
      <c r="I354" s="702"/>
      <c r="J354" s="617"/>
      <c r="K354" s="1711">
        <f>H354</f>
        <v>0</v>
      </c>
      <c r="L354" s="471"/>
    </row>
    <row r="355" spans="1:14" ht="12.75" customHeight="1" x14ac:dyDescent="0.2">
      <c r="A355" s="1528" t="s">
        <v>1962</v>
      </c>
      <c r="B355" s="691" t="s">
        <v>1955</v>
      </c>
      <c r="C355" s="617"/>
      <c r="D355" s="617"/>
      <c r="E355" s="617"/>
      <c r="F355" s="617"/>
      <c r="G355" s="617"/>
      <c r="H355" s="467"/>
      <c r="I355" s="702"/>
      <c r="J355" s="617"/>
      <c r="K355" s="1755">
        <f>H355</f>
        <v>0</v>
      </c>
      <c r="L355" s="467"/>
    </row>
    <row r="356" spans="1:14" ht="12.75" customHeight="1" x14ac:dyDescent="0.2">
      <c r="A356" s="1847" t="s">
        <v>721</v>
      </c>
      <c r="B356" s="684" t="s">
        <v>578</v>
      </c>
      <c r="C356" s="617"/>
      <c r="D356" s="617"/>
      <c r="E356" s="617"/>
      <c r="F356" s="617"/>
      <c r="G356" s="617"/>
      <c r="H356" s="479"/>
      <c r="I356" s="702"/>
      <c r="J356" s="617"/>
      <c r="K356" s="1752">
        <f>H356</f>
        <v>0</v>
      </c>
      <c r="L356" s="479"/>
    </row>
    <row r="357" spans="1:14" ht="12.75" customHeight="1" thickBot="1" x14ac:dyDescent="0.25">
      <c r="A357" s="1680" t="s">
        <v>1566</v>
      </c>
      <c r="B357" s="1681" t="s">
        <v>914</v>
      </c>
      <c r="C357" s="617"/>
      <c r="D357" s="617"/>
      <c r="E357" s="617"/>
      <c r="F357" s="617"/>
      <c r="G357" s="617"/>
      <c r="H357" s="1700">
        <f>SUM(H354:H356)</f>
        <v>0</v>
      </c>
      <c r="I357" s="702"/>
      <c r="J357" s="617"/>
      <c r="K357" s="1700">
        <f>SUM(K354:K356)</f>
        <v>0</v>
      </c>
      <c r="L357" s="1700">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3">
        <f>SUM(C360:J360)</f>
        <v>0</v>
      </c>
      <c r="L360" s="466"/>
    </row>
    <row r="361" spans="1:14" ht="12.75" customHeight="1" x14ac:dyDescent="0.2">
      <c r="A361" s="1520" t="s">
        <v>639</v>
      </c>
      <c r="B361" s="603" t="s">
        <v>638</v>
      </c>
      <c r="C361" s="617"/>
      <c r="D361" s="617"/>
      <c r="E361" s="617"/>
      <c r="F361" s="617"/>
      <c r="G361" s="617"/>
      <c r="H361" s="467"/>
      <c r="I361" s="617"/>
      <c r="J361" s="617"/>
      <c r="K361" s="1683">
        <f>SUM(C361:J361)</f>
        <v>0</v>
      </c>
      <c r="L361" s="466"/>
    </row>
    <row r="362" spans="1:14" ht="12.75" customHeight="1" thickBot="1" x14ac:dyDescent="0.25">
      <c r="A362" s="1680" t="s">
        <v>646</v>
      </c>
      <c r="B362" s="1681" t="s">
        <v>741</v>
      </c>
      <c r="C362" s="617"/>
      <c r="D362" s="617"/>
      <c r="E362" s="617"/>
      <c r="F362" s="617"/>
      <c r="G362" s="617"/>
      <c r="H362" s="1715">
        <f>SUM(H360:H361)</f>
        <v>0</v>
      </c>
      <c r="I362" s="617"/>
      <c r="J362" s="617"/>
      <c r="K362" s="1715">
        <f>SUM(K360:K361)</f>
        <v>0</v>
      </c>
      <c r="L362" s="1715">
        <f>SUM(L360:L361)</f>
        <v>0</v>
      </c>
    </row>
    <row r="363" spans="1:14" s="675" customFormat="1" ht="15.75" customHeight="1" thickTop="1" x14ac:dyDescent="0.2">
      <c r="A363" s="661" t="s">
        <v>85</v>
      </c>
      <c r="B363" s="662" t="s">
        <v>38</v>
      </c>
      <c r="C363" s="639"/>
      <c r="D363" s="639"/>
      <c r="E363" s="639"/>
      <c r="F363" s="639"/>
      <c r="G363" s="639"/>
      <c r="H363" s="479"/>
      <c r="I363" s="639"/>
      <c r="J363" s="639"/>
      <c r="K363" s="171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3">
        <f>SUM(C364:J364)</f>
        <v>0</v>
      </c>
      <c r="L364" s="708"/>
    </row>
    <row r="365" spans="1:14" s="675" customFormat="1" ht="12.75" customHeight="1" thickBot="1" x14ac:dyDescent="0.25">
      <c r="A365" s="1536" t="s">
        <v>610</v>
      </c>
      <c r="B365" s="660" t="s">
        <v>512</v>
      </c>
      <c r="C365" s="639"/>
      <c r="D365" s="639"/>
      <c r="E365" s="639"/>
      <c r="F365" s="639"/>
      <c r="G365" s="639"/>
      <c r="H365" s="1715">
        <f>SUM(H362,H363,H364)</f>
        <v>0</v>
      </c>
      <c r="I365" s="639"/>
      <c r="J365" s="639"/>
      <c r="K365" s="1715">
        <f>SUM(K362,K363,K364)</f>
        <v>0</v>
      </c>
      <c r="L365" s="1715">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c r="M366" s="610"/>
      <c r="N366" s="610"/>
    </row>
    <row r="367" spans="1:14" ht="12.75" customHeight="1" thickTop="1" thickBot="1" x14ac:dyDescent="0.25">
      <c r="A367" s="1704" t="s">
        <v>525</v>
      </c>
      <c r="B367" s="1716"/>
      <c r="C367" s="1682">
        <f t="shared" ref="C367:L367" si="28">SUM(C352,C357,C365,C366)</f>
        <v>0</v>
      </c>
      <c r="D367" s="1682">
        <f t="shared" si="28"/>
        <v>0</v>
      </c>
      <c r="E367" s="1682">
        <f t="shared" si="28"/>
        <v>0</v>
      </c>
      <c r="F367" s="1682">
        <f t="shared" si="28"/>
        <v>0</v>
      </c>
      <c r="G367" s="1682">
        <f t="shared" si="28"/>
        <v>2522323</v>
      </c>
      <c r="H367" s="1682">
        <f t="shared" si="28"/>
        <v>0</v>
      </c>
      <c r="I367" s="1682">
        <f t="shared" si="28"/>
        <v>0</v>
      </c>
      <c r="J367" s="1682">
        <f t="shared" si="28"/>
        <v>0</v>
      </c>
      <c r="K367" s="1682">
        <f t="shared" si="28"/>
        <v>2522323</v>
      </c>
      <c r="L367" s="1682">
        <f t="shared" si="28"/>
        <v>2524325</v>
      </c>
    </row>
    <row r="368" spans="1:14" ht="13.5" thickTop="1" x14ac:dyDescent="0.2">
      <c r="A368" s="2176" t="s">
        <v>1052</v>
      </c>
      <c r="B368" s="2177"/>
      <c r="C368" s="655"/>
      <c r="D368" s="655"/>
      <c r="E368" s="627"/>
      <c r="F368" s="627"/>
      <c r="G368" s="627"/>
      <c r="H368" s="627"/>
      <c r="I368" s="627"/>
      <c r="J368" s="624"/>
      <c r="K368" s="1683">
        <f>'Revenues 9-14'!K275-'Expenditures 15-22'!K367</f>
        <v>-2465961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5" sqref="A2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5" t="s">
        <v>106</v>
      </c>
    </row>
    <row r="2" spans="1:6" ht="39.75" customHeight="1" x14ac:dyDescent="0.2">
      <c r="A2" s="2203" t="s">
        <v>1902</v>
      </c>
      <c r="B2" s="1543" t="s">
        <v>2032</v>
      </c>
      <c r="C2" s="715" t="s">
        <v>1907</v>
      </c>
      <c r="D2" s="715" t="s">
        <v>1908</v>
      </c>
      <c r="E2" s="715" t="s">
        <v>1909</v>
      </c>
      <c r="F2" s="715" t="s">
        <v>1910</v>
      </c>
    </row>
    <row r="3" spans="1:6" ht="12" customHeight="1" x14ac:dyDescent="0.2">
      <c r="A3" s="2204"/>
      <c r="B3" s="1540"/>
      <c r="C3" s="1541"/>
      <c r="D3" s="1542" t="s">
        <v>274</v>
      </c>
      <c r="E3" s="1541"/>
      <c r="F3" s="1542" t="s">
        <v>275</v>
      </c>
    </row>
    <row r="4" spans="1:6" ht="13.7" customHeight="1" x14ac:dyDescent="0.2">
      <c r="A4" s="716" t="s">
        <v>1216</v>
      </c>
      <c r="B4" s="1761">
        <f>'Revenues 9-14'!C5</f>
        <v>1642561</v>
      </c>
      <c r="C4" s="1539">
        <v>34611</v>
      </c>
      <c r="D4" s="1764">
        <f>B4-C4</f>
        <v>1607950</v>
      </c>
      <c r="E4" s="1539">
        <v>1803894</v>
      </c>
      <c r="F4" s="1764">
        <f>E4-C4</f>
        <v>1769283</v>
      </c>
    </row>
    <row r="5" spans="1:6" ht="13.7" customHeight="1" x14ac:dyDescent="0.2">
      <c r="A5" s="716" t="s">
        <v>924</v>
      </c>
      <c r="B5" s="1762">
        <f>'Revenues 9-14'!D5</f>
        <v>247290</v>
      </c>
      <c r="C5" s="585">
        <v>5308</v>
      </c>
      <c r="D5" s="1765">
        <f t="shared" ref="D5:D18" si="0">B5-C5</f>
        <v>241982</v>
      </c>
      <c r="E5" s="585">
        <v>276671</v>
      </c>
      <c r="F5" s="1765">
        <f>E5-C5</f>
        <v>271363</v>
      </c>
    </row>
    <row r="6" spans="1:6" ht="13.7" customHeight="1" x14ac:dyDescent="0.2">
      <c r="A6" s="716" t="s">
        <v>430</v>
      </c>
      <c r="B6" s="1762">
        <f>'Revenues 9-14'!E5</f>
        <v>436662</v>
      </c>
      <c r="C6" s="585">
        <v>9222</v>
      </c>
      <c r="D6" s="1765">
        <f t="shared" si="0"/>
        <v>427440</v>
      </c>
      <c r="E6" s="585">
        <v>480633</v>
      </c>
      <c r="F6" s="1765">
        <f t="shared" ref="F6:F18" si="1">E6-C6</f>
        <v>471411</v>
      </c>
    </row>
    <row r="7" spans="1:6" ht="13.7" customHeight="1" x14ac:dyDescent="0.2">
      <c r="A7" s="716" t="s">
        <v>157</v>
      </c>
      <c r="B7" s="1762">
        <f>'Revenues 9-14'!F5</f>
        <v>118657</v>
      </c>
      <c r="C7" s="585">
        <v>2548</v>
      </c>
      <c r="D7" s="1765">
        <f t="shared" si="0"/>
        <v>116109</v>
      </c>
      <c r="E7" s="585">
        <v>132801</v>
      </c>
      <c r="F7" s="1765">
        <f t="shared" si="1"/>
        <v>130253</v>
      </c>
    </row>
    <row r="8" spans="1:6" ht="13.7" customHeight="1" x14ac:dyDescent="0.2">
      <c r="A8" s="716" t="s">
        <v>1240</v>
      </c>
      <c r="B8" s="1762">
        <f>'Revenues 9-14'!G5</f>
        <v>145720</v>
      </c>
      <c r="C8" s="585">
        <v>2879</v>
      </c>
      <c r="D8" s="1765">
        <f t="shared" si="0"/>
        <v>142841</v>
      </c>
      <c r="E8" s="585">
        <v>150066</v>
      </c>
      <c r="F8" s="1765">
        <f t="shared" si="1"/>
        <v>147187</v>
      </c>
    </row>
    <row r="9" spans="1:6" ht="13.7" customHeight="1" x14ac:dyDescent="0.2">
      <c r="A9" s="716" t="s">
        <v>427</v>
      </c>
      <c r="B9" s="1762">
        <f>'Revenues 9-14'!H5</f>
        <v>0</v>
      </c>
      <c r="C9" s="585"/>
      <c r="D9" s="1765">
        <f t="shared" si="0"/>
        <v>0</v>
      </c>
      <c r="E9" s="585"/>
      <c r="F9" s="1765">
        <f t="shared" si="1"/>
        <v>0</v>
      </c>
    </row>
    <row r="10" spans="1:6" ht="13.7" customHeight="1" x14ac:dyDescent="0.2">
      <c r="A10" s="716" t="s">
        <v>426</v>
      </c>
      <c r="B10" s="1762">
        <f>'Revenues 9-14'!I5</f>
        <v>49499</v>
      </c>
      <c r="C10" s="585">
        <v>1062</v>
      </c>
      <c r="D10" s="1765">
        <f t="shared" si="0"/>
        <v>48437</v>
      </c>
      <c r="E10" s="585">
        <v>55334</v>
      </c>
      <c r="F10" s="1765">
        <f t="shared" si="1"/>
        <v>54272</v>
      </c>
    </row>
    <row r="11" spans="1:6" x14ac:dyDescent="0.2">
      <c r="A11" s="716" t="s">
        <v>428</v>
      </c>
      <c r="B11" s="1762">
        <f>'Revenues 9-14'!J5</f>
        <v>326154</v>
      </c>
      <c r="C11" s="585">
        <v>9596</v>
      </c>
      <c r="D11" s="1765">
        <f t="shared" si="0"/>
        <v>316558</v>
      </c>
      <c r="E11" s="585">
        <v>500110</v>
      </c>
      <c r="F11" s="1765">
        <f t="shared" si="1"/>
        <v>490514</v>
      </c>
    </row>
    <row r="12" spans="1:6" ht="13.7" customHeight="1" x14ac:dyDescent="0.2">
      <c r="A12" s="716" t="s">
        <v>159</v>
      </c>
      <c r="B12" s="1762">
        <f>'Revenues 9-14'!K5</f>
        <v>49499</v>
      </c>
      <c r="C12" s="585">
        <v>1062</v>
      </c>
      <c r="D12" s="1765">
        <f t="shared" si="0"/>
        <v>48437</v>
      </c>
      <c r="E12" s="585">
        <v>55334</v>
      </c>
      <c r="F12" s="1765">
        <f t="shared" si="1"/>
        <v>54272</v>
      </c>
    </row>
    <row r="13" spans="1:6" ht="13.7" customHeight="1" x14ac:dyDescent="0.2">
      <c r="A13" s="716" t="s">
        <v>992</v>
      </c>
      <c r="B13" s="1762">
        <f>SUM('Revenues 9-14'!C6:D6)</f>
        <v>48862</v>
      </c>
      <c r="C13" s="585">
        <v>1062</v>
      </c>
      <c r="D13" s="1765">
        <f t="shared" si="0"/>
        <v>47800</v>
      </c>
      <c r="E13" s="585">
        <v>55334</v>
      </c>
      <c r="F13" s="1765">
        <f t="shared" si="1"/>
        <v>54272</v>
      </c>
    </row>
    <row r="14" spans="1:6" ht="13.7" customHeight="1" x14ac:dyDescent="0.2">
      <c r="A14" s="716" t="s">
        <v>429</v>
      </c>
      <c r="B14" s="1762">
        <f>SUM('Revenues 9-14'!C7:D7,'Revenues 9-14'!F7:H7)</f>
        <v>20495</v>
      </c>
      <c r="C14" s="585">
        <v>425</v>
      </c>
      <c r="D14" s="1765">
        <f t="shared" si="0"/>
        <v>20070</v>
      </c>
      <c r="E14" s="585">
        <v>22134</v>
      </c>
      <c r="F14" s="1765">
        <f t="shared" si="1"/>
        <v>21709</v>
      </c>
    </row>
    <row r="15" spans="1:6" ht="13.7" customHeight="1" x14ac:dyDescent="0.2">
      <c r="A15" s="716" t="s">
        <v>1219</v>
      </c>
      <c r="B15" s="1762">
        <f>'Revenues 9-14'!E9</f>
        <v>0</v>
      </c>
      <c r="C15" s="585"/>
      <c r="D15" s="1765">
        <f t="shared" si="0"/>
        <v>0</v>
      </c>
      <c r="E15" s="585"/>
      <c r="F15" s="1765">
        <f t="shared" si="1"/>
        <v>0</v>
      </c>
    </row>
    <row r="16" spans="1:6" ht="13.7" customHeight="1" x14ac:dyDescent="0.2">
      <c r="A16" s="716" t="s">
        <v>1220</v>
      </c>
      <c r="B16" s="1762">
        <f>'Revenues 9-14'!G8</f>
        <v>145720</v>
      </c>
      <c r="C16" s="585">
        <v>2879</v>
      </c>
      <c r="D16" s="1765">
        <f t="shared" si="0"/>
        <v>142841</v>
      </c>
      <c r="E16" s="585">
        <v>150066</v>
      </c>
      <c r="F16" s="1765">
        <f t="shared" si="1"/>
        <v>147187</v>
      </c>
    </row>
    <row r="17" spans="1:6" ht="13.7" customHeight="1" x14ac:dyDescent="0.2">
      <c r="A17" s="716" t="s">
        <v>1221</v>
      </c>
      <c r="B17" s="1762">
        <f>'Revenues 9-14'!C10</f>
        <v>0</v>
      </c>
      <c r="C17" s="585"/>
      <c r="D17" s="1765">
        <f t="shared" si="0"/>
        <v>0</v>
      </c>
      <c r="E17" s="585"/>
      <c r="F17" s="1765">
        <f t="shared" si="1"/>
        <v>0</v>
      </c>
    </row>
    <row r="18" spans="1:6" ht="13.7" customHeight="1" x14ac:dyDescent="0.2">
      <c r="A18" s="716" t="s">
        <v>785</v>
      </c>
      <c r="B18" s="1762">
        <f>SUM('Revenues 9-14'!C11:K11)</f>
        <v>0</v>
      </c>
      <c r="C18" s="585"/>
      <c r="D18" s="1765">
        <f t="shared" si="0"/>
        <v>0</v>
      </c>
      <c r="E18" s="585"/>
      <c r="F18" s="1765">
        <f t="shared" si="1"/>
        <v>0</v>
      </c>
    </row>
    <row r="19" spans="1:6" ht="13.7" customHeight="1" thickBot="1" x14ac:dyDescent="0.25">
      <c r="A19" s="1766" t="s">
        <v>1222</v>
      </c>
      <c r="B19" s="1763">
        <f>SUM(B4:B18)</f>
        <v>3231119</v>
      </c>
      <c r="C19" s="1763">
        <f>SUM(C4:C18)</f>
        <v>70654</v>
      </c>
      <c r="D19" s="1763">
        <f>SUM(D4:D18)</f>
        <v>3160465</v>
      </c>
      <c r="E19" s="1763">
        <f>SUM(E4:E18)</f>
        <v>3682377</v>
      </c>
      <c r="F19" s="1763">
        <f>SUM(F4:F18)</f>
        <v>3611723</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6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G40" sqref="G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649</v>
      </c>
      <c r="B1" s="2223"/>
      <c r="C1" s="722"/>
    </row>
    <row r="2" spans="1:7" ht="33.75" x14ac:dyDescent="0.2">
      <c r="A2" s="2230" t="s">
        <v>1902</v>
      </c>
      <c r="B2" s="2231"/>
      <c r="C2" s="1896" t="s">
        <v>2033</v>
      </c>
      <c r="D2" s="724" t="s">
        <v>2040</v>
      </c>
      <c r="E2" s="724" t="s">
        <v>2041</v>
      </c>
      <c r="F2" s="1896" t="s">
        <v>2034</v>
      </c>
    </row>
    <row r="3" spans="1:7" ht="15.75" customHeight="1" x14ac:dyDescent="0.2">
      <c r="A3" s="2232" t="s">
        <v>1175</v>
      </c>
      <c r="B3" s="2233"/>
      <c r="C3" s="2226"/>
      <c r="D3" s="2227"/>
      <c r="E3" s="2227"/>
      <c r="F3" s="2228"/>
    </row>
    <row r="4" spans="1:7" ht="12.75" customHeight="1" thickBot="1" x14ac:dyDescent="0.25">
      <c r="A4" s="2220" t="s">
        <v>650</v>
      </c>
      <c r="B4" s="2221"/>
      <c r="C4" s="581"/>
      <c r="D4" s="581"/>
      <c r="E4" s="581"/>
      <c r="F4" s="1767">
        <f>SUM(C4+D4)-E4</f>
        <v>0</v>
      </c>
    </row>
    <row r="5" spans="1:7" ht="15.75" customHeight="1" thickTop="1" x14ac:dyDescent="0.2">
      <c r="A5" s="2224" t="s">
        <v>1171</v>
      </c>
      <c r="B5" s="2219"/>
      <c r="C5" s="2213"/>
      <c r="D5" s="2214"/>
      <c r="E5" s="2214"/>
      <c r="F5" s="2215"/>
    </row>
    <row r="6" spans="1:7" ht="12.75" customHeight="1" thickBot="1" x14ac:dyDescent="0.25">
      <c r="A6" s="725" t="s">
        <v>66</v>
      </c>
      <c r="B6" s="726"/>
      <c r="C6" s="727"/>
      <c r="D6" s="585"/>
      <c r="E6" s="727"/>
      <c r="F6" s="1767">
        <f t="shared" ref="F6:F14" si="0">SUM(C6+D6)-E6</f>
        <v>0</v>
      </c>
    </row>
    <row r="7" spans="1:7" ht="12.75" customHeight="1" thickTop="1" thickBot="1" x14ac:dyDescent="0.25">
      <c r="A7" s="725" t="s">
        <v>6</v>
      </c>
      <c r="B7" s="726"/>
      <c r="C7" s="727"/>
      <c r="D7" s="585"/>
      <c r="E7" s="727"/>
      <c r="F7" s="1767">
        <f t="shared" si="0"/>
        <v>0</v>
      </c>
    </row>
    <row r="8" spans="1:7" ht="12.75" customHeight="1" thickTop="1" thickBot="1" x14ac:dyDescent="0.25">
      <c r="A8" s="725" t="s">
        <v>528</v>
      </c>
      <c r="B8" s="726"/>
      <c r="C8" s="727"/>
      <c r="D8" s="585"/>
      <c r="E8" s="727"/>
      <c r="F8" s="1767">
        <f t="shared" si="0"/>
        <v>0</v>
      </c>
    </row>
    <row r="9" spans="1:7" ht="12.75" customHeight="1" thickTop="1" thickBot="1" x14ac:dyDescent="0.25">
      <c r="A9" s="725" t="s">
        <v>529</v>
      </c>
      <c r="B9" s="726"/>
      <c r="C9" s="727"/>
      <c r="D9" s="585"/>
      <c r="E9" s="727"/>
      <c r="F9" s="1767">
        <f t="shared" si="0"/>
        <v>0</v>
      </c>
    </row>
    <row r="10" spans="1:7" ht="12.75" customHeight="1" thickTop="1" thickBot="1" x14ac:dyDescent="0.25">
      <c r="A10" s="725" t="s">
        <v>530</v>
      </c>
      <c r="B10" s="726"/>
      <c r="C10" s="727"/>
      <c r="D10" s="585"/>
      <c r="E10" s="727"/>
      <c r="F10" s="1767">
        <f t="shared" si="0"/>
        <v>0</v>
      </c>
    </row>
    <row r="11" spans="1:7" ht="12.75" customHeight="1" thickTop="1" thickBot="1" x14ac:dyDescent="0.25">
      <c r="A11" s="725" t="s">
        <v>358</v>
      </c>
      <c r="B11" s="726"/>
      <c r="C11" s="727"/>
      <c r="D11" s="585"/>
      <c r="E11" s="727"/>
      <c r="F11" s="1767">
        <f t="shared" si="0"/>
        <v>0</v>
      </c>
    </row>
    <row r="12" spans="1:7" ht="12.75" customHeight="1" thickTop="1" thickBot="1" x14ac:dyDescent="0.25">
      <c r="A12" s="725" t="s">
        <v>1218</v>
      </c>
      <c r="B12" s="726"/>
      <c r="C12" s="727"/>
      <c r="D12" s="585"/>
      <c r="E12" s="727"/>
      <c r="F12" s="1767">
        <f t="shared" si="0"/>
        <v>0</v>
      </c>
    </row>
    <row r="13" spans="1:7" ht="12.75" customHeight="1" thickTop="1" thickBot="1" x14ac:dyDescent="0.25">
      <c r="A13" s="725" t="s">
        <v>405</v>
      </c>
      <c r="B13" s="726"/>
      <c r="C13" s="727"/>
      <c r="D13" s="585"/>
      <c r="E13" s="727"/>
      <c r="F13" s="1767">
        <f t="shared" si="0"/>
        <v>0</v>
      </c>
    </row>
    <row r="14" spans="1:7" ht="12.75" customHeight="1" thickTop="1" thickBot="1" x14ac:dyDescent="0.25">
      <c r="A14" s="725" t="s">
        <v>467</v>
      </c>
      <c r="B14" s="726"/>
      <c r="C14" s="727"/>
      <c r="D14" s="585"/>
      <c r="E14" s="727"/>
      <c r="F14" s="1767">
        <f t="shared" si="0"/>
        <v>0</v>
      </c>
    </row>
    <row r="15" spans="1:7" ht="14.25" thickTop="1" thickBot="1" x14ac:dyDescent="0.25">
      <c r="A15" s="2216" t="s">
        <v>651</v>
      </c>
      <c r="B15" s="2217"/>
      <c r="C15" s="1767">
        <f>SUM(C6:C14)</f>
        <v>0</v>
      </c>
      <c r="D15" s="1767">
        <f>SUM(D6:D14)</f>
        <v>0</v>
      </c>
      <c r="E15" s="1767">
        <f>SUM(E6:E14)</f>
        <v>0</v>
      </c>
      <c r="F15" s="1767">
        <f>SUM(F6:F14)</f>
        <v>0</v>
      </c>
      <c r="G15" s="552"/>
    </row>
    <row r="16" spans="1:7" s="202" customFormat="1" ht="15.75" customHeight="1" thickTop="1" x14ac:dyDescent="0.2">
      <c r="A16" s="2229" t="s">
        <v>1172</v>
      </c>
      <c r="B16" s="2219"/>
      <c r="C16" s="2213"/>
      <c r="D16" s="2214"/>
      <c r="E16" s="2214"/>
      <c r="F16" s="2215"/>
    </row>
    <row r="17" spans="1:11" ht="12.75" customHeight="1" thickBot="1" x14ac:dyDescent="0.25">
      <c r="A17" s="2211" t="s">
        <v>66</v>
      </c>
      <c r="B17" s="2212"/>
      <c r="C17" s="727"/>
      <c r="D17" s="585"/>
      <c r="E17" s="727"/>
      <c r="F17" s="1767">
        <f>SUM(C17+D17)-E17</f>
        <v>0</v>
      </c>
    </row>
    <row r="18" spans="1:11" ht="12.75" customHeight="1" thickTop="1" thickBot="1" x14ac:dyDescent="0.25">
      <c r="A18" s="2211" t="s">
        <v>6</v>
      </c>
      <c r="B18" s="2212"/>
      <c r="C18" s="727"/>
      <c r="D18" s="585"/>
      <c r="E18" s="727"/>
      <c r="F18" s="1767">
        <f>SUM(C18+D18)-E18</f>
        <v>0</v>
      </c>
    </row>
    <row r="19" spans="1:11" ht="12.75" customHeight="1" thickTop="1" thickBot="1" x14ac:dyDescent="0.25">
      <c r="A19" s="2211" t="s">
        <v>405</v>
      </c>
      <c r="B19" s="2212"/>
      <c r="C19" s="727"/>
      <c r="D19" s="585"/>
      <c r="E19" s="727"/>
      <c r="F19" s="1767">
        <f>SUM(C19+D19)-E19</f>
        <v>0</v>
      </c>
    </row>
    <row r="20" spans="1:11" ht="12.75" customHeight="1" thickTop="1" thickBot="1" x14ac:dyDescent="0.25">
      <c r="A20" s="2211" t="s">
        <v>467</v>
      </c>
      <c r="B20" s="2212"/>
      <c r="C20" s="727"/>
      <c r="D20" s="585"/>
      <c r="E20" s="727"/>
      <c r="F20" s="1767">
        <f>SUM(C20+D20)-E20</f>
        <v>0</v>
      </c>
    </row>
    <row r="21" spans="1:11" ht="14.25" thickTop="1" thickBot="1" x14ac:dyDescent="0.25">
      <c r="A21" s="2216" t="s">
        <v>652</v>
      </c>
      <c r="B21" s="2217"/>
      <c r="C21" s="1767">
        <f>SUM(C17:C20)</f>
        <v>0</v>
      </c>
      <c r="D21" s="1767">
        <f>SUM(D17:D20)</f>
        <v>0</v>
      </c>
      <c r="E21" s="1767">
        <f>SUM(E17:E20)</f>
        <v>0</v>
      </c>
      <c r="F21" s="1767">
        <f>SUM(F17:F20)</f>
        <v>0</v>
      </c>
      <c r="G21" s="552"/>
    </row>
    <row r="22" spans="1:11" ht="15.75" customHeight="1" thickTop="1" x14ac:dyDescent="0.2">
      <c r="A22" s="2218" t="s">
        <v>1173</v>
      </c>
      <c r="B22" s="2219"/>
      <c r="C22" s="2213"/>
      <c r="D22" s="2214"/>
      <c r="E22" s="2214"/>
      <c r="F22" s="2215"/>
    </row>
    <row r="23" spans="1:11" ht="13.5" thickBot="1" x14ac:dyDescent="0.25">
      <c r="A23" s="2220" t="s">
        <v>653</v>
      </c>
      <c r="B23" s="2221"/>
      <c r="C23" s="581"/>
      <c r="D23" s="581"/>
      <c r="E23" s="581"/>
      <c r="F23" s="1767">
        <f>SUM(C23+D23)-E23</f>
        <v>0</v>
      </c>
      <c r="G23" s="552"/>
    </row>
    <row r="24" spans="1:11" ht="15.75" customHeight="1" thickTop="1" x14ac:dyDescent="0.2">
      <c r="A24" s="2218" t="s">
        <v>1174</v>
      </c>
      <c r="B24" s="2219"/>
      <c r="C24" s="2213"/>
      <c r="D24" s="2214"/>
      <c r="E24" s="2214"/>
      <c r="F24" s="2215"/>
    </row>
    <row r="25" spans="1:11" ht="13.5" thickBot="1" x14ac:dyDescent="0.25">
      <c r="A25" s="2220" t="s">
        <v>654</v>
      </c>
      <c r="B25" s="2221"/>
      <c r="C25" s="581"/>
      <c r="D25" s="581"/>
      <c r="E25" s="581"/>
      <c r="F25" s="1767">
        <f>SUM(C25+D25)-E25</f>
        <v>0</v>
      </c>
      <c r="G25" s="552"/>
    </row>
    <row r="26" spans="1:11" ht="15.75" customHeight="1" thickTop="1" x14ac:dyDescent="0.2">
      <c r="A26" s="2224" t="s">
        <v>677</v>
      </c>
      <c r="B26" s="2219"/>
      <c r="C26" s="728"/>
      <c r="D26" s="728"/>
      <c r="E26" s="728"/>
      <c r="F26" s="729"/>
    </row>
    <row r="27" spans="1:11" ht="13.5" thickBot="1" x14ac:dyDescent="0.25">
      <c r="A27" s="2216" t="s">
        <v>1129</v>
      </c>
      <c r="B27" s="2217"/>
      <c r="C27" s="585"/>
      <c r="D27" s="585"/>
      <c r="E27" s="585"/>
      <c r="F27" s="1767">
        <f>SUM(C27+D27)-E27</f>
        <v>0</v>
      </c>
      <c r="G27" s="552"/>
    </row>
    <row r="28" spans="1:11" ht="7.5" customHeight="1" thickTop="1" x14ac:dyDescent="0.2">
      <c r="A28" s="594"/>
    </row>
    <row r="29" spans="1:11" ht="23.25" customHeight="1" x14ac:dyDescent="0.2">
      <c r="A29" s="2222" t="s">
        <v>602</v>
      </c>
      <c r="B29" s="2223"/>
      <c r="C29" s="730"/>
      <c r="D29" s="730"/>
      <c r="E29" s="730"/>
      <c r="F29" s="730"/>
      <c r="G29" s="730"/>
      <c r="H29" s="730"/>
      <c r="I29" s="730"/>
      <c r="J29" s="730"/>
    </row>
    <row r="30" spans="1:11" ht="33.75" x14ac:dyDescent="0.2">
      <c r="A30" s="1544" t="s">
        <v>1130</v>
      </c>
      <c r="B30" s="731" t="s">
        <v>1185</v>
      </c>
      <c r="C30" s="1897" t="s">
        <v>603</v>
      </c>
      <c r="D30" s="1897" t="s">
        <v>1771</v>
      </c>
      <c r="E30" s="1897" t="s">
        <v>2035</v>
      </c>
      <c r="F30" s="1897" t="s">
        <v>2036</v>
      </c>
      <c r="G30" s="1897" t="s">
        <v>2039</v>
      </c>
      <c r="H30" s="1897" t="s">
        <v>2037</v>
      </c>
      <c r="I30" s="1897" t="s">
        <v>2038</v>
      </c>
      <c r="J30" s="1898" t="s">
        <v>2</v>
      </c>
      <c r="K30" s="732"/>
    </row>
    <row r="31" spans="1:11" ht="12" customHeight="1" x14ac:dyDescent="0.2">
      <c r="A31" s="733" t="s">
        <v>2090</v>
      </c>
      <c r="B31" s="734">
        <v>39904</v>
      </c>
      <c r="C31" s="735">
        <v>2260000</v>
      </c>
      <c r="D31" s="736" t="s">
        <v>2091</v>
      </c>
      <c r="E31" s="735">
        <v>1095000</v>
      </c>
      <c r="F31" s="735"/>
      <c r="G31" s="735">
        <v>-10000</v>
      </c>
      <c r="H31" s="735">
        <v>330000</v>
      </c>
      <c r="I31" s="1768">
        <f>((E31+F31)-H31)+G31</f>
        <v>755000</v>
      </c>
      <c r="J31" s="735">
        <v>751830</v>
      </c>
      <c r="K31" s="737"/>
    </row>
    <row r="32" spans="1:11" ht="12" customHeight="1" x14ac:dyDescent="0.2">
      <c r="A32" s="733" t="s">
        <v>2092</v>
      </c>
      <c r="B32" s="734">
        <v>42501</v>
      </c>
      <c r="C32" s="735">
        <v>1964600</v>
      </c>
      <c r="D32" s="736" t="s">
        <v>2091</v>
      </c>
      <c r="E32" s="735">
        <v>1964600</v>
      </c>
      <c r="F32" s="735"/>
      <c r="G32" s="735"/>
      <c r="H32" s="735"/>
      <c r="I32" s="1768">
        <f>((E32+F32)-H32)+G32</f>
        <v>1964600</v>
      </c>
      <c r="J32" s="735">
        <v>1956370</v>
      </c>
      <c r="K32" s="737"/>
    </row>
    <row r="33" spans="1:11" ht="12" customHeight="1" x14ac:dyDescent="0.2">
      <c r="A33" s="733" t="s">
        <v>2093</v>
      </c>
      <c r="B33" s="734">
        <v>42501</v>
      </c>
      <c r="C33" s="735">
        <v>1783000</v>
      </c>
      <c r="D33" s="736" t="s">
        <v>2091</v>
      </c>
      <c r="E33" s="735">
        <v>1783000</v>
      </c>
      <c r="F33" s="735"/>
      <c r="G33" s="735"/>
      <c r="H33" s="735"/>
      <c r="I33" s="1768">
        <f t="shared" ref="I33:I48" si="1">((E33+F33)-H33)+G33</f>
        <v>1783000</v>
      </c>
      <c r="J33" s="735">
        <v>1775493</v>
      </c>
      <c r="K33" s="737"/>
    </row>
    <row r="34" spans="1:11" ht="12" customHeight="1" x14ac:dyDescent="0.2">
      <c r="A34" s="733" t="s">
        <v>2094</v>
      </c>
      <c r="B34" s="734">
        <v>41831</v>
      </c>
      <c r="C34" s="735">
        <v>71062</v>
      </c>
      <c r="D34" s="736">
        <v>7</v>
      </c>
      <c r="E34" s="735">
        <v>18403</v>
      </c>
      <c r="F34" s="735"/>
      <c r="G34" s="735"/>
      <c r="H34" s="735">
        <v>18403</v>
      </c>
      <c r="I34" s="1768">
        <f t="shared" si="1"/>
        <v>0</v>
      </c>
      <c r="J34" s="735">
        <v>0</v>
      </c>
      <c r="K34" s="738"/>
    </row>
    <row r="35" spans="1:11" ht="12" customHeight="1" x14ac:dyDescent="0.2">
      <c r="A35" s="733" t="s">
        <v>2094</v>
      </c>
      <c r="B35" s="734">
        <v>41877</v>
      </c>
      <c r="C35" s="739">
        <v>51600</v>
      </c>
      <c r="D35" s="736">
        <v>7</v>
      </c>
      <c r="E35" s="739">
        <v>13362</v>
      </c>
      <c r="F35" s="739"/>
      <c r="G35" s="739"/>
      <c r="H35" s="739">
        <v>13362</v>
      </c>
      <c r="I35" s="1768">
        <f t="shared" si="1"/>
        <v>0</v>
      </c>
      <c r="J35" s="739">
        <v>0</v>
      </c>
      <c r="K35" s="738"/>
    </row>
    <row r="36" spans="1:11" ht="12" customHeight="1" x14ac:dyDescent="0.2">
      <c r="A36" s="733" t="s">
        <v>2094</v>
      </c>
      <c r="B36" s="734">
        <v>42522</v>
      </c>
      <c r="C36" s="735">
        <v>62188</v>
      </c>
      <c r="D36" s="736">
        <v>7</v>
      </c>
      <c r="E36" s="735">
        <v>47265</v>
      </c>
      <c r="F36" s="735"/>
      <c r="G36" s="735"/>
      <c r="H36" s="735">
        <v>15330</v>
      </c>
      <c r="I36" s="1768">
        <f t="shared" si="1"/>
        <v>31935</v>
      </c>
      <c r="J36" s="735">
        <v>31935</v>
      </c>
      <c r="K36" s="740"/>
    </row>
    <row r="37" spans="1:11" ht="12" customHeight="1" x14ac:dyDescent="0.2">
      <c r="A37" s="733" t="s">
        <v>2094</v>
      </c>
      <c r="B37" s="734">
        <v>42878</v>
      </c>
      <c r="C37" s="467">
        <v>37698</v>
      </c>
      <c r="D37" s="741">
        <v>7</v>
      </c>
      <c r="E37" s="467">
        <v>37698</v>
      </c>
      <c r="F37" s="467"/>
      <c r="G37" s="467"/>
      <c r="H37" s="467">
        <v>9045</v>
      </c>
      <c r="I37" s="1768">
        <f t="shared" si="1"/>
        <v>28653</v>
      </c>
      <c r="J37" s="467">
        <v>28653</v>
      </c>
      <c r="K37" s="738"/>
    </row>
    <row r="38" spans="1:11" ht="12" customHeight="1" x14ac:dyDescent="0.2">
      <c r="A38" s="733" t="s">
        <v>2094</v>
      </c>
      <c r="B38" s="734">
        <v>42939</v>
      </c>
      <c r="C38" s="735">
        <v>161752</v>
      </c>
      <c r="D38" s="742">
        <v>7</v>
      </c>
      <c r="E38" s="743"/>
      <c r="F38" s="743"/>
      <c r="G38" s="743">
        <v>161752</v>
      </c>
      <c r="H38" s="743">
        <v>30543</v>
      </c>
      <c r="I38" s="1768">
        <f t="shared" si="1"/>
        <v>131209</v>
      </c>
      <c r="J38" s="744">
        <v>131209</v>
      </c>
      <c r="K38" s="745"/>
    </row>
    <row r="39" spans="1:11" ht="12" customHeight="1" x14ac:dyDescent="0.2">
      <c r="A39" s="733" t="s">
        <v>2094</v>
      </c>
      <c r="B39" s="734">
        <v>43279</v>
      </c>
      <c r="C39" s="735">
        <v>81043</v>
      </c>
      <c r="D39" s="742">
        <v>7</v>
      </c>
      <c r="E39" s="743"/>
      <c r="F39" s="743"/>
      <c r="G39" s="743">
        <v>81043</v>
      </c>
      <c r="H39" s="743"/>
      <c r="I39" s="1768">
        <f t="shared" si="1"/>
        <v>81043</v>
      </c>
      <c r="J39" s="744">
        <v>81043</v>
      </c>
      <c r="K39" s="745"/>
    </row>
    <row r="40" spans="1:11" ht="12" customHeight="1" x14ac:dyDescent="0.2">
      <c r="A40" s="733"/>
      <c r="B40" s="734"/>
      <c r="C40" s="735"/>
      <c r="D40" s="742"/>
      <c r="E40" s="743"/>
      <c r="F40" s="743"/>
      <c r="G40" s="743"/>
      <c r="H40" s="743"/>
      <c r="I40" s="1768">
        <f t="shared" si="1"/>
        <v>0</v>
      </c>
      <c r="J40" s="744"/>
      <c r="K40" s="745"/>
    </row>
    <row r="41" spans="1:11" ht="12" customHeight="1" x14ac:dyDescent="0.2">
      <c r="A41" s="733"/>
      <c r="B41" s="734"/>
      <c r="C41" s="735"/>
      <c r="D41" s="742"/>
      <c r="E41" s="743"/>
      <c r="F41" s="743"/>
      <c r="G41" s="743"/>
      <c r="H41" s="743"/>
      <c r="I41" s="1768">
        <f t="shared" si="1"/>
        <v>0</v>
      </c>
      <c r="J41" s="744"/>
      <c r="K41" s="745"/>
    </row>
    <row r="42" spans="1:11" ht="12" customHeight="1" x14ac:dyDescent="0.2">
      <c r="A42" s="733"/>
      <c r="B42" s="734"/>
      <c r="C42" s="735"/>
      <c r="D42" s="742"/>
      <c r="E42" s="743"/>
      <c r="F42" s="743"/>
      <c r="G42" s="743"/>
      <c r="H42" s="743"/>
      <c r="I42" s="1768">
        <f t="shared" si="1"/>
        <v>0</v>
      </c>
      <c r="J42" s="744"/>
      <c r="K42" s="745"/>
    </row>
    <row r="43" spans="1:11" ht="12" customHeight="1" x14ac:dyDescent="0.2">
      <c r="A43" s="733"/>
      <c r="B43" s="734"/>
      <c r="C43" s="735"/>
      <c r="D43" s="742"/>
      <c r="E43" s="743"/>
      <c r="F43" s="743"/>
      <c r="G43" s="743"/>
      <c r="H43" s="743"/>
      <c r="I43" s="1768">
        <f t="shared" si="1"/>
        <v>0</v>
      </c>
      <c r="J43" s="744"/>
      <c r="K43" s="745"/>
    </row>
    <row r="44" spans="1:11" ht="12" customHeight="1" x14ac:dyDescent="0.2">
      <c r="A44" s="733"/>
      <c r="B44" s="734"/>
      <c r="C44" s="735"/>
      <c r="D44" s="736"/>
      <c r="E44" s="735"/>
      <c r="F44" s="735"/>
      <c r="G44" s="735"/>
      <c r="H44" s="735"/>
      <c r="I44" s="1768">
        <f t="shared" si="1"/>
        <v>0</v>
      </c>
      <c r="J44" s="735"/>
      <c r="K44" s="738"/>
    </row>
    <row r="45" spans="1:11" ht="12" customHeight="1" x14ac:dyDescent="0.2">
      <c r="A45" s="733"/>
      <c r="B45" s="734"/>
      <c r="C45" s="735"/>
      <c r="D45" s="736"/>
      <c r="E45" s="735"/>
      <c r="F45" s="735"/>
      <c r="G45" s="735"/>
      <c r="H45" s="735"/>
      <c r="I45" s="1768">
        <f t="shared" si="1"/>
        <v>0</v>
      </c>
      <c r="J45" s="735"/>
      <c r="K45" s="738"/>
    </row>
    <row r="46" spans="1:11" ht="12" customHeight="1" x14ac:dyDescent="0.2">
      <c r="A46" s="733"/>
      <c r="B46" s="734"/>
      <c r="C46" s="735"/>
      <c r="D46" s="736"/>
      <c r="E46" s="735"/>
      <c r="F46" s="735"/>
      <c r="G46" s="735"/>
      <c r="H46" s="735"/>
      <c r="I46" s="1768">
        <f t="shared" si="1"/>
        <v>0</v>
      </c>
      <c r="J46" s="735"/>
      <c r="K46" s="738"/>
    </row>
    <row r="47" spans="1:11" ht="12" customHeight="1" x14ac:dyDescent="0.2">
      <c r="A47" s="733"/>
      <c r="B47" s="734"/>
      <c r="C47" s="739"/>
      <c r="D47" s="736"/>
      <c r="E47" s="739"/>
      <c r="F47" s="739"/>
      <c r="G47" s="739"/>
      <c r="H47" s="739"/>
      <c r="I47" s="1768">
        <f t="shared" si="1"/>
        <v>0</v>
      </c>
      <c r="J47" s="739"/>
      <c r="K47" s="738"/>
    </row>
    <row r="48" spans="1:11" ht="12" customHeight="1" x14ac:dyDescent="0.2">
      <c r="A48" s="733"/>
      <c r="B48" s="734"/>
      <c r="C48" s="735"/>
      <c r="D48" s="736"/>
      <c r="E48" s="735"/>
      <c r="F48" s="735"/>
      <c r="G48" s="735"/>
      <c r="H48" s="735"/>
      <c r="I48" s="1768">
        <f t="shared" si="1"/>
        <v>0</v>
      </c>
      <c r="J48" s="735"/>
      <c r="K48" s="738"/>
    </row>
    <row r="49" spans="1:11" ht="12" customHeight="1" x14ac:dyDescent="0.2">
      <c r="A49" s="733"/>
      <c r="B49" s="734"/>
      <c r="C49" s="1768">
        <f>SUM(C31:C48)</f>
        <v>6472943</v>
      </c>
      <c r="D49" s="746"/>
      <c r="E49" s="1768">
        <f t="shared" ref="E49:J49" si="2">SUM(E31:E48)</f>
        <v>4959328</v>
      </c>
      <c r="F49" s="1768">
        <f t="shared" si="2"/>
        <v>0</v>
      </c>
      <c r="G49" s="1768">
        <f t="shared" si="2"/>
        <v>232795</v>
      </c>
      <c r="H49" s="1768">
        <f t="shared" si="2"/>
        <v>416683</v>
      </c>
      <c r="I49" s="1768">
        <f t="shared" si="2"/>
        <v>4775440</v>
      </c>
      <c r="J49" s="1768">
        <f t="shared" si="2"/>
        <v>4756533</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05" t="s">
        <v>604</v>
      </c>
      <c r="C52" s="2206"/>
      <c r="D52" s="2206"/>
      <c r="E52" s="750" t="s">
        <v>899</v>
      </c>
      <c r="F52" s="2207" t="s">
        <v>2096</v>
      </c>
      <c r="G52" s="2208"/>
      <c r="H52" s="737"/>
      <c r="I52" s="737"/>
      <c r="J52" s="747"/>
    </row>
    <row r="53" spans="1:11" ht="11.25" customHeight="1" x14ac:dyDescent="0.2">
      <c r="A53" s="751" t="s">
        <v>968</v>
      </c>
      <c r="B53" s="752" t="s">
        <v>1007</v>
      </c>
      <c r="C53" s="747"/>
      <c r="D53" s="738"/>
      <c r="E53" s="750" t="s">
        <v>517</v>
      </c>
      <c r="F53" s="2209"/>
      <c r="G53" s="2210"/>
      <c r="H53" s="737"/>
      <c r="I53" s="737"/>
      <c r="J53" s="747"/>
    </row>
    <row r="54" spans="1:11" ht="11.25" customHeight="1" x14ac:dyDescent="0.2">
      <c r="A54" s="753" t="s">
        <v>969</v>
      </c>
      <c r="B54" s="748" t="s">
        <v>1008</v>
      </c>
      <c r="C54" s="747"/>
      <c r="D54" s="738"/>
      <c r="E54" s="750" t="s">
        <v>518</v>
      </c>
      <c r="F54" s="2209"/>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6"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910</v>
      </c>
      <c r="B1" s="2235"/>
      <c r="C1" s="2235"/>
      <c r="D1" s="2235"/>
      <c r="E1" s="2235"/>
      <c r="F1" s="2235"/>
      <c r="G1" s="2236"/>
      <c r="H1" s="1545"/>
      <c r="I1" s="761"/>
      <c r="J1" s="433"/>
    </row>
    <row r="2" spans="1:11" ht="26.25" x14ac:dyDescent="0.2">
      <c r="A2" s="2253" t="s">
        <v>1775</v>
      </c>
      <c r="B2" s="2254"/>
      <c r="C2" s="2254"/>
      <c r="D2" s="2254"/>
      <c r="E2" s="2255"/>
      <c r="F2" s="762" t="s">
        <v>959</v>
      </c>
      <c r="G2" s="763" t="s">
        <v>1772</v>
      </c>
      <c r="H2" s="763" t="s">
        <v>429</v>
      </c>
      <c r="I2" s="763" t="s">
        <v>1219</v>
      </c>
      <c r="J2" s="763" t="s">
        <v>1916</v>
      </c>
      <c r="K2" s="763" t="s">
        <v>140</v>
      </c>
    </row>
    <row r="3" spans="1:11" x14ac:dyDescent="0.2">
      <c r="A3" s="2256" t="s">
        <v>1697</v>
      </c>
      <c r="B3" s="2257"/>
      <c r="C3" s="2257"/>
      <c r="D3" s="2257"/>
      <c r="E3" s="2258"/>
      <c r="F3" s="764"/>
      <c r="G3" s="765"/>
      <c r="H3" s="765">
        <v>46030</v>
      </c>
      <c r="I3" s="765"/>
      <c r="J3" s="766"/>
      <c r="K3" s="766"/>
    </row>
    <row r="4" spans="1:11" x14ac:dyDescent="0.2">
      <c r="A4" s="2259" t="s">
        <v>386</v>
      </c>
      <c r="B4" s="2260"/>
      <c r="C4" s="2260"/>
      <c r="D4" s="2260"/>
      <c r="E4" s="2206"/>
      <c r="F4" s="767"/>
      <c r="G4" s="768"/>
      <c r="H4" s="769"/>
      <c r="I4" s="768"/>
      <c r="J4" s="770"/>
      <c r="K4" s="770"/>
    </row>
    <row r="5" spans="1:11" x14ac:dyDescent="0.2">
      <c r="A5" s="2237" t="s">
        <v>1128</v>
      </c>
      <c r="B5" s="2238"/>
      <c r="C5" s="2238"/>
      <c r="D5" s="2238"/>
      <c r="E5" s="2239"/>
      <c r="F5" s="771" t="s">
        <v>902</v>
      </c>
      <c r="G5" s="772"/>
      <c r="H5" s="765">
        <v>20495</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37" t="s">
        <v>1917</v>
      </c>
      <c r="B10" s="2238"/>
      <c r="C10" s="2238"/>
      <c r="D10" s="2238"/>
      <c r="E10" s="2240"/>
      <c r="F10" s="784" t="s">
        <v>916</v>
      </c>
      <c r="G10" s="783"/>
      <c r="H10" s="785"/>
      <c r="I10" s="765"/>
      <c r="J10" s="766"/>
      <c r="K10" s="766"/>
    </row>
    <row r="11" spans="1:11" x14ac:dyDescent="0.2">
      <c r="A11" s="2237" t="s">
        <v>162</v>
      </c>
      <c r="B11" s="2238"/>
      <c r="C11" s="2238"/>
      <c r="D11" s="2238"/>
      <c r="E11" s="2239"/>
      <c r="F11" s="771" t="s">
        <v>906</v>
      </c>
      <c r="G11" s="772"/>
      <c r="H11" s="765"/>
      <c r="I11" s="765"/>
      <c r="J11" s="766"/>
      <c r="K11" s="774"/>
    </row>
    <row r="12" spans="1:11" ht="13.5" thickBot="1" x14ac:dyDescent="0.25">
      <c r="A12" s="2264" t="s">
        <v>960</v>
      </c>
      <c r="B12" s="2265"/>
      <c r="C12" s="2265"/>
      <c r="D12" s="2265"/>
      <c r="E12" s="2266"/>
      <c r="F12" s="1769"/>
      <c r="G12" s="1770">
        <f>SUM(G5:G11)</f>
        <v>0</v>
      </c>
      <c r="H12" s="1770">
        <f>SUM(H5:H11)</f>
        <v>20495</v>
      </c>
      <c r="I12" s="1770">
        <f>SUM(I5:I11)</f>
        <v>0</v>
      </c>
      <c r="J12" s="1770">
        <f>SUM(J5:J11)</f>
        <v>0</v>
      </c>
      <c r="K12" s="1770">
        <f>SUM(K5:K11)</f>
        <v>0</v>
      </c>
    </row>
    <row r="13" spans="1:11" ht="13.5" thickTop="1" x14ac:dyDescent="0.2">
      <c r="A13" s="2261" t="s">
        <v>387</v>
      </c>
      <c r="B13" s="2262"/>
      <c r="C13" s="2262"/>
      <c r="D13" s="2262"/>
      <c r="E13" s="2263"/>
      <c r="F13" s="786"/>
      <c r="G13" s="787"/>
      <c r="H13" s="788"/>
      <c r="I13" s="789"/>
      <c r="J13" s="789"/>
      <c r="K13" s="789"/>
    </row>
    <row r="14" spans="1:11" x14ac:dyDescent="0.2">
      <c r="A14" s="2244" t="s">
        <v>475</v>
      </c>
      <c r="B14" s="2244"/>
      <c r="C14" s="2244"/>
      <c r="D14" s="2244"/>
      <c r="E14" s="2245"/>
      <c r="F14" s="790" t="s">
        <v>908</v>
      </c>
      <c r="G14" s="783"/>
      <c r="H14" s="765">
        <v>20932</v>
      </c>
      <c r="I14" s="772"/>
      <c r="J14" s="774"/>
      <c r="K14" s="766"/>
    </row>
    <row r="15" spans="1:11" x14ac:dyDescent="0.2">
      <c r="A15" s="2238" t="s">
        <v>4</v>
      </c>
      <c r="B15" s="2238"/>
      <c r="C15" s="2238"/>
      <c r="D15" s="2238"/>
      <c r="E15" s="2239"/>
      <c r="F15" s="790" t="s">
        <v>909</v>
      </c>
      <c r="G15" s="772"/>
      <c r="H15" s="765"/>
      <c r="I15" s="765"/>
      <c r="J15" s="766"/>
      <c r="K15" s="766"/>
    </row>
    <row r="16" spans="1:11" x14ac:dyDescent="0.2">
      <c r="A16" s="2238" t="s">
        <v>315</v>
      </c>
      <c r="B16" s="2238"/>
      <c r="C16" s="2238"/>
      <c r="D16" s="2238"/>
      <c r="E16" s="2239"/>
      <c r="F16" s="790" t="s">
        <v>979</v>
      </c>
      <c r="G16" s="773"/>
      <c r="H16" s="768"/>
      <c r="I16" s="768"/>
      <c r="J16" s="770"/>
      <c r="K16" s="770"/>
    </row>
    <row r="17" spans="1:11" x14ac:dyDescent="0.2">
      <c r="A17" s="2269" t="s">
        <v>991</v>
      </c>
      <c r="B17" s="2269"/>
      <c r="C17" s="2269"/>
      <c r="D17" s="2269"/>
      <c r="E17" s="2270"/>
      <c r="F17" s="791"/>
      <c r="G17" s="792"/>
      <c r="H17" s="793"/>
      <c r="I17" s="793"/>
      <c r="J17" s="794"/>
      <c r="K17" s="795"/>
    </row>
    <row r="18" spans="1:11" x14ac:dyDescent="0.2">
      <c r="A18" s="2248" t="s">
        <v>385</v>
      </c>
      <c r="B18" s="2249"/>
      <c r="C18" s="2249"/>
      <c r="D18" s="2249"/>
      <c r="E18" s="2250"/>
      <c r="F18" s="790" t="s">
        <v>988</v>
      </c>
      <c r="G18" s="783"/>
      <c r="H18" s="783"/>
      <c r="I18" s="783"/>
      <c r="J18" s="766"/>
      <c r="K18" s="796"/>
    </row>
    <row r="19" spans="1:11" ht="21.75" customHeight="1" x14ac:dyDescent="0.2">
      <c r="A19" s="2246" t="s">
        <v>1913</v>
      </c>
      <c r="B19" s="2246"/>
      <c r="C19" s="2246"/>
      <c r="D19" s="2246"/>
      <c r="E19" s="2247"/>
      <c r="F19" s="790" t="s">
        <v>989</v>
      </c>
      <c r="G19" s="783"/>
      <c r="H19" s="783"/>
      <c r="I19" s="783"/>
      <c r="J19" s="766"/>
      <c r="K19" s="796"/>
    </row>
    <row r="20" spans="1:11" x14ac:dyDescent="0.2">
      <c r="A20" s="2248" t="s">
        <v>1918</v>
      </c>
      <c r="B20" s="2249"/>
      <c r="C20" s="2249"/>
      <c r="D20" s="2249"/>
      <c r="E20" s="2250"/>
      <c r="F20" s="790" t="s">
        <v>990</v>
      </c>
      <c r="G20" s="783"/>
      <c r="H20" s="783"/>
      <c r="I20" s="783"/>
      <c r="J20" s="766"/>
      <c r="K20" s="796"/>
    </row>
    <row r="21" spans="1:11" ht="13.5" thickBot="1" x14ac:dyDescent="0.25">
      <c r="A21" s="2267" t="s">
        <v>658</v>
      </c>
      <c r="B21" s="2267"/>
      <c r="C21" s="2267"/>
      <c r="D21" s="2267"/>
      <c r="E21" s="2267"/>
      <c r="F21" s="1771"/>
      <c r="G21" s="793"/>
      <c r="H21" s="797"/>
      <c r="I21" s="797"/>
      <c r="J21" s="1772">
        <f>SUM(J18:J20)</f>
        <v>0</v>
      </c>
      <c r="K21" s="794"/>
    </row>
    <row r="22" spans="1:11" ht="13.5" thickTop="1" x14ac:dyDescent="0.2">
      <c r="A22" s="2238" t="s">
        <v>1919</v>
      </c>
      <c r="B22" s="2238"/>
      <c r="C22" s="2238"/>
      <c r="D22" s="2238"/>
      <c r="E22" s="2239"/>
      <c r="F22" s="790" t="s">
        <v>916</v>
      </c>
      <c r="G22" s="783"/>
      <c r="H22" s="765"/>
      <c r="I22" s="765"/>
      <c r="J22" s="798"/>
      <c r="K22" s="766"/>
    </row>
    <row r="23" spans="1:11" ht="13.5" thickBot="1" x14ac:dyDescent="0.25">
      <c r="A23" s="2268" t="s">
        <v>961</v>
      </c>
      <c r="B23" s="2267"/>
      <c r="C23" s="2267"/>
      <c r="D23" s="2267"/>
      <c r="E23" s="2267"/>
      <c r="F23" s="1773"/>
      <c r="G23" s="1770">
        <f>SUM(G14:G16,G21,G22)</f>
        <v>0</v>
      </c>
      <c r="H23" s="1770">
        <f>SUM(H14:H16,H21,H22)</f>
        <v>20932</v>
      </c>
      <c r="I23" s="1770">
        <f>SUM(I14:I16,I21,I22)</f>
        <v>0</v>
      </c>
      <c r="J23" s="1770">
        <f>SUM(J14:J16,J21,J22)</f>
        <v>0</v>
      </c>
      <c r="K23" s="1770">
        <f>SUM(K14:K16,K21,K22)</f>
        <v>0</v>
      </c>
    </row>
    <row r="24" spans="1:11" ht="14.25" thickTop="1" thickBot="1" x14ac:dyDescent="0.25">
      <c r="A24" s="2268" t="s">
        <v>2021</v>
      </c>
      <c r="B24" s="2267"/>
      <c r="C24" s="2267"/>
      <c r="D24" s="2267"/>
      <c r="E24" s="2267"/>
      <c r="F24" s="1774"/>
      <c r="G24" s="1775">
        <f>SUM(G3,G12)-G23</f>
        <v>0</v>
      </c>
      <c r="H24" s="1775">
        <f>SUM(H3,H12)-H23</f>
        <v>45593</v>
      </c>
      <c r="I24" s="1775">
        <f>SUM(I3,I12)-I23</f>
        <v>0</v>
      </c>
      <c r="J24" s="1775">
        <f>SUM(J3,J12)-J23</f>
        <v>0</v>
      </c>
      <c r="K24" s="1775">
        <f>SUM(K3,K12)-K23</f>
        <v>0</v>
      </c>
    </row>
    <row r="25" spans="1:11" ht="13.5" thickTop="1" x14ac:dyDescent="0.2">
      <c r="A25" s="799" t="s">
        <v>439</v>
      </c>
      <c r="B25" s="800"/>
      <c r="C25" s="800"/>
      <c r="D25" s="800"/>
      <c r="E25" s="801"/>
      <c r="F25" s="802">
        <v>714</v>
      </c>
      <c r="G25" s="803"/>
      <c r="H25" s="803">
        <v>45593</v>
      </c>
      <c r="I25" s="803"/>
      <c r="J25" s="798"/>
      <c r="K25" s="798"/>
    </row>
    <row r="26" spans="1:11" ht="13.5" thickBot="1" x14ac:dyDescent="0.25">
      <c r="A26" s="799" t="s">
        <v>359</v>
      </c>
      <c r="B26" s="800"/>
      <c r="C26" s="800"/>
      <c r="D26" s="800"/>
      <c r="E26" s="801"/>
      <c r="F26" s="802">
        <v>730</v>
      </c>
      <c r="G26" s="1770">
        <f>G24-G25</f>
        <v>0</v>
      </c>
      <c r="H26" s="1770">
        <f>H24-H25</f>
        <v>0</v>
      </c>
      <c r="I26" s="1770">
        <f>I24-I25</f>
        <v>0</v>
      </c>
      <c r="J26" s="1770">
        <f>J24-J25</f>
        <v>0</v>
      </c>
      <c r="K26" s="1770">
        <f>K24-K25</f>
        <v>0</v>
      </c>
    </row>
    <row r="27" spans="1:11" ht="5.25" customHeight="1" thickTop="1" x14ac:dyDescent="0.2">
      <c r="I27" s="202"/>
      <c r="J27" s="202"/>
    </row>
    <row r="28" spans="1:11" ht="29.25" customHeight="1" x14ac:dyDescent="0.2">
      <c r="A28" s="1892" t="s">
        <v>2031</v>
      </c>
      <c r="B28" s="1893"/>
      <c r="C28" s="1893"/>
      <c r="D28" s="1893"/>
      <c r="E28" s="1894"/>
      <c r="F28" s="804"/>
      <c r="G28" s="805"/>
    </row>
    <row r="29" spans="1:11" x14ac:dyDescent="0.2">
      <c r="B29" s="501"/>
      <c r="C29" s="501"/>
      <c r="D29" s="501"/>
      <c r="F29" s="202"/>
      <c r="G29" s="806"/>
    </row>
    <row r="30" spans="1:11" x14ac:dyDescent="0.2">
      <c r="A30" s="807" t="s">
        <v>592</v>
      </c>
      <c r="B30" s="808"/>
      <c r="C30" s="807" t="s">
        <v>400</v>
      </c>
      <c r="D30" s="808" t="s">
        <v>2074</v>
      </c>
      <c r="E30" s="809" t="s">
        <v>791</v>
      </c>
      <c r="F30" s="202"/>
      <c r="G30" s="806"/>
    </row>
    <row r="31" spans="1:11" x14ac:dyDescent="0.2">
      <c r="A31" s="810"/>
      <c r="D31" s="237"/>
      <c r="E31" s="811" t="s">
        <v>792</v>
      </c>
      <c r="F31" s="812" t="s">
        <v>559</v>
      </c>
      <c r="G31" s="765"/>
      <c r="H31" s="2241"/>
      <c r="I31" s="2242"/>
      <c r="J31" s="2242"/>
      <c r="K31" s="2242"/>
    </row>
    <row r="32" spans="1:11" x14ac:dyDescent="0.2">
      <c r="A32" s="810"/>
      <c r="B32" s="237"/>
      <c r="C32" s="237"/>
      <c r="D32" s="237"/>
      <c r="E32" s="806"/>
      <c r="F32" s="812" t="s">
        <v>560</v>
      </c>
      <c r="G32" s="765"/>
      <c r="H32" s="2243"/>
      <c r="I32" s="2242"/>
      <c r="J32" s="2242"/>
      <c r="K32" s="2242"/>
    </row>
    <row r="33" spans="1:11" ht="1.5" customHeight="1" x14ac:dyDescent="0.2">
      <c r="A33" s="813" t="s">
        <v>1230</v>
      </c>
      <c r="B33" s="364"/>
      <c r="C33" s="364"/>
      <c r="D33" s="364"/>
      <c r="E33" s="364"/>
      <c r="F33" s="364"/>
      <c r="G33" s="814"/>
      <c r="H33" s="2243"/>
      <c r="I33" s="2242"/>
      <c r="J33" s="2242"/>
      <c r="K33" s="2242"/>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8" t="s">
        <v>561</v>
      </c>
      <c r="B41" s="2251"/>
      <c r="C41" s="2251"/>
      <c r="D41" s="2251"/>
      <c r="E41" s="2251"/>
      <c r="F41" s="225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6" t="s">
        <v>1914</v>
      </c>
      <c r="B46" s="408" t="s">
        <v>1773</v>
      </c>
    </row>
    <row r="47" spans="1:11" s="824" customFormat="1" ht="12.75" customHeight="1" x14ac:dyDescent="0.2">
      <c r="A47" s="822"/>
      <c r="B47" s="823" t="s">
        <v>1774</v>
      </c>
      <c r="E47" s="823"/>
      <c r="K47" s="825"/>
    </row>
    <row r="48" spans="1:11" ht="12.75" customHeight="1" x14ac:dyDescent="0.2">
      <c r="A48" s="1547"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67"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2" sqref="J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2030</v>
      </c>
      <c r="B1" s="2274"/>
      <c r="C1" s="2275"/>
      <c r="D1" s="827"/>
      <c r="E1" s="828"/>
      <c r="F1" s="828"/>
      <c r="G1" s="829"/>
      <c r="H1" s="830"/>
      <c r="I1" s="831"/>
      <c r="J1" s="2271"/>
      <c r="K1" s="2272"/>
      <c r="L1" s="2272"/>
    </row>
    <row r="2" spans="1:14" ht="69.75" customHeight="1" x14ac:dyDescent="0.2">
      <c r="A2" s="832" t="s">
        <v>1776</v>
      </c>
      <c r="B2" s="833" t="s">
        <v>395</v>
      </c>
      <c r="C2" s="834" t="s">
        <v>2025</v>
      </c>
      <c r="D2" s="834" t="s">
        <v>2022</v>
      </c>
      <c r="E2" s="834" t="s">
        <v>2023</v>
      </c>
      <c r="F2" s="834" t="s">
        <v>2024</v>
      </c>
      <c r="G2" s="834" t="s">
        <v>625</v>
      </c>
      <c r="H2" s="834" t="s">
        <v>2026</v>
      </c>
      <c r="I2" s="834" t="s">
        <v>2027</v>
      </c>
      <c r="J2" s="834" t="s">
        <v>2042</v>
      </c>
      <c r="K2" s="834" t="s">
        <v>2028</v>
      </c>
      <c r="L2" s="834" t="s">
        <v>2029</v>
      </c>
      <c r="M2" s="835"/>
      <c r="N2" s="835"/>
    </row>
    <row r="3" spans="1:14" ht="13.5" thickBot="1" x14ac:dyDescent="0.25">
      <c r="A3" s="1644" t="s">
        <v>947</v>
      </c>
      <c r="B3" s="1645">
        <v>210</v>
      </c>
      <c r="C3" s="836"/>
      <c r="D3" s="836"/>
      <c r="E3" s="836"/>
      <c r="F3" s="1772">
        <f>(C3+D3)-E3</f>
        <v>0</v>
      </c>
      <c r="G3" s="837"/>
      <c r="H3" s="836"/>
      <c r="I3" s="836"/>
      <c r="J3" s="836"/>
      <c r="K3" s="1781">
        <f>(H3+I3)-J3</f>
        <v>0</v>
      </c>
      <c r="L3" s="1781">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948</v>
      </c>
      <c r="B5" s="841">
        <v>221</v>
      </c>
      <c r="C5" s="842">
        <v>26346</v>
      </c>
      <c r="D5" s="842"/>
      <c r="E5" s="842"/>
      <c r="F5" s="1772">
        <f>(C5+D5)-E5</f>
        <v>26346</v>
      </c>
      <c r="G5" s="838"/>
      <c r="H5" s="843"/>
      <c r="I5" s="843"/>
      <c r="J5" s="843"/>
      <c r="K5" s="794"/>
      <c r="L5" s="1781">
        <f>F5-K5</f>
        <v>26346</v>
      </c>
    </row>
    <row r="6" spans="1:14" ht="14.25" thickTop="1" thickBot="1" x14ac:dyDescent="0.25">
      <c r="A6" s="779" t="s">
        <v>1178</v>
      </c>
      <c r="B6" s="841">
        <v>222</v>
      </c>
      <c r="C6" s="766"/>
      <c r="D6" s="766"/>
      <c r="E6" s="766"/>
      <c r="F6" s="1772">
        <f>(C6+D6)-E6</f>
        <v>0</v>
      </c>
      <c r="G6" s="838">
        <v>50</v>
      </c>
      <c r="H6" s="766"/>
      <c r="I6" s="766"/>
      <c r="J6" s="766"/>
      <c r="K6" s="1781">
        <f>(H6+I6)-J6</f>
        <v>0</v>
      </c>
      <c r="L6" s="1781">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1179</v>
      </c>
      <c r="B8" s="841">
        <v>231</v>
      </c>
      <c r="C8" s="845">
        <v>11792428</v>
      </c>
      <c r="D8" s="845">
        <v>2522323</v>
      </c>
      <c r="E8" s="845"/>
      <c r="F8" s="1772">
        <f>(C8+D8)-E8</f>
        <v>14314751</v>
      </c>
      <c r="G8" s="844">
        <v>50</v>
      </c>
      <c r="H8" s="766">
        <v>7579005</v>
      </c>
      <c r="I8" s="766">
        <v>182559</v>
      </c>
      <c r="J8" s="766"/>
      <c r="K8" s="1781">
        <f>(H8+I8)-J8</f>
        <v>7761564</v>
      </c>
      <c r="L8" s="1781">
        <f>F8-K8</f>
        <v>6553187</v>
      </c>
    </row>
    <row r="9" spans="1:14" ht="14.25" thickTop="1" thickBot="1" x14ac:dyDescent="0.25">
      <c r="A9" s="779" t="s">
        <v>1180</v>
      </c>
      <c r="B9" s="841">
        <v>232</v>
      </c>
      <c r="C9" s="766"/>
      <c r="D9" s="766"/>
      <c r="E9" s="766"/>
      <c r="F9" s="1772">
        <f>(C9+D9)-E9</f>
        <v>0</v>
      </c>
      <c r="G9" s="844">
        <v>20</v>
      </c>
      <c r="H9" s="766"/>
      <c r="I9" s="766"/>
      <c r="J9" s="766"/>
      <c r="K9" s="1781">
        <f>(H9+I9)-J9</f>
        <v>0</v>
      </c>
      <c r="L9" s="1781">
        <f>F9-K9</f>
        <v>0</v>
      </c>
    </row>
    <row r="10" spans="1:14" ht="24" thickTop="1" thickBot="1" x14ac:dyDescent="0.25">
      <c r="A10" s="846" t="s">
        <v>1181</v>
      </c>
      <c r="B10" s="841">
        <v>240</v>
      </c>
      <c r="C10" s="847"/>
      <c r="D10" s="847"/>
      <c r="E10" s="847"/>
      <c r="F10" s="1776">
        <f>(C10+D10)-E10</f>
        <v>0</v>
      </c>
      <c r="G10" s="844">
        <v>20</v>
      </c>
      <c r="H10" s="848"/>
      <c r="I10" s="848"/>
      <c r="J10" s="848"/>
      <c r="K10" s="1781">
        <f>(H10+I10)-J10</f>
        <v>0</v>
      </c>
      <c r="L10" s="1781">
        <f>F10-K10</f>
        <v>0</v>
      </c>
    </row>
    <row r="11" spans="1:14" ht="13.5" thickTop="1" x14ac:dyDescent="0.2">
      <c r="A11" s="1647" t="s">
        <v>1197</v>
      </c>
      <c r="B11" s="1645">
        <v>250</v>
      </c>
      <c r="C11" s="782"/>
      <c r="D11" s="782"/>
      <c r="E11" s="782"/>
      <c r="F11" s="774"/>
      <c r="G11" s="844"/>
      <c r="H11" s="782"/>
      <c r="I11" s="782"/>
      <c r="J11" s="782"/>
      <c r="K11" s="774"/>
      <c r="L11" s="774"/>
    </row>
    <row r="12" spans="1:14" ht="13.5" thickBot="1" x14ac:dyDescent="0.25">
      <c r="A12" s="849" t="s">
        <v>1182</v>
      </c>
      <c r="B12" s="841">
        <v>251</v>
      </c>
      <c r="C12" s="845">
        <v>3755501</v>
      </c>
      <c r="D12" s="845">
        <v>262673</v>
      </c>
      <c r="E12" s="845"/>
      <c r="F12" s="1772">
        <f>(C12+D12)-E12</f>
        <v>4018174</v>
      </c>
      <c r="G12" s="844">
        <v>10</v>
      </c>
      <c r="H12" s="766">
        <v>3466100</v>
      </c>
      <c r="I12" s="766">
        <v>161708</v>
      </c>
      <c r="J12" s="766"/>
      <c r="K12" s="1781">
        <f>(H12+I12)-J12</f>
        <v>3627808</v>
      </c>
      <c r="L12" s="1781">
        <f>F12-K12</f>
        <v>390366</v>
      </c>
    </row>
    <row r="13" spans="1:14" ht="14.25" thickTop="1" thickBot="1" x14ac:dyDescent="0.25">
      <c r="A13" s="849" t="s">
        <v>1183</v>
      </c>
      <c r="B13" s="841">
        <v>252</v>
      </c>
      <c r="C13" s="845"/>
      <c r="D13" s="845"/>
      <c r="E13" s="845"/>
      <c r="F13" s="1772">
        <f>(C13+D13)-E13</f>
        <v>0</v>
      </c>
      <c r="G13" s="844">
        <v>5</v>
      </c>
      <c r="H13" s="766"/>
      <c r="I13" s="766"/>
      <c r="J13" s="766"/>
      <c r="K13" s="1781">
        <f>(H13+I13)-J13</f>
        <v>0</v>
      </c>
      <c r="L13" s="1781">
        <f>F13-K13</f>
        <v>0</v>
      </c>
    </row>
    <row r="14" spans="1:14" ht="14.25" thickTop="1" thickBot="1" x14ac:dyDescent="0.25">
      <c r="A14" s="849" t="s">
        <v>1184</v>
      </c>
      <c r="B14" s="841">
        <v>253</v>
      </c>
      <c r="C14" s="766"/>
      <c r="D14" s="766"/>
      <c r="E14" s="766"/>
      <c r="F14" s="1772">
        <f>(C14+D14)-E14</f>
        <v>0</v>
      </c>
      <c r="G14" s="844">
        <v>3</v>
      </c>
      <c r="H14" s="766"/>
      <c r="I14" s="766"/>
      <c r="J14" s="766"/>
      <c r="K14" s="1781">
        <f>(H14+I14)-J14</f>
        <v>0</v>
      </c>
      <c r="L14" s="1781">
        <f>F14-K14</f>
        <v>0</v>
      </c>
    </row>
    <row r="15" spans="1:14" ht="15" customHeight="1" thickTop="1" thickBot="1" x14ac:dyDescent="0.25">
      <c r="A15" s="1646" t="s">
        <v>548</v>
      </c>
      <c r="B15" s="1645">
        <v>260</v>
      </c>
      <c r="C15" s="845"/>
      <c r="D15" s="845"/>
      <c r="E15" s="845"/>
      <c r="F15" s="1772">
        <f>(C15+D15)-E15</f>
        <v>0</v>
      </c>
      <c r="G15" s="850" t="s">
        <v>916</v>
      </c>
      <c r="H15" s="782"/>
      <c r="I15" s="782"/>
      <c r="J15" s="782"/>
      <c r="K15" s="782"/>
      <c r="L15" s="1781">
        <f>F15-K15</f>
        <v>0</v>
      </c>
    </row>
    <row r="16" spans="1:14" ht="15" customHeight="1" thickTop="1" thickBot="1" x14ac:dyDescent="0.25">
      <c r="A16" s="1777" t="s">
        <v>663</v>
      </c>
      <c r="B16" s="1778">
        <v>200</v>
      </c>
      <c r="C16" s="1772">
        <f>SUM(C3,C5:C6,C8:C10,C12:C15)</f>
        <v>15574275</v>
      </c>
      <c r="D16" s="1772">
        <f>SUM(D3,D5:D6,D8:D10,D12:D15)</f>
        <v>2784996</v>
      </c>
      <c r="E16" s="1772">
        <f>SUM(E3,E5:E6,E8:E10,E12:E15)</f>
        <v>0</v>
      </c>
      <c r="F16" s="1772">
        <f>SUM(F3,F5:F6,F8:F10,F12:F15)</f>
        <v>18359271</v>
      </c>
      <c r="G16" s="844"/>
      <c r="H16" s="1772">
        <f>SUM(H3,H6,H8:H10,H12:H14,)</f>
        <v>11045105</v>
      </c>
      <c r="I16" s="1772">
        <f>SUM(I3,I6,I8:I10,I12:I14,)</f>
        <v>344267</v>
      </c>
      <c r="J16" s="1772">
        <f>SUM(J3,J6,J8:J10,J12:J14,)</f>
        <v>0</v>
      </c>
      <c r="K16" s="1772">
        <f>(H16+I16)-J16</f>
        <v>11389372</v>
      </c>
      <c r="L16" s="1772">
        <f>F16-K16</f>
        <v>6969899</v>
      </c>
    </row>
    <row r="17" spans="1:12" ht="15" customHeight="1" thickTop="1" thickBot="1" x14ac:dyDescent="0.25">
      <c r="A17" s="1648" t="s">
        <v>308</v>
      </c>
      <c r="B17" s="1645">
        <v>700</v>
      </c>
      <c r="C17" s="770"/>
      <c r="D17" s="770"/>
      <c r="E17" s="770"/>
      <c r="F17" s="1772">
        <f>SUM('Expenditures 15-22'!I114,'Expenditures 15-22'!I151,'Expenditures 15-22'!I210,'Expenditures 15-22'!I312,'Expenditures 15-22'!I342,'Expenditures 15-22'!I367)</f>
        <v>758</v>
      </c>
      <c r="G17" s="838">
        <v>10</v>
      </c>
      <c r="H17" s="770"/>
      <c r="I17" s="1781">
        <f>F17/G17</f>
        <v>75.8</v>
      </c>
      <c r="J17" s="770"/>
      <c r="K17" s="796"/>
      <c r="L17" s="796"/>
    </row>
    <row r="18" spans="1:12" ht="14.25" thickTop="1" thickBot="1" x14ac:dyDescent="0.25">
      <c r="A18" s="1779" t="s">
        <v>705</v>
      </c>
      <c r="B18" s="1780"/>
      <c r="C18" s="772"/>
      <c r="D18" s="772"/>
      <c r="E18" s="772"/>
      <c r="F18" s="851"/>
      <c r="G18" s="852"/>
      <c r="H18" s="774"/>
      <c r="I18" s="1772">
        <f>SUM(I16,I17)</f>
        <v>344342.8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68"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497</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1">
        <f>'Expenditures 15-22'!K114</f>
        <v>5439435</v>
      </c>
      <c r="G8" s="866"/>
    </row>
    <row r="9" spans="1:7" x14ac:dyDescent="0.2">
      <c r="A9" s="870" t="s">
        <v>479</v>
      </c>
      <c r="B9" s="871" t="s">
        <v>1985</v>
      </c>
      <c r="C9" s="872"/>
      <c r="D9" s="870" t="s">
        <v>521</v>
      </c>
      <c r="E9" s="869"/>
      <c r="F9" s="1922">
        <f>'Expenditures 15-22'!K151</f>
        <v>529683</v>
      </c>
      <c r="G9" s="873"/>
    </row>
    <row r="10" spans="1:7" x14ac:dyDescent="0.2">
      <c r="A10" s="870" t="s">
        <v>519</v>
      </c>
      <c r="B10" s="871" t="s">
        <v>1986</v>
      </c>
      <c r="C10" s="872"/>
      <c r="D10" s="870" t="s">
        <v>521</v>
      </c>
      <c r="E10" s="869"/>
      <c r="F10" s="1922">
        <f>'Expenditures 15-22'!K174</f>
        <v>574328</v>
      </c>
      <c r="G10" s="873"/>
    </row>
    <row r="11" spans="1:7" x14ac:dyDescent="0.2">
      <c r="A11" s="870" t="s">
        <v>480</v>
      </c>
      <c r="B11" s="871" t="s">
        <v>1987</v>
      </c>
      <c r="C11" s="872"/>
      <c r="D11" s="870" t="s">
        <v>521</v>
      </c>
      <c r="E11" s="869"/>
      <c r="F11" s="1922">
        <f>'Expenditures 15-22'!K210</f>
        <v>143886</v>
      </c>
      <c r="G11" s="873"/>
    </row>
    <row r="12" spans="1:7" x14ac:dyDescent="0.2">
      <c r="A12" s="870" t="s">
        <v>481</v>
      </c>
      <c r="B12" s="871" t="s">
        <v>1988</v>
      </c>
      <c r="C12" s="872"/>
      <c r="D12" s="870" t="s">
        <v>521</v>
      </c>
      <c r="E12" s="869"/>
      <c r="F12" s="1922">
        <f>'Expenditures 15-22'!K295</f>
        <v>296691</v>
      </c>
      <c r="G12" s="873"/>
    </row>
    <row r="13" spans="1:7" x14ac:dyDescent="0.2">
      <c r="A13" s="870" t="s">
        <v>108</v>
      </c>
      <c r="B13" s="871" t="s">
        <v>1989</v>
      </c>
      <c r="C13" s="872"/>
      <c r="D13" s="870" t="s">
        <v>521</v>
      </c>
      <c r="E13" s="869"/>
      <c r="F13" s="1922">
        <f>'Expenditures 15-22'!K342</f>
        <v>328321</v>
      </c>
      <c r="G13" s="874"/>
    </row>
    <row r="14" spans="1:7" ht="12" customHeight="1" thickBot="1" x14ac:dyDescent="0.25">
      <c r="A14" s="1782"/>
      <c r="B14" s="1783"/>
      <c r="C14" s="1784"/>
      <c r="D14" s="1785" t="s">
        <v>521</v>
      </c>
      <c r="E14" s="1786" t="s">
        <v>1014</v>
      </c>
      <c r="F14" s="1787">
        <f>SUM(F8:F13)</f>
        <v>7312344</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3">
        <f>'Revenues 9-14'!F43</f>
        <v>0</v>
      </c>
      <c r="G18" s="866"/>
    </row>
    <row r="19" spans="1:7" x14ac:dyDescent="0.2">
      <c r="A19" s="870" t="s">
        <v>480</v>
      </c>
      <c r="B19" s="871" t="s">
        <v>1068</v>
      </c>
      <c r="C19" s="878">
        <f>'Revenues 9-14'!B47</f>
        <v>1421</v>
      </c>
      <c r="D19" s="879" t="str">
        <f>'Revenues 9-14'!A47</f>
        <v>Summer Sch - Transp. Fees from Pupils or Parents (In State)</v>
      </c>
      <c r="E19" s="880"/>
      <c r="F19" s="1924">
        <f>'Revenues 9-14'!F47</f>
        <v>0</v>
      </c>
      <c r="G19" s="866"/>
    </row>
    <row r="20" spans="1:7" x14ac:dyDescent="0.2">
      <c r="A20" s="870" t="s">
        <v>480</v>
      </c>
      <c r="B20" s="871" t="s">
        <v>1069</v>
      </c>
      <c r="C20" s="876">
        <f>'Revenues 9-14'!B48</f>
        <v>1422</v>
      </c>
      <c r="D20" s="877" t="str">
        <f>'Revenues 9-14'!A48</f>
        <v>Summer Sch - Transp. Fees from Other Districts (In State)</v>
      </c>
      <c r="E20" s="869"/>
      <c r="F20" s="1925">
        <f>'Revenues 9-14'!F48</f>
        <v>0</v>
      </c>
      <c r="G20" s="866"/>
    </row>
    <row r="21" spans="1:7" x14ac:dyDescent="0.2">
      <c r="A21" s="870" t="s">
        <v>480</v>
      </c>
      <c r="B21" s="871" t="s">
        <v>1070</v>
      </c>
      <c r="C21" s="878">
        <f>'Revenues 9-14'!B49</f>
        <v>1423</v>
      </c>
      <c r="D21" s="877" t="str">
        <f>'Revenues 9-14'!A49</f>
        <v>Summer Sch - Transp. Fees from Other Sources (In State)</v>
      </c>
      <c r="E21" s="869"/>
      <c r="F21" s="1926">
        <f>'Revenues 9-14'!F49</f>
        <v>0</v>
      </c>
      <c r="G21" s="866"/>
    </row>
    <row r="22" spans="1:7" x14ac:dyDescent="0.2">
      <c r="A22" s="870" t="s">
        <v>480</v>
      </c>
      <c r="B22" s="871" t="s">
        <v>1071</v>
      </c>
      <c r="C22" s="878">
        <f>'Revenues 9-14'!B50</f>
        <v>1424</v>
      </c>
      <c r="D22" s="877" t="str">
        <f>'Revenues 9-14'!A50</f>
        <v>Summer Sch - Transp. Fees from Other Sources (Out of State)</v>
      </c>
      <c r="E22" s="869"/>
      <c r="F22" s="1926">
        <f>'Revenues 9-14'!F50</f>
        <v>0</v>
      </c>
      <c r="G22" s="866"/>
    </row>
    <row r="23" spans="1:7" x14ac:dyDescent="0.2">
      <c r="A23" s="870" t="s">
        <v>480</v>
      </c>
      <c r="B23" s="871" t="s">
        <v>1072</v>
      </c>
      <c r="C23" s="876">
        <f>'Revenues 9-14'!B52</f>
        <v>1432</v>
      </c>
      <c r="D23" s="877" t="str">
        <f>'Revenues 9-14'!A52</f>
        <v>CTE - Transp Fees from Other Districts (In State)</v>
      </c>
      <c r="E23" s="869"/>
      <c r="F23" s="1926">
        <f>'Revenues 9-14'!F52</f>
        <v>0</v>
      </c>
      <c r="G23" s="866"/>
    </row>
    <row r="24" spans="1:7" x14ac:dyDescent="0.2">
      <c r="A24" s="870" t="s">
        <v>480</v>
      </c>
      <c r="B24" s="871" t="s">
        <v>1073</v>
      </c>
      <c r="C24" s="876">
        <f>'Revenues 9-14'!B56</f>
        <v>1442</v>
      </c>
      <c r="D24" s="877" t="str">
        <f>'Revenues 9-14'!A56</f>
        <v>Special Ed - Transp Fees from Other Districts (In State)</v>
      </c>
      <c r="E24" s="869"/>
      <c r="F24" s="1926">
        <f>'Revenues 9-14'!F56</f>
        <v>0</v>
      </c>
      <c r="G24" s="866"/>
    </row>
    <row r="25" spans="1:7" x14ac:dyDescent="0.2">
      <c r="A25" s="870" t="s">
        <v>480</v>
      </c>
      <c r="B25" s="871" t="s">
        <v>1074</v>
      </c>
      <c r="C25" s="876">
        <f>'Revenues 9-14'!B59</f>
        <v>1451</v>
      </c>
      <c r="D25" s="877" t="str">
        <f>'Revenues 9-14'!A59</f>
        <v>Adult - Transp Fees from Pupils or Parents (In State)</v>
      </c>
      <c r="E25" s="869"/>
      <c r="F25" s="1926">
        <f>'Revenues 9-14'!F59</f>
        <v>0</v>
      </c>
      <c r="G25" s="866"/>
    </row>
    <row r="26" spans="1:7" x14ac:dyDescent="0.2">
      <c r="A26" s="870" t="s">
        <v>480</v>
      </c>
      <c r="B26" s="871" t="s">
        <v>1075</v>
      </c>
      <c r="C26" s="876">
        <f>'Revenues 9-14'!B60</f>
        <v>1452</v>
      </c>
      <c r="D26" s="877" t="str">
        <f>'Revenues 9-14'!A60</f>
        <v>Adult - Transp Fees from Other Districts (In State)</v>
      </c>
      <c r="E26" s="869"/>
      <c r="F26" s="1926">
        <f>'Revenues 9-14'!F60</f>
        <v>0</v>
      </c>
      <c r="G26" s="866"/>
    </row>
    <row r="27" spans="1:7" x14ac:dyDescent="0.2">
      <c r="A27" s="870" t="s">
        <v>480</v>
      </c>
      <c r="B27" s="871" t="s">
        <v>1076</v>
      </c>
      <c r="C27" s="876">
        <f>'Revenues 9-14'!B61</f>
        <v>1453</v>
      </c>
      <c r="D27" s="877" t="str">
        <f>'Revenues 9-14'!A61</f>
        <v>Adult - Transp Fees from Other Sources (In State)</v>
      </c>
      <c r="E27" s="869"/>
      <c r="F27" s="1926">
        <f>'Revenues 9-14'!F61</f>
        <v>0</v>
      </c>
      <c r="G27" s="866"/>
    </row>
    <row r="28" spans="1:7" x14ac:dyDescent="0.2">
      <c r="A28" s="870" t="s">
        <v>480</v>
      </c>
      <c r="B28" s="871" t="s">
        <v>1077</v>
      </c>
      <c r="C28" s="876">
        <f>'Revenues 9-14'!B62</f>
        <v>1454</v>
      </c>
      <c r="D28" s="877" t="str">
        <f>'Revenues 9-14'!A62</f>
        <v>Adult - Transp Fees from Other Sources (Out of State)</v>
      </c>
      <c r="E28" s="869"/>
      <c r="F28" s="1926">
        <f>'Revenues 9-14'!F62</f>
        <v>0</v>
      </c>
      <c r="G28" s="866"/>
    </row>
    <row r="29" spans="1:7" x14ac:dyDescent="0.2">
      <c r="A29" s="870" t="s">
        <v>1158</v>
      </c>
      <c r="B29" s="871" t="s">
        <v>1682</v>
      </c>
      <c r="C29" s="881">
        <f>'Revenues 9-14'!B148</f>
        <v>3410</v>
      </c>
      <c r="D29" s="882" t="str">
        <f>'Revenues 9-14'!A148</f>
        <v>Adult Ed (from ICCB)</v>
      </c>
      <c r="E29" s="869"/>
      <c r="F29" s="1926">
        <f>SUM('Revenues 9-14'!D148,F149)</f>
        <v>0</v>
      </c>
      <c r="G29" s="866"/>
    </row>
    <row r="30" spans="1:7" x14ac:dyDescent="0.2">
      <c r="A30" s="870" t="s">
        <v>1158</v>
      </c>
      <c r="B30" s="871" t="s">
        <v>860</v>
      </c>
      <c r="C30" s="881">
        <f>'Revenues 9-14'!B149</f>
        <v>3499</v>
      </c>
      <c r="D30" s="882" t="str">
        <f>'Revenues 9-14'!A149</f>
        <v>Adult Ed - Other (Describe &amp; Itemize)</v>
      </c>
      <c r="E30" s="869"/>
      <c r="F30" s="1927">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26">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26">
        <f>SUM('Revenues 9-14'!D219,'Revenues 9-14'!F219)</f>
        <v>0</v>
      </c>
      <c r="G32" s="866"/>
    </row>
    <row r="33" spans="1:7" x14ac:dyDescent="0.2">
      <c r="A33" s="870" t="s">
        <v>479</v>
      </c>
      <c r="B33" s="871" t="s">
        <v>800</v>
      </c>
      <c r="C33" s="876">
        <f>'Revenues 9-14'!B229</f>
        <v>4810</v>
      </c>
      <c r="D33" s="884" t="str">
        <f>'Revenues 9-14'!A229</f>
        <v>Federal - Adult Education</v>
      </c>
      <c r="E33" s="869"/>
      <c r="F33" s="1926">
        <f>'Revenues 9-14'!D229</f>
        <v>0</v>
      </c>
      <c r="G33" s="866"/>
    </row>
    <row r="34" spans="1:7" x14ac:dyDescent="0.2">
      <c r="A34" s="870" t="s">
        <v>478</v>
      </c>
      <c r="B34" s="870" t="s">
        <v>1544</v>
      </c>
      <c r="C34" s="887" t="str">
        <f>'Expenditures 15-22'!B7</f>
        <v>1125</v>
      </c>
      <c r="D34" s="888" t="str">
        <f>'Expenditures 15-22'!A7</f>
        <v>Pre-K Programs</v>
      </c>
      <c r="E34" s="869"/>
      <c r="F34" s="1926">
        <f>'Expenditures 15-22'!K7-SUM('Expenditures 15-22'!G7,'Expenditures 15-22'!I7)</f>
        <v>240571</v>
      </c>
      <c r="G34" s="866"/>
    </row>
    <row r="35" spans="1:7" x14ac:dyDescent="0.2">
      <c r="A35" s="870" t="s">
        <v>478</v>
      </c>
      <c r="B35" s="870" t="s">
        <v>1545</v>
      </c>
      <c r="C35" s="887" t="str">
        <f>'Expenditures 15-22'!B9</f>
        <v>1225</v>
      </c>
      <c r="D35" s="888" t="str">
        <f>'Expenditures 15-22'!A9</f>
        <v>Special Education Programs Pre-K</v>
      </c>
      <c r="E35" s="869"/>
      <c r="F35" s="1926">
        <f>'Expenditures 15-22'!K9-SUM('Expenditures 15-22'!G9+'Expenditures 15-22'!I9)</f>
        <v>88720</v>
      </c>
      <c r="G35" s="866"/>
    </row>
    <row r="36" spans="1:7" x14ac:dyDescent="0.2">
      <c r="A36" s="870" t="s">
        <v>478</v>
      </c>
      <c r="B36" s="870" t="s">
        <v>118</v>
      </c>
      <c r="C36" s="887" t="str">
        <f>'Expenditures 15-22'!B11</f>
        <v>1275</v>
      </c>
      <c r="D36" s="888" t="str">
        <f>'Expenditures 15-22'!A11</f>
        <v>Remedial and Supplemental Programs Pre-K</v>
      </c>
      <c r="E36" s="869"/>
      <c r="F36" s="1926">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26">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26">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26">
        <f>'Expenditures 15-22'!K20</f>
        <v>0</v>
      </c>
      <c r="G39" s="866"/>
    </row>
    <row r="40" spans="1:7" x14ac:dyDescent="0.2">
      <c r="A40" s="870" t="s">
        <v>478</v>
      </c>
      <c r="B40" s="870" t="s">
        <v>120</v>
      </c>
      <c r="C40" s="887" t="str">
        <f>'Expenditures 15-22'!B21</f>
        <v>1911</v>
      </c>
      <c r="D40" s="889" t="str">
        <f>'Expenditures 15-22'!A21</f>
        <v>Regular K-12 Programs - Private Tuition</v>
      </c>
      <c r="E40" s="869"/>
      <c r="F40" s="1926">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26">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26">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26">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26">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26">
        <f>'Expenditures 15-22'!K26</f>
        <v>0</v>
      </c>
      <c r="G45" s="866"/>
    </row>
    <row r="46" spans="1:7" x14ac:dyDescent="0.2">
      <c r="A46" s="870" t="s">
        <v>478</v>
      </c>
      <c r="B46" s="870" t="s">
        <v>126</v>
      </c>
      <c r="C46" s="887" t="str">
        <f>'Expenditures 15-22'!B27</f>
        <v>1917</v>
      </c>
      <c r="D46" s="889" t="str">
        <f>'Expenditures 15-22'!A27</f>
        <v>CTE Programs - Private Tuition</v>
      </c>
      <c r="E46" s="869"/>
      <c r="F46" s="1926">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26">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26">
        <f>'Expenditures 15-22'!K29</f>
        <v>0</v>
      </c>
      <c r="G48" s="866"/>
    </row>
    <row r="49" spans="1:7" x14ac:dyDescent="0.2">
      <c r="A49" s="870" t="s">
        <v>478</v>
      </c>
      <c r="B49" s="870" t="s">
        <v>129</v>
      </c>
      <c r="C49" s="887" t="str">
        <f>'Expenditures 15-22'!B30</f>
        <v>1920</v>
      </c>
      <c r="D49" s="889" t="str">
        <f>'Expenditures 15-22'!A30</f>
        <v>Gifted Programs - Private Tuition</v>
      </c>
      <c r="E49" s="869"/>
      <c r="F49" s="1926">
        <f>'Expenditures 15-22'!K30</f>
        <v>0</v>
      </c>
      <c r="G49" s="866"/>
    </row>
    <row r="50" spans="1:7" x14ac:dyDescent="0.2">
      <c r="A50" s="870" t="s">
        <v>478</v>
      </c>
      <c r="B50" s="870" t="s">
        <v>130</v>
      </c>
      <c r="C50" s="887" t="str">
        <f>'Expenditures 15-22'!B31</f>
        <v>1921</v>
      </c>
      <c r="D50" s="889" t="str">
        <f>'Expenditures 15-22'!A31</f>
        <v>Bilingual Programs - Private Tuition</v>
      </c>
      <c r="E50" s="869"/>
      <c r="F50" s="1926">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26">
        <f>'Expenditures 15-22'!K32</f>
        <v>0</v>
      </c>
      <c r="G51" s="866"/>
    </row>
    <row r="52" spans="1:7" x14ac:dyDescent="0.2">
      <c r="A52" s="870" t="s">
        <v>478</v>
      </c>
      <c r="B52" s="870" t="s">
        <v>1549</v>
      </c>
      <c r="C52" s="890" t="str">
        <f>'Expenditures 15-22'!B75</f>
        <v>3000</v>
      </c>
      <c r="D52" s="889" t="s">
        <v>468</v>
      </c>
      <c r="E52" s="869"/>
      <c r="F52" s="1926">
        <f>'Expenditures 15-22'!K75-SUM('Expenditures 15-22'!G75,'Expenditures 15-22'!I75)</f>
        <v>67033</v>
      </c>
      <c r="G52" s="866"/>
    </row>
    <row r="53" spans="1:7" x14ac:dyDescent="0.2">
      <c r="A53" s="870" t="s">
        <v>478</v>
      </c>
      <c r="B53" s="870" t="s">
        <v>1550</v>
      </c>
      <c r="C53" s="890">
        <f>'Expenditures 15-22'!B102</f>
        <v>4000</v>
      </c>
      <c r="D53" s="889" t="str">
        <f>'Expenditures 15-22'!A102</f>
        <v>Total Payments to Other Govt Units</v>
      </c>
      <c r="E53" s="869"/>
      <c r="F53" s="1926">
        <f>'Expenditures 15-22'!K102</f>
        <v>211936</v>
      </c>
      <c r="G53" s="866"/>
    </row>
    <row r="54" spans="1:7" x14ac:dyDescent="0.2">
      <c r="A54" s="870" t="s">
        <v>478</v>
      </c>
      <c r="B54" s="870" t="s">
        <v>1551</v>
      </c>
      <c r="C54" s="890" t="s">
        <v>1038</v>
      </c>
      <c r="D54" s="886" t="s">
        <v>1156</v>
      </c>
      <c r="E54" s="869"/>
      <c r="F54" s="1926">
        <f>'Expenditures 15-22'!G114</f>
        <v>17781</v>
      </c>
      <c r="G54" s="866"/>
    </row>
    <row r="55" spans="1:7" x14ac:dyDescent="0.2">
      <c r="A55" s="870" t="s">
        <v>478</v>
      </c>
      <c r="B55" s="870" t="s">
        <v>1552</v>
      </c>
      <c r="C55" s="890" t="s">
        <v>1038</v>
      </c>
      <c r="D55" s="886" t="s">
        <v>308</v>
      </c>
      <c r="E55" s="869"/>
      <c r="F55" s="1926">
        <f>'Expenditures 15-22'!I114</f>
        <v>0</v>
      </c>
      <c r="G55" s="866"/>
    </row>
    <row r="56" spans="1:7" x14ac:dyDescent="0.2">
      <c r="A56" s="870" t="s">
        <v>479</v>
      </c>
      <c r="B56" s="870" t="s">
        <v>1553</v>
      </c>
      <c r="C56" s="887" t="str">
        <f>'Expenditures 15-22'!B130</f>
        <v>3000</v>
      </c>
      <c r="D56" s="893" t="s">
        <v>468</v>
      </c>
      <c r="E56" s="869"/>
      <c r="F56" s="1926">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26">
        <f>'Expenditures 15-22'!K139</f>
        <v>0</v>
      </c>
      <c r="G57" s="866"/>
    </row>
    <row r="58" spans="1:7" x14ac:dyDescent="0.2">
      <c r="A58" s="870" t="s">
        <v>479</v>
      </c>
      <c r="B58" s="870" t="s">
        <v>1991</v>
      </c>
      <c r="C58" s="887" t="s">
        <v>1038</v>
      </c>
      <c r="D58" s="886" t="s">
        <v>1156</v>
      </c>
      <c r="E58" s="869"/>
      <c r="F58" s="1928">
        <f>'Expenditures 15-22'!G151</f>
        <v>2097</v>
      </c>
      <c r="G58" s="866"/>
    </row>
    <row r="59" spans="1:7" x14ac:dyDescent="0.2">
      <c r="A59" s="894" t="s">
        <v>479</v>
      </c>
      <c r="B59" s="857" t="s">
        <v>1992</v>
      </c>
      <c r="C59" s="895" t="s">
        <v>1038</v>
      </c>
      <c r="D59" s="857" t="s">
        <v>308</v>
      </c>
      <c r="F59" s="1929">
        <f>'Expenditures 15-22'!I151</f>
        <v>758</v>
      </c>
      <c r="G59" s="866"/>
    </row>
    <row r="60" spans="1:7" x14ac:dyDescent="0.2">
      <c r="A60" s="894" t="s">
        <v>519</v>
      </c>
      <c r="B60" s="857" t="s">
        <v>1993</v>
      </c>
      <c r="C60" s="895">
        <v>4000</v>
      </c>
      <c r="D60" s="857" t="s">
        <v>329</v>
      </c>
      <c r="F60" s="1927">
        <f>'Expenditures 15-22'!K160</f>
        <v>0</v>
      </c>
      <c r="G60" s="866"/>
    </row>
    <row r="61" spans="1:7" x14ac:dyDescent="0.2">
      <c r="A61" s="896" t="s">
        <v>519</v>
      </c>
      <c r="B61" s="896" t="s">
        <v>1994</v>
      </c>
      <c r="C61" s="897" t="str">
        <f>'Expenditures 15-22'!B170</f>
        <v>5300</v>
      </c>
      <c r="D61" s="898" t="s">
        <v>328</v>
      </c>
      <c r="E61" s="880"/>
      <c r="F61" s="1926">
        <f>'Expenditures 15-22'!K170</f>
        <v>416683</v>
      </c>
      <c r="G61" s="866"/>
    </row>
    <row r="62" spans="1:7" x14ac:dyDescent="0.2">
      <c r="A62" s="870" t="s">
        <v>480</v>
      </c>
      <c r="B62" s="870" t="s">
        <v>1995</v>
      </c>
      <c r="C62" s="887">
        <f>'Expenditures 15-22'!B185</f>
        <v>3000</v>
      </c>
      <c r="D62" s="877" t="s">
        <v>468</v>
      </c>
      <c r="E62" s="869"/>
      <c r="F62" s="1926">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26">
        <f>'Expenditures 15-22'!K196</f>
        <v>214</v>
      </c>
      <c r="G63" s="866"/>
    </row>
    <row r="64" spans="1:7" x14ac:dyDescent="0.2">
      <c r="A64" s="896" t="s">
        <v>480</v>
      </c>
      <c r="B64" s="896" t="s">
        <v>1997</v>
      </c>
      <c r="C64" s="897" t="str">
        <f>'Expenditures 15-22'!B206</f>
        <v>5300</v>
      </c>
      <c r="D64" s="893" t="s">
        <v>328</v>
      </c>
      <c r="E64" s="869"/>
      <c r="F64" s="1926">
        <f>'Expenditures 15-22'!K206</f>
        <v>0</v>
      </c>
      <c r="G64" s="866"/>
    </row>
    <row r="65" spans="1:8" x14ac:dyDescent="0.2">
      <c r="A65" s="870" t="s">
        <v>480</v>
      </c>
      <c r="B65" s="870" t="s">
        <v>1998</v>
      </c>
      <c r="C65" s="887" t="s">
        <v>1038</v>
      </c>
      <c r="D65" s="886" t="s">
        <v>1156</v>
      </c>
      <c r="E65" s="869"/>
      <c r="F65" s="1926">
        <f>'Expenditures 15-22'!G210</f>
        <v>51709</v>
      </c>
      <c r="G65" s="866"/>
    </row>
    <row r="66" spans="1:8" x14ac:dyDescent="0.2">
      <c r="A66" s="870" t="s">
        <v>480</v>
      </c>
      <c r="B66" s="870" t="s">
        <v>1999</v>
      </c>
      <c r="C66" s="887" t="s">
        <v>1038</v>
      </c>
      <c r="D66" s="886" t="s">
        <v>308</v>
      </c>
      <c r="E66" s="869"/>
      <c r="F66" s="1926">
        <f>'Expenditures 15-22'!I210</f>
        <v>0</v>
      </c>
      <c r="G66" s="866"/>
    </row>
    <row r="67" spans="1:8" x14ac:dyDescent="0.2">
      <c r="A67" s="870" t="s">
        <v>481</v>
      </c>
      <c r="B67" s="870" t="s">
        <v>2000</v>
      </c>
      <c r="C67" s="887" t="str">
        <f>'Expenditures 15-22'!B216</f>
        <v>1125</v>
      </c>
      <c r="D67" s="893" t="str">
        <f>'Expenditures 15-22'!A216</f>
        <v>Pre-K Programs</v>
      </c>
      <c r="E67" s="869"/>
      <c r="F67" s="1926">
        <f>'Expenditures 15-22'!K216</f>
        <v>14864</v>
      </c>
      <c r="G67" s="866"/>
    </row>
    <row r="68" spans="1:8" x14ac:dyDescent="0.2">
      <c r="A68" s="870" t="s">
        <v>481</v>
      </c>
      <c r="B68" s="870" t="s">
        <v>1554</v>
      </c>
      <c r="C68" s="887" t="str">
        <f>'Expenditures 15-22'!B218</f>
        <v>1225</v>
      </c>
      <c r="D68" s="893" t="str">
        <f>'Expenditures 15-22'!A218</f>
        <v>Special Education Programs - Pre-K</v>
      </c>
      <c r="E68" s="869"/>
      <c r="F68" s="1926">
        <f>'Expenditures 15-22'!K218</f>
        <v>6526</v>
      </c>
      <c r="G68" s="866"/>
    </row>
    <row r="69" spans="1:8" x14ac:dyDescent="0.2">
      <c r="A69" s="870" t="s">
        <v>481</v>
      </c>
      <c r="B69" s="870" t="s">
        <v>2001</v>
      </c>
      <c r="C69" s="887" t="str">
        <f>'Expenditures 15-22'!B220</f>
        <v>1275</v>
      </c>
      <c r="D69" s="893" t="str">
        <f>'Expenditures 15-22'!A220</f>
        <v>Remedial and Supplemental Programs - Pre-K</v>
      </c>
      <c r="E69" s="869"/>
      <c r="F69" s="1926">
        <f>'Expenditures 15-22'!K220</f>
        <v>0</v>
      </c>
      <c r="G69" s="866"/>
    </row>
    <row r="70" spans="1:8" x14ac:dyDescent="0.2">
      <c r="A70" s="870" t="s">
        <v>481</v>
      </c>
      <c r="B70" s="870" t="s">
        <v>2002</v>
      </c>
      <c r="C70" s="887">
        <f>'Expenditures 15-22'!B221</f>
        <v>1300</v>
      </c>
      <c r="D70" s="888" t="str">
        <f>'Expenditures 15-22'!A221</f>
        <v>Adult/Continuing Education Programs</v>
      </c>
      <c r="E70" s="869"/>
      <c r="F70" s="1926">
        <f>'Expenditures 15-22'!K221</f>
        <v>0</v>
      </c>
      <c r="G70" s="866"/>
    </row>
    <row r="71" spans="1:8" x14ac:dyDescent="0.2">
      <c r="A71" s="870" t="s">
        <v>481</v>
      </c>
      <c r="B71" s="870" t="s">
        <v>2003</v>
      </c>
      <c r="C71" s="887">
        <f>'Expenditures 15-22'!B224</f>
        <v>1600</v>
      </c>
      <c r="D71" s="888" t="str">
        <f>'Expenditures 15-22'!A224</f>
        <v>Summer School Programs</v>
      </c>
      <c r="E71" s="869"/>
      <c r="F71" s="1926">
        <f>'Expenditures 15-22'!K224</f>
        <v>0</v>
      </c>
      <c r="G71" s="866"/>
    </row>
    <row r="72" spans="1:8" x14ac:dyDescent="0.2">
      <c r="A72" s="870" t="s">
        <v>481</v>
      </c>
      <c r="B72" s="870" t="s">
        <v>2004</v>
      </c>
      <c r="C72" s="887">
        <f>'Expenditures 15-22'!B280</f>
        <v>3000</v>
      </c>
      <c r="D72" s="877" t="s">
        <v>468</v>
      </c>
      <c r="E72" s="869"/>
      <c r="F72" s="1926">
        <f>'Expenditures 15-22'!K280</f>
        <v>9559</v>
      </c>
      <c r="G72" s="866"/>
    </row>
    <row r="73" spans="1:8" x14ac:dyDescent="0.2">
      <c r="A73" s="870" t="s">
        <v>481</v>
      </c>
      <c r="B73" s="870" t="s">
        <v>2005</v>
      </c>
      <c r="C73" s="887" t="str">
        <f>'Expenditures 15-22'!B285</f>
        <v>4000</v>
      </c>
      <c r="D73" s="888" t="str">
        <f>'Expenditures 15-22'!A285</f>
        <v>Total Payments to Other Govt Units</v>
      </c>
      <c r="E73" s="869"/>
      <c r="F73" s="1926">
        <f>'Expenditures 15-22'!K285</f>
        <v>0</v>
      </c>
      <c r="G73" s="866"/>
    </row>
    <row r="74" spans="1:8" x14ac:dyDescent="0.2">
      <c r="A74" s="870" t="s">
        <v>455</v>
      </c>
      <c r="B74" s="870" t="s">
        <v>2006</v>
      </c>
      <c r="C74" s="887" t="s">
        <v>914</v>
      </c>
      <c r="D74" s="888" t="s">
        <v>1566</v>
      </c>
      <c r="E74" s="869"/>
      <c r="F74" s="1930">
        <f>'Expenditures 15-22'!K334</f>
        <v>0</v>
      </c>
      <c r="G74" s="866"/>
    </row>
    <row r="75" spans="1:8" ht="5.25" customHeight="1" x14ac:dyDescent="0.2">
      <c r="A75" s="866"/>
      <c r="B75" s="876"/>
      <c r="C75" s="876"/>
      <c r="D75" s="866"/>
      <c r="E75" s="869"/>
      <c r="F75" s="883"/>
      <c r="G75" s="868"/>
    </row>
    <row r="76" spans="1:8" ht="12" thickBot="1" x14ac:dyDescent="0.25">
      <c r="A76" s="1782"/>
      <c r="B76" s="1788"/>
      <c r="C76" s="1784"/>
      <c r="D76" s="1789" t="s">
        <v>2007</v>
      </c>
      <c r="E76" s="1786" t="s">
        <v>1014</v>
      </c>
      <c r="F76" s="1790">
        <f>SUM(F18:F74)</f>
        <v>1128451</v>
      </c>
      <c r="G76" s="866"/>
    </row>
    <row r="77" spans="1:8" s="894" customFormat="1" ht="12" customHeight="1" thickTop="1" thickBot="1" x14ac:dyDescent="0.25">
      <c r="A77" s="1791"/>
      <c r="B77" s="1788"/>
      <c r="C77" s="1784"/>
      <c r="D77" s="1789" t="s">
        <v>2008</v>
      </c>
      <c r="E77" s="1786"/>
      <c r="F77" s="1792">
        <f>(F14-F76)</f>
        <v>6183893</v>
      </c>
      <c r="G77" s="870"/>
    </row>
    <row r="78" spans="1:8" s="894" customFormat="1" ht="12" customHeight="1" thickTop="1" x14ac:dyDescent="0.2">
      <c r="A78" s="1793"/>
      <c r="B78" s="1788"/>
      <c r="C78" s="1784"/>
      <c r="D78" s="1789" t="s">
        <v>2054</v>
      </c>
      <c r="E78" s="1786"/>
      <c r="F78" s="899">
        <v>630.24</v>
      </c>
      <c r="G78" s="900"/>
      <c r="H78" s="870"/>
    </row>
    <row r="79" spans="1:8" s="894" customFormat="1" ht="12" customHeight="1" thickBot="1" x14ac:dyDescent="0.25">
      <c r="A79" s="1794"/>
      <c r="B79" s="1788"/>
      <c r="C79" s="1784"/>
      <c r="D79" s="1789" t="s">
        <v>2009</v>
      </c>
      <c r="E79" s="1786" t="s">
        <v>1014</v>
      </c>
      <c r="F79" s="1795">
        <f>IF(F78&gt;0,F77/F78," Complete Line 78")</f>
        <v>9811.9652830667674</v>
      </c>
      <c r="G79" s="870"/>
    </row>
    <row r="80" spans="1:8" s="894" customFormat="1" ht="8.25" customHeight="1" thickTop="1" x14ac:dyDescent="0.2">
      <c r="A80" s="901"/>
      <c r="B80" s="870"/>
      <c r="C80" s="872"/>
      <c r="D80" s="902"/>
      <c r="E80" s="869"/>
      <c r="F80" s="903"/>
      <c r="G80" s="870"/>
    </row>
    <row r="81" spans="1:7" s="894" customFormat="1" ht="12" thickBot="1" x14ac:dyDescent="0.25">
      <c r="A81" s="2276" t="s">
        <v>1166</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0">
        <f>'Revenues 9-14'!F42</f>
        <v>0</v>
      </c>
      <c r="G84" s="913"/>
    </row>
    <row r="85" spans="1:7" x14ac:dyDescent="0.2">
      <c r="A85" s="909" t="s">
        <v>480</v>
      </c>
      <c r="B85" s="909" t="s">
        <v>192</v>
      </c>
      <c r="C85" s="914">
        <f>'Revenues 9-14'!B44</f>
        <v>1413</v>
      </c>
      <c r="D85" s="912" t="str">
        <f>'Revenues 9-14'!A44</f>
        <v>Regular - Transp Fees from Other Sources (In State)</v>
      </c>
      <c r="E85" s="907"/>
      <c r="F85" s="180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1">
        <f>'Revenues 9-14'!F45</f>
        <v>0</v>
      </c>
      <c r="G86" s="915"/>
    </row>
    <row r="87" spans="1:7" x14ac:dyDescent="0.2">
      <c r="A87" s="909" t="s">
        <v>480</v>
      </c>
      <c r="B87" s="909" t="s">
        <v>169</v>
      </c>
      <c r="C87" s="911">
        <v>1416</v>
      </c>
      <c r="D87" s="912" t="str">
        <f>'Revenues 9-14'!A46</f>
        <v>Regular Transp Fees from Other Sources (Out of State)</v>
      </c>
      <c r="E87" s="907"/>
      <c r="F87" s="1801">
        <f>'Revenues 9-14'!F46</f>
        <v>0</v>
      </c>
      <c r="G87" s="915"/>
    </row>
    <row r="88" spans="1:7" x14ac:dyDescent="0.2">
      <c r="A88" s="909" t="s">
        <v>480</v>
      </c>
      <c r="B88" s="909" t="s">
        <v>170</v>
      </c>
      <c r="C88" s="911">
        <f>'Revenues 9-14'!B51</f>
        <v>1431</v>
      </c>
      <c r="D88" s="912" t="str">
        <f>'Revenues 9-14'!A51</f>
        <v>CTE - Transp Fees from Pupils or Parents (In State)</v>
      </c>
      <c r="E88" s="907"/>
      <c r="F88" s="1801">
        <f>'Revenues 9-14'!F51</f>
        <v>0</v>
      </c>
      <c r="G88" s="915"/>
    </row>
    <row r="89" spans="1:7" x14ac:dyDescent="0.2">
      <c r="A89" s="909" t="s">
        <v>480</v>
      </c>
      <c r="B89" s="909" t="s">
        <v>171</v>
      </c>
      <c r="C89" s="911">
        <f>'Revenues 9-14'!B53</f>
        <v>1433</v>
      </c>
      <c r="D89" s="912" t="str">
        <f>'Revenues 9-14'!A53</f>
        <v>CTE - Transp Fees from Other Sources (In State)</v>
      </c>
      <c r="E89" s="907"/>
      <c r="F89" s="1801">
        <f>'Revenues 9-14'!F53</f>
        <v>0</v>
      </c>
      <c r="G89" s="915"/>
    </row>
    <row r="90" spans="1:7" x14ac:dyDescent="0.2">
      <c r="A90" s="909" t="s">
        <v>480</v>
      </c>
      <c r="B90" s="909" t="s">
        <v>172</v>
      </c>
      <c r="C90" s="911">
        <f>'Revenues 9-14'!B54</f>
        <v>1434</v>
      </c>
      <c r="D90" s="912" t="str">
        <f>'Revenues 9-14'!A54</f>
        <v>CTE - Transp Fees from Other Sources (Out of State)</v>
      </c>
      <c r="E90" s="907"/>
      <c r="F90" s="1801">
        <f>'Revenues 9-14'!F54</f>
        <v>0</v>
      </c>
      <c r="G90" s="915"/>
    </row>
    <row r="91" spans="1:7" x14ac:dyDescent="0.2">
      <c r="A91" s="909" t="s">
        <v>480</v>
      </c>
      <c r="B91" s="909" t="s">
        <v>173</v>
      </c>
      <c r="C91" s="916">
        <f>'Revenues 9-14'!B55</f>
        <v>1441</v>
      </c>
      <c r="D91" s="912" t="str">
        <f>'Revenues 9-14'!A55</f>
        <v>Special Ed - Transp Fees from Pupils or Parents (In State)</v>
      </c>
      <c r="E91" s="907"/>
      <c r="F91" s="1801">
        <f>'Revenues 9-14'!F55</f>
        <v>0</v>
      </c>
      <c r="G91" s="915"/>
    </row>
    <row r="92" spans="1:7" x14ac:dyDescent="0.2">
      <c r="A92" s="909" t="s">
        <v>480</v>
      </c>
      <c r="B92" s="909" t="s">
        <v>174</v>
      </c>
      <c r="C92" s="911">
        <f>'Revenues 9-14'!B57</f>
        <v>1443</v>
      </c>
      <c r="D92" s="912" t="str">
        <f>'Revenues 9-14'!A57</f>
        <v>Special Ed - Transp Fees from Other Sources (In State)</v>
      </c>
      <c r="E92" s="907"/>
      <c r="F92" s="1801">
        <f>'Revenues 9-14'!F57</f>
        <v>0</v>
      </c>
      <c r="G92" s="917"/>
    </row>
    <row r="93" spans="1:7" x14ac:dyDescent="0.2">
      <c r="A93" s="909" t="s">
        <v>480</v>
      </c>
      <c r="B93" s="909" t="s">
        <v>175</v>
      </c>
      <c r="C93" s="911">
        <f>'Revenues 9-14'!B58</f>
        <v>1444</v>
      </c>
      <c r="D93" s="912" t="str">
        <f>'Revenues 9-14'!A58</f>
        <v>Special Ed - Transp Fees from Other Sources (Out of State)</v>
      </c>
      <c r="E93" s="907"/>
      <c r="F93" s="1801">
        <f>'Revenues 9-14'!F58</f>
        <v>0</v>
      </c>
      <c r="G93" s="917"/>
    </row>
    <row r="94" spans="1:7" x14ac:dyDescent="0.2">
      <c r="A94" s="909" t="s">
        <v>478</v>
      </c>
      <c r="B94" s="909" t="s">
        <v>176</v>
      </c>
      <c r="C94" s="911">
        <v>1600</v>
      </c>
      <c r="D94" s="918" t="str">
        <f>'Revenues 9-14'!A75</f>
        <v>Total Food Service</v>
      </c>
      <c r="E94" s="907"/>
      <c r="F94" s="1801">
        <f>'Revenues 9-14'!C75</f>
        <v>5566</v>
      </c>
      <c r="G94" s="913"/>
    </row>
    <row r="95" spans="1:7" x14ac:dyDescent="0.2">
      <c r="A95" s="909" t="s">
        <v>142</v>
      </c>
      <c r="B95" s="909" t="s">
        <v>177</v>
      </c>
      <c r="C95" s="911">
        <v>1700</v>
      </c>
      <c r="D95" s="919" t="str">
        <f>'Revenues 9-14'!A82</f>
        <v>Total District/School Activity Income</v>
      </c>
      <c r="E95" s="907"/>
      <c r="F95" s="1801">
        <f>SUM('Revenues 9-14'!C82,'Revenues 9-14'!D82)</f>
        <v>4859</v>
      </c>
      <c r="G95" s="913"/>
    </row>
    <row r="96" spans="1:7" x14ac:dyDescent="0.2">
      <c r="A96" s="909" t="s">
        <v>478</v>
      </c>
      <c r="B96" s="909" t="s">
        <v>178</v>
      </c>
      <c r="C96" s="911">
        <f>'Revenues 9-14'!B84</f>
        <v>1811</v>
      </c>
      <c r="D96" s="912" t="str">
        <f>'Revenues 9-14'!A84</f>
        <v>Rentals - Regular Textbooks</v>
      </c>
      <c r="E96" s="907"/>
      <c r="F96" s="1801">
        <f>'Revenues 9-14'!C84</f>
        <v>12677</v>
      </c>
      <c r="G96" s="913"/>
    </row>
    <row r="97" spans="1:7" x14ac:dyDescent="0.2">
      <c r="A97" s="909" t="s">
        <v>478</v>
      </c>
      <c r="B97" s="909" t="s">
        <v>179</v>
      </c>
      <c r="C97" s="911">
        <f>'Revenues 9-14'!B87</f>
        <v>1819</v>
      </c>
      <c r="D97" s="912" t="str">
        <f>'Revenues 9-14'!A87</f>
        <v>Rentals - Other (Describe &amp; Itemize)</v>
      </c>
      <c r="E97" s="907"/>
      <c r="F97" s="1801">
        <f>'Revenues 9-14'!C87</f>
        <v>0</v>
      </c>
      <c r="G97" s="913"/>
    </row>
    <row r="98" spans="1:7" x14ac:dyDescent="0.2">
      <c r="A98" s="909" t="s">
        <v>478</v>
      </c>
      <c r="B98" s="909" t="s">
        <v>180</v>
      </c>
      <c r="C98" s="911">
        <f>'Revenues 9-14'!B88</f>
        <v>1821</v>
      </c>
      <c r="D98" s="912" t="str">
        <f>'Revenues 9-14'!A88</f>
        <v>Sales - Regular Textbooks</v>
      </c>
      <c r="E98" s="907"/>
      <c r="F98" s="1801">
        <f>'Revenues 9-14'!C88</f>
        <v>0</v>
      </c>
      <c r="G98" s="913"/>
    </row>
    <row r="99" spans="1:7" x14ac:dyDescent="0.2">
      <c r="A99" s="909" t="s">
        <v>478</v>
      </c>
      <c r="B99" s="909" t="s">
        <v>181</v>
      </c>
      <c r="C99" s="911">
        <f>'Revenues 9-14'!B91</f>
        <v>1829</v>
      </c>
      <c r="D99" s="912" t="str">
        <f>'Revenues 9-14'!A91</f>
        <v>Sales - Other (Describe &amp; Itemize)</v>
      </c>
      <c r="E99" s="907"/>
      <c r="F99" s="1801">
        <f>'Revenues 9-14'!C91</f>
        <v>0</v>
      </c>
      <c r="G99" s="913"/>
    </row>
    <row r="100" spans="1:7" x14ac:dyDescent="0.2">
      <c r="A100" s="909" t="s">
        <v>478</v>
      </c>
      <c r="B100" s="909" t="s">
        <v>182</v>
      </c>
      <c r="C100" s="911">
        <f>'Revenues 9-14'!B92</f>
        <v>1890</v>
      </c>
      <c r="D100" s="912" t="str">
        <f>'Revenues 9-14'!A92</f>
        <v>Other (Describe &amp; Itemize)</v>
      </c>
      <c r="E100" s="907"/>
      <c r="F100" s="1801">
        <f>'Revenues 9-14'!C92</f>
        <v>0</v>
      </c>
      <c r="G100" s="913"/>
    </row>
    <row r="101" spans="1:7" x14ac:dyDescent="0.2">
      <c r="A101" s="909" t="s">
        <v>142</v>
      </c>
      <c r="B101" s="909" t="s">
        <v>183</v>
      </c>
      <c r="C101" s="911">
        <f>'Revenues 9-14'!B95</f>
        <v>1910</v>
      </c>
      <c r="D101" s="912" t="str">
        <f>'Revenues 9-14'!A95</f>
        <v>Rentals</v>
      </c>
      <c r="E101" s="907"/>
      <c r="F101" s="1801">
        <f>SUM('Revenues 9-14'!C95:D95)</f>
        <v>0</v>
      </c>
      <c r="G101" s="913"/>
    </row>
    <row r="102" spans="1:7" x14ac:dyDescent="0.2">
      <c r="A102" s="909" t="s">
        <v>523</v>
      </c>
      <c r="B102" s="909" t="s">
        <v>184</v>
      </c>
      <c r="C102" s="911">
        <f>'Revenues 9-14'!B98</f>
        <v>1940</v>
      </c>
      <c r="D102" s="912" t="str">
        <f>'Revenues 9-14'!A98</f>
        <v>Services Provided Other Districts</v>
      </c>
      <c r="E102" s="907"/>
      <c r="F102" s="180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1">
        <f>('Revenues 9-14'!C106)</f>
        <v>0</v>
      </c>
      <c r="G104" s="913"/>
    </row>
    <row r="105" spans="1:7" x14ac:dyDescent="0.2">
      <c r="A105" s="909" t="s">
        <v>523</v>
      </c>
      <c r="B105" s="909" t="s">
        <v>841</v>
      </c>
      <c r="C105" s="914">
        <v>3100</v>
      </c>
      <c r="D105" s="920" t="str">
        <f>'Revenues 9-14'!A131</f>
        <v>Total Special Education</v>
      </c>
      <c r="E105" s="907"/>
      <c r="F105" s="1801">
        <f>SUM('Revenues 9-14'!C131:D131,'Revenues 9-14'!F131)</f>
        <v>140779</v>
      </c>
      <c r="G105" s="913"/>
    </row>
    <row r="106" spans="1:7" x14ac:dyDescent="0.2">
      <c r="A106" s="909" t="s">
        <v>693</v>
      </c>
      <c r="B106" s="909" t="s">
        <v>1482</v>
      </c>
      <c r="C106" s="921">
        <v>3200</v>
      </c>
      <c r="D106" s="912" t="str">
        <f>'Revenues 9-14'!A140</f>
        <v>Total Career and Technical Education</v>
      </c>
      <c r="E106" s="907"/>
      <c r="F106" s="1801">
        <f>SUM('Revenues 9-14'!C140,'Revenues 9-14'!D140,'Revenues 9-14'!G140)</f>
        <v>192</v>
      </c>
      <c r="G106" s="913"/>
    </row>
    <row r="107" spans="1:7" x14ac:dyDescent="0.2">
      <c r="A107" s="922" t="s">
        <v>684</v>
      </c>
      <c r="B107" s="909" t="s">
        <v>842</v>
      </c>
      <c r="C107" s="921">
        <v>3300</v>
      </c>
      <c r="D107" s="912" t="str">
        <f>'Revenues 9-14'!A144</f>
        <v>Total Bilingual Ed</v>
      </c>
      <c r="E107" s="907"/>
      <c r="F107" s="180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1">
        <f>'Revenues 9-14'!C145</f>
        <v>7826</v>
      </c>
      <c r="G108" s="913"/>
    </row>
    <row r="109" spans="1:7" x14ac:dyDescent="0.2">
      <c r="A109" s="909" t="s">
        <v>693</v>
      </c>
      <c r="B109" s="909" t="s">
        <v>844</v>
      </c>
      <c r="C109" s="921">
        <f>'Revenues 9-14'!B146</f>
        <v>3365</v>
      </c>
      <c r="D109" s="912" t="str">
        <f>'Revenues 9-14'!A146</f>
        <v>School Breakfast Initiative</v>
      </c>
      <c r="E109" s="907"/>
      <c r="F109" s="180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1">
        <f>SUM('Revenues 9-14'!C147,'Revenues 9-14'!D147)</f>
        <v>0</v>
      </c>
      <c r="G110" s="913"/>
    </row>
    <row r="111" spans="1:7" x14ac:dyDescent="0.2">
      <c r="A111" s="909" t="s">
        <v>688</v>
      </c>
      <c r="B111" s="909" t="s">
        <v>801</v>
      </c>
      <c r="C111" s="923">
        <v>3500</v>
      </c>
      <c r="D111" s="912" t="str">
        <f>'Revenues 9-14'!A154</f>
        <v>Total Transportation</v>
      </c>
      <c r="E111" s="907"/>
      <c r="F111" s="1801">
        <f>SUM('Revenues 9-14'!C154,'Revenues 9-14'!D154,'Revenues 9-14'!F154,'Revenues 9-14'!G154)</f>
        <v>58495</v>
      </c>
      <c r="G111" s="913"/>
    </row>
    <row r="112" spans="1:7" x14ac:dyDescent="0.2">
      <c r="A112" s="909" t="s">
        <v>478</v>
      </c>
      <c r="B112" s="909" t="s">
        <v>846</v>
      </c>
      <c r="C112" s="921">
        <f>'Revenues 9-14'!B155</f>
        <v>3610</v>
      </c>
      <c r="D112" s="912" t="str">
        <f>'Revenues 9-14'!A155</f>
        <v>Learning Improvement - Change Grants</v>
      </c>
      <c r="E112" s="907"/>
      <c r="F112" s="1801">
        <f>'Revenues 9-14'!C155</f>
        <v>0</v>
      </c>
      <c r="G112" s="913"/>
    </row>
    <row r="113" spans="1:7" x14ac:dyDescent="0.2">
      <c r="A113" s="909" t="s">
        <v>688</v>
      </c>
      <c r="B113" s="909" t="s">
        <v>847</v>
      </c>
      <c r="C113" s="921">
        <f>'Revenues 9-14'!B156</f>
        <v>3660</v>
      </c>
      <c r="D113" s="912" t="str">
        <f>'Revenues 9-14'!A156</f>
        <v>Scientific Literacy</v>
      </c>
      <c r="E113" s="907"/>
      <c r="F113" s="180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19">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0">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0">
        <f>SUM('Revenues 9-14'!C166:G166)</f>
        <v>0</v>
      </c>
      <c r="G122" s="913"/>
    </row>
    <row r="123" spans="1:7" x14ac:dyDescent="0.2">
      <c r="A123" s="924" t="s">
        <v>524</v>
      </c>
      <c r="B123" s="924" t="s">
        <v>852</v>
      </c>
      <c r="C123" s="925">
        <f>'Revenues 9-14'!B167</f>
        <v>3815</v>
      </c>
      <c r="D123" s="926" t="str">
        <f>'Revenues 9-14'!A167</f>
        <v>State Charter Schools</v>
      </c>
      <c r="E123" s="907"/>
      <c r="F123" s="1920">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1">
        <f>'Revenues 9-14'!D170</f>
        <v>0</v>
      </c>
      <c r="G124" s="931"/>
    </row>
    <row r="125" spans="1:7" x14ac:dyDescent="0.2">
      <c r="A125" s="928" t="s">
        <v>520</v>
      </c>
      <c r="B125" s="928" t="s">
        <v>854</v>
      </c>
      <c r="C125" s="929">
        <f>'Revenues 9-14'!B171</f>
        <v>3999</v>
      </c>
      <c r="D125" s="930" t="s">
        <v>563</v>
      </c>
      <c r="E125" s="932"/>
      <c r="F125" s="1801">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0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1">
        <f>SUM('Revenues 9-14'!C184,'Revenues 9-14'!D184,'Revenues 9-14'!F184,'Revenues 9-14'!G184)</f>
        <v>0</v>
      </c>
      <c r="G127" s="931"/>
    </row>
    <row r="128" spans="1:7" x14ac:dyDescent="0.2">
      <c r="A128" s="928" t="s">
        <v>688</v>
      </c>
      <c r="B128" s="928" t="s">
        <v>857</v>
      </c>
      <c r="C128" s="933">
        <v>4100</v>
      </c>
      <c r="D128" s="934" t="str">
        <f>'Revenues 9-14'!A191</f>
        <v>Total Title V</v>
      </c>
      <c r="E128" s="907"/>
      <c r="F128" s="180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1">
        <f>SUM('Revenues 9-14'!C201,'Revenues 9-14'!G201)</f>
        <v>476007</v>
      </c>
      <c r="G129" s="931"/>
    </row>
    <row r="130" spans="1:7" x14ac:dyDescent="0.2">
      <c r="A130" s="928" t="s">
        <v>688</v>
      </c>
      <c r="B130" s="928" t="s">
        <v>803</v>
      </c>
      <c r="C130" s="933">
        <v>4300</v>
      </c>
      <c r="D130" s="934" t="str">
        <f>'Revenues 9-14'!A211</f>
        <v>Total Title I</v>
      </c>
      <c r="E130" s="907"/>
      <c r="F130" s="1801">
        <f>SUM('Revenues 9-14'!C211,'Revenues 9-14'!D211,'Revenues 9-14'!F211,'Revenues 9-14'!G211)</f>
        <v>164871</v>
      </c>
      <c r="G130" s="931"/>
    </row>
    <row r="131" spans="1:7" x14ac:dyDescent="0.2">
      <c r="A131" s="928" t="s">
        <v>688</v>
      </c>
      <c r="B131" s="928" t="s">
        <v>804</v>
      </c>
      <c r="C131" s="933">
        <v>4400</v>
      </c>
      <c r="D131" s="934" t="str">
        <f>'Revenues 9-14'!A216</f>
        <v>Total Title IV</v>
      </c>
      <c r="E131" s="907"/>
      <c r="F131" s="180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1">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01">
        <f>SUM('Revenues 9-14'!C221,'Revenues 9-14'!D221,'Revenues 9-14'!F221,'Revenues 9-14'!G221)</f>
        <v>197656</v>
      </c>
      <c r="G133" s="931"/>
    </row>
    <row r="134" spans="1:7" x14ac:dyDescent="0.2">
      <c r="A134" s="928" t="s">
        <v>688</v>
      </c>
      <c r="B134" s="928" t="s">
        <v>858</v>
      </c>
      <c r="C134" s="933">
        <f>'Revenues 9-14'!B222</f>
        <v>4630</v>
      </c>
      <c r="D134" s="934" t="str">
        <f>'Revenues 9-14'!A222</f>
        <v>Fed - Spec Education - IDEA - Discretionary</v>
      </c>
      <c r="E134" s="907"/>
      <c r="F134" s="180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1">
        <f>SUM('Revenues 9-14'!C223:D223,'Revenues 9-14'!F223:G223)</f>
        <v>0</v>
      </c>
      <c r="G135" s="931"/>
    </row>
    <row r="136" spans="1:7" x14ac:dyDescent="0.2">
      <c r="A136" s="928" t="s">
        <v>693</v>
      </c>
      <c r="B136" s="928" t="s">
        <v>806</v>
      </c>
      <c r="C136" s="933">
        <v>4700</v>
      </c>
      <c r="D136" s="930" t="str">
        <f>'Revenues 9-14'!A228</f>
        <v>Total CTE - Perkins</v>
      </c>
      <c r="E136" s="907"/>
      <c r="F136" s="180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0">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1">
        <v>0</v>
      </c>
      <c r="G142" s="906"/>
    </row>
    <row r="143" spans="1:7" s="868" customFormat="1" hidden="1" x14ac:dyDescent="0.2">
      <c r="A143" s="935" t="s">
        <v>215</v>
      </c>
      <c r="B143" s="935" t="s">
        <v>228</v>
      </c>
      <c r="C143" s="936" t="s">
        <v>225</v>
      </c>
      <c r="D143" s="937" t="str">
        <f>'Revenues 9-14'!A237</f>
        <v>ARRA - IDEA - Part B - Flow-Through</v>
      </c>
      <c r="E143" s="938"/>
      <c r="F143" s="180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1">
        <v>0</v>
      </c>
      <c r="G155" s="906"/>
    </row>
    <row r="156" spans="1:7" s="868" customFormat="1" hidden="1" x14ac:dyDescent="0.2">
      <c r="A156" s="935" t="s">
        <v>215</v>
      </c>
      <c r="B156" s="935" t="s">
        <v>250</v>
      </c>
      <c r="C156" s="936" t="s">
        <v>247</v>
      </c>
      <c r="D156" s="937" t="str">
        <f>'Revenues 9-14'!A254</f>
        <v>Other ARRA Funds VII</v>
      </c>
      <c r="E156" s="938"/>
      <c r="F156" s="180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1">
        <f>SUM('Revenues 9-14'!C258:G258,'Revenues 9-14'!J258)</f>
        <v>0</v>
      </c>
      <c r="G160" s="906"/>
    </row>
    <row r="161" spans="1:7" s="868" customFormat="1" x14ac:dyDescent="0.2">
      <c r="A161" s="939" t="s">
        <v>520</v>
      </c>
      <c r="B161" s="940" t="s">
        <v>1563</v>
      </c>
      <c r="C161" s="941" t="s">
        <v>895</v>
      </c>
      <c r="D161" s="942" t="s">
        <v>807</v>
      </c>
      <c r="E161" s="943"/>
      <c r="F161" s="1801">
        <f>SUM(F137:F160)</f>
        <v>0</v>
      </c>
      <c r="G161" s="906"/>
    </row>
    <row r="162" spans="1:7" s="868" customFormat="1" x14ac:dyDescent="0.2">
      <c r="A162" s="939" t="s">
        <v>478</v>
      </c>
      <c r="B162" s="940" t="s">
        <v>1500</v>
      </c>
      <c r="C162" s="941" t="s">
        <v>1498</v>
      </c>
      <c r="D162" s="942" t="s">
        <v>1499</v>
      </c>
      <c r="E162" s="943"/>
      <c r="F162" s="1801">
        <f>SUM('Revenues 9-14'!C260)</f>
        <v>0</v>
      </c>
      <c r="G162" s="906"/>
    </row>
    <row r="163" spans="1:7" s="868" customFormat="1" x14ac:dyDescent="0.2">
      <c r="A163" s="939" t="s">
        <v>520</v>
      </c>
      <c r="B163" s="940" t="s">
        <v>1540</v>
      </c>
      <c r="C163" s="941" t="s">
        <v>1541</v>
      </c>
      <c r="D163" s="942" t="s">
        <v>1542</v>
      </c>
      <c r="E163" s="943"/>
      <c r="F163" s="180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1">
        <f>SUM('Revenues 9-14'!C266,'Revenues 9-14'!D266,'Revenues 9-14'!F266,'Revenues 9-14'!G266)</f>
        <v>1000</v>
      </c>
      <c r="G168" s="931"/>
    </row>
    <row r="169" spans="1:7" x14ac:dyDescent="0.2">
      <c r="A169" s="945" t="s">
        <v>688</v>
      </c>
      <c r="B169" s="945" t="s">
        <v>707</v>
      </c>
      <c r="C169" s="946">
        <f>'Revenues 9-14'!B267</f>
        <v>4930</v>
      </c>
      <c r="D169" s="947" t="str">
        <f>'Revenues 9-14'!A267</f>
        <v>Title II - Eisenhower Professional Development Formula</v>
      </c>
      <c r="E169" s="927"/>
      <c r="F169" s="1920">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0">
        <f>SUM('Revenues 9-14'!C268,'Revenues 9-14'!D268,'Revenues 9-14'!F268,'Revenues 9-14'!G268)</f>
        <v>24353</v>
      </c>
      <c r="G170" s="931"/>
    </row>
    <row r="171" spans="1:7" x14ac:dyDescent="0.2">
      <c r="A171" s="928" t="s">
        <v>688</v>
      </c>
      <c r="B171" s="928" t="s">
        <v>863</v>
      </c>
      <c r="C171" s="933">
        <f>'Revenues 9-14'!B269</f>
        <v>4960</v>
      </c>
      <c r="D171" s="930" t="str">
        <f>'Revenues 9-14'!A269</f>
        <v>Federal Charter Schools</v>
      </c>
      <c r="E171" s="907"/>
      <c r="F171" s="180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1">
        <f>SUM('Revenues 9-14'!C270:D270,'Revenues 9-14'!F270:G270)</f>
        <v>13558</v>
      </c>
      <c r="G172" s="948">
        <v>6320</v>
      </c>
    </row>
    <row r="173" spans="1:7" x14ac:dyDescent="0.2">
      <c r="A173" s="928" t="s">
        <v>688</v>
      </c>
      <c r="B173" s="928" t="s">
        <v>1502</v>
      </c>
      <c r="C173" s="933">
        <f>'Revenues 9-14'!B271</f>
        <v>4992</v>
      </c>
      <c r="D173" s="934" t="str">
        <f>'Revenues 9-14'!A271</f>
        <v>Medicaid Matching Funds - Fee-for-Service Program</v>
      </c>
      <c r="E173" s="907"/>
      <c r="F173" s="1801">
        <f>SUM('Revenues 9-14'!C271:D271,'Revenues 9-14'!F271:G271)</f>
        <v>35473</v>
      </c>
      <c r="G173" s="948"/>
    </row>
    <row r="174" spans="1:7" x14ac:dyDescent="0.2">
      <c r="A174" s="949" t="s">
        <v>688</v>
      </c>
      <c r="B174" s="945" t="s">
        <v>1557</v>
      </c>
      <c r="C174" s="946">
        <f>'Revenues 9-14'!B272</f>
        <v>4999</v>
      </c>
      <c r="D174" s="947" t="str">
        <f>'Revenues 9-14'!A272</f>
        <v>Other Restricted Revenue from Federal Sources (Describe &amp; Itemize)</v>
      </c>
      <c r="E174" s="907"/>
      <c r="F174" s="1801">
        <f>SUM('Revenues 9-14'!C272:D272,'Revenues 9-14'!F272:G272)</f>
        <v>0</v>
      </c>
      <c r="G174" s="928"/>
    </row>
    <row r="175" spans="1:7" x14ac:dyDescent="0.2">
      <c r="A175" s="1931" t="s">
        <v>5</v>
      </c>
      <c r="B175" s="1932" t="s">
        <v>2053</v>
      </c>
      <c r="C175" s="1933">
        <v>3100</v>
      </c>
      <c r="D175" s="1934" t="s">
        <v>2056</v>
      </c>
      <c r="E175" s="907"/>
      <c r="F175" s="1918"/>
      <c r="G175" s="928"/>
    </row>
    <row r="176" spans="1:7" x14ac:dyDescent="0.2">
      <c r="A176" s="1931" t="s">
        <v>684</v>
      </c>
      <c r="B176" s="1932" t="s">
        <v>2053</v>
      </c>
      <c r="C176" s="1933">
        <v>3300</v>
      </c>
      <c r="D176" s="1934" t="s">
        <v>2057</v>
      </c>
      <c r="E176" s="907"/>
      <c r="F176" s="1918"/>
      <c r="G176" s="928"/>
    </row>
    <row r="177" spans="1:7" ht="6" customHeight="1" x14ac:dyDescent="0.2">
      <c r="A177" s="928"/>
      <c r="B177" s="928"/>
      <c r="C177" s="950"/>
      <c r="D177" s="928"/>
      <c r="E177" s="907"/>
      <c r="F177" s="951"/>
      <c r="G177" s="948"/>
    </row>
    <row r="178" spans="1:7" x14ac:dyDescent="0.2">
      <c r="A178" s="1782"/>
      <c r="B178" s="1796"/>
      <c r="C178" s="1797"/>
      <c r="D178" s="1798" t="s">
        <v>2010</v>
      </c>
      <c r="E178" s="1799" t="s">
        <v>1014</v>
      </c>
      <c r="F178" s="1800">
        <f>SUM(F84:F136,F161:F176)</f>
        <v>1143312</v>
      </c>
    </row>
    <row r="179" spans="1:7" ht="12" customHeight="1" x14ac:dyDescent="0.2">
      <c r="A179" s="1782"/>
      <c r="B179" s="1796"/>
      <c r="C179" s="1797"/>
      <c r="D179" s="1798" t="s">
        <v>2011</v>
      </c>
      <c r="E179" s="1799"/>
      <c r="F179" s="1801">
        <f>'PCTC-OEPP 27-28'!F77-F178</f>
        <v>5040581</v>
      </c>
    </row>
    <row r="180" spans="1:7" ht="12" customHeight="1" x14ac:dyDescent="0.2">
      <c r="A180" s="1782"/>
      <c r="B180" s="1796"/>
      <c r="C180" s="1797"/>
      <c r="D180" s="1798" t="s">
        <v>1921</v>
      </c>
      <c r="E180" s="1799"/>
      <c r="F180" s="1801">
        <f>'Cap Outlay Deprec 26'!I18</f>
        <v>344342.8</v>
      </c>
    </row>
    <row r="181" spans="1:7" ht="12" customHeight="1" x14ac:dyDescent="0.2">
      <c r="A181" s="1782"/>
      <c r="B181" s="1796"/>
      <c r="C181" s="1797"/>
      <c r="D181" s="1798" t="s">
        <v>2012</v>
      </c>
      <c r="E181" s="1799"/>
      <c r="F181" s="1801">
        <f>F179+F180</f>
        <v>5384923.7999999998</v>
      </c>
    </row>
    <row r="182" spans="1:7" ht="12" customHeight="1" x14ac:dyDescent="0.2">
      <c r="A182" s="1782"/>
      <c r="B182" s="1802"/>
      <c r="C182" s="1797"/>
      <c r="D182" s="1798" t="str">
        <f>D78</f>
        <v>9 Month ADA from District Average Daily Attendance/Prior General State Aid Inquiry 2017-2018</v>
      </c>
      <c r="E182" s="1799"/>
      <c r="F182" s="1803">
        <f>'PCTC-OEPP 27-28'!F78</f>
        <v>630.24</v>
      </c>
      <c r="G182" s="931"/>
    </row>
    <row r="183" spans="1:7" ht="12" customHeight="1" thickBot="1" x14ac:dyDescent="0.25">
      <c r="A183" s="1782"/>
      <c r="B183" s="1802"/>
      <c r="C183" s="1797"/>
      <c r="D183" s="1798" t="s">
        <v>2013</v>
      </c>
      <c r="E183" s="1799" t="s">
        <v>1625</v>
      </c>
      <c r="F183" s="1804">
        <f>F181/F182</f>
        <v>8544.243145468392</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35" customFormat="1" ht="12.2" customHeight="1" x14ac:dyDescent="0.2">
      <c r="A186" s="1935" t="s">
        <v>2060</v>
      </c>
      <c r="B186" s="1936"/>
      <c r="C186" s="1937"/>
      <c r="D186" s="1936"/>
      <c r="E186" s="1937"/>
      <c r="F186" s="1936"/>
      <c r="G186" s="1936"/>
    </row>
    <row r="187" spans="1:7" s="1935" customFormat="1" ht="12.2" customHeight="1" x14ac:dyDescent="0.2">
      <c r="A187" s="1938" t="s">
        <v>2061</v>
      </c>
      <c r="C187" s="1937"/>
      <c r="D187" s="1936"/>
      <c r="E187" s="1937"/>
      <c r="F187" s="1936"/>
      <c r="G187" s="1936"/>
    </row>
    <row r="188" spans="1:7" ht="12" customHeight="1" x14ac:dyDescent="0.2">
      <c r="C188" s="950"/>
      <c r="D188" s="931"/>
      <c r="E188" s="950"/>
      <c r="F188" s="931"/>
      <c r="G188" s="931"/>
    </row>
    <row r="189" spans="1:7" x14ac:dyDescent="0.2">
      <c r="A189" s="1939" t="s">
        <v>2059</v>
      </c>
      <c r="B189" s="1940"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70"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workbookViewId="0">
      <pane ySplit="16" topLeftCell="A17" activePane="bottomLeft" state="frozen"/>
      <selection pane="bottomLeft" activeCell="B21" sqref="B21"/>
    </sheetView>
  </sheetViews>
  <sheetFormatPr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2" t="s">
        <v>1937</v>
      </c>
      <c r="B1" s="1673"/>
      <c r="C1" s="1673"/>
      <c r="D1" s="1673"/>
      <c r="E1" s="1673"/>
      <c r="F1" s="1673"/>
      <c r="G1" s="1673"/>
    </row>
    <row r="2" spans="1:7" x14ac:dyDescent="0.25">
      <c r="A2" s="1670"/>
      <c r="B2" s="1670"/>
      <c r="C2" s="1671" t="s">
        <v>1035</v>
      </c>
      <c r="D2" s="1670"/>
      <c r="E2" s="1670"/>
      <c r="F2" s="1670"/>
      <c r="G2" s="1670"/>
    </row>
    <row r="3" spans="1:7" ht="5.25" customHeight="1" x14ac:dyDescent="0.25">
      <c r="A3" s="1560"/>
      <c r="B3" s="1560"/>
      <c r="C3" s="1560"/>
      <c r="D3" s="1560"/>
      <c r="E3" s="1560"/>
      <c r="F3" s="1560"/>
      <c r="G3" s="1560"/>
    </row>
    <row r="4" spans="1:7" ht="18.75" customHeight="1" x14ac:dyDescent="0.25">
      <c r="A4" s="2290" t="s">
        <v>1922</v>
      </c>
      <c r="B4" s="2291"/>
      <c r="C4" s="2291"/>
      <c r="D4" s="2291"/>
      <c r="E4" s="2291"/>
      <c r="F4" s="2291"/>
      <c r="G4" s="2292"/>
    </row>
    <row r="5" spans="1:7" x14ac:dyDescent="0.25">
      <c r="A5" s="2293"/>
      <c r="B5" s="2294"/>
      <c r="C5" s="2294"/>
      <c r="D5" s="2294"/>
      <c r="E5" s="2294"/>
      <c r="F5" s="2294"/>
      <c r="G5" s="2295"/>
    </row>
    <row r="6" spans="1:7" ht="18.75" x14ac:dyDescent="0.25">
      <c r="A6" s="1549" t="s">
        <v>1923</v>
      </c>
      <c r="B6" s="1550"/>
      <c r="C6" s="1550"/>
      <c r="D6" s="1550"/>
      <c r="E6" s="1550"/>
      <c r="F6" s="1550"/>
      <c r="G6" s="1551"/>
    </row>
    <row r="7" spans="1:7" ht="30.75" customHeight="1" x14ac:dyDescent="0.25">
      <c r="A7" s="2296" t="s">
        <v>2070</v>
      </c>
      <c r="B7" s="2297"/>
      <c r="C7" s="2297"/>
      <c r="D7" s="2297"/>
      <c r="E7" s="2297"/>
      <c r="F7" s="2297"/>
      <c r="G7" s="2298"/>
    </row>
    <row r="8" spans="1:7" ht="15.75" customHeight="1" x14ac:dyDescent="0.25">
      <c r="A8" s="2299" t="s">
        <v>2019</v>
      </c>
      <c r="B8" s="2300"/>
      <c r="C8" s="2300"/>
      <c r="D8" s="2300"/>
      <c r="E8" s="2300"/>
      <c r="F8" s="2300"/>
      <c r="G8" s="2301"/>
    </row>
    <row r="9" spans="1:7" ht="35.25" customHeight="1" x14ac:dyDescent="0.25">
      <c r="A9" s="2296" t="s">
        <v>2073</v>
      </c>
      <c r="B9" s="2297"/>
      <c r="C9" s="2297"/>
      <c r="D9" s="2297"/>
      <c r="E9" s="2297"/>
      <c r="F9" s="2297"/>
      <c r="G9" s="2298"/>
    </row>
    <row r="10" spans="1:7" ht="15" customHeight="1" x14ac:dyDescent="0.25">
      <c r="A10" s="1552" t="s">
        <v>1924</v>
      </c>
      <c r="B10" s="1553"/>
      <c r="C10" s="1553"/>
      <c r="D10" s="1553"/>
      <c r="E10" s="1553"/>
      <c r="F10" s="1553"/>
      <c r="G10" s="1554"/>
    </row>
    <row r="11" spans="1:7" ht="17.25" customHeight="1" x14ac:dyDescent="0.25">
      <c r="A11" s="2296" t="s">
        <v>2072</v>
      </c>
      <c r="B11" s="2297"/>
      <c r="C11" s="2297"/>
      <c r="D11" s="2297"/>
      <c r="E11" s="2297"/>
      <c r="F11" s="2297"/>
      <c r="G11" s="2298"/>
    </row>
    <row r="12" spans="1:7" ht="15" customHeight="1" x14ac:dyDescent="0.25">
      <c r="A12" s="1552" t="s">
        <v>1929</v>
      </c>
      <c r="B12" s="1553"/>
      <c r="C12" s="1553"/>
      <c r="D12" s="1553"/>
      <c r="E12" s="1553"/>
      <c r="F12" s="1553"/>
      <c r="G12" s="1554"/>
    </row>
    <row r="13" spans="1:7" ht="32.25" customHeight="1" x14ac:dyDescent="0.25">
      <c r="A13" s="2287" t="s">
        <v>1930</v>
      </c>
      <c r="B13" s="2288"/>
      <c r="C13" s="2288"/>
      <c r="D13" s="2288"/>
      <c r="E13" s="2288"/>
      <c r="F13" s="2288"/>
      <c r="G13" s="2289"/>
    </row>
    <row r="14" spans="1:7" x14ac:dyDescent="0.25">
      <c r="A14" s="1674" t="s">
        <v>1938</v>
      </c>
      <c r="B14" s="1675"/>
      <c r="C14" s="1675"/>
      <c r="D14" s="1675"/>
      <c r="E14" s="1675"/>
      <c r="F14" s="1675"/>
      <c r="G14" s="1676"/>
    </row>
    <row r="15" spans="1:7" ht="61.5" customHeight="1" x14ac:dyDescent="0.25">
      <c r="A15" s="1561" t="s">
        <v>1931</v>
      </c>
      <c r="B15" s="1561" t="s">
        <v>1932</v>
      </c>
      <c r="C15" s="1561" t="s">
        <v>1933</v>
      </c>
      <c r="D15" s="1562" t="s">
        <v>1934</v>
      </c>
      <c r="E15" s="1562" t="s">
        <v>1925</v>
      </c>
      <c r="F15" s="1562" t="s">
        <v>1935</v>
      </c>
      <c r="G15" s="1562" t="s">
        <v>1936</v>
      </c>
    </row>
    <row r="16" spans="1:7" x14ac:dyDescent="0.25">
      <c r="A16" s="1663" t="s">
        <v>1939</v>
      </c>
      <c r="B16" s="1664" t="s">
        <v>1928</v>
      </c>
      <c r="C16" s="1665" t="s">
        <v>1926</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58" t="s">
        <v>2164</v>
      </c>
      <c r="B17" s="1959" t="s">
        <v>2175</v>
      </c>
      <c r="C17" s="1960" t="s">
        <v>2165</v>
      </c>
      <c r="D17" s="1856">
        <v>4500</v>
      </c>
      <c r="E17" s="1555">
        <f t="shared" ref="E17:E22" si="1">IF(D17&lt;=25000,D17,IF(D17&gt;25000,25000,0))</f>
        <v>4500</v>
      </c>
      <c r="F17" s="1805">
        <f t="shared" si="0"/>
        <v>4500</v>
      </c>
      <c r="G17" s="1806">
        <f>IF(F17=0,0,D17-F17)</f>
        <v>0</v>
      </c>
      <c r="H17" s="1662"/>
    </row>
    <row r="18" spans="1:8" x14ac:dyDescent="0.25">
      <c r="A18" s="1958" t="s">
        <v>2164</v>
      </c>
      <c r="B18" s="1959" t="s">
        <v>2175</v>
      </c>
      <c r="C18" s="1960" t="s">
        <v>2166</v>
      </c>
      <c r="D18" s="1856">
        <v>5400</v>
      </c>
      <c r="E18" s="1555">
        <f t="shared" ref="E18:E21" si="2">IF(D18&lt;=25000,D18,IF(D18&gt;25000,25000,0))</f>
        <v>5400</v>
      </c>
      <c r="F18" s="1805">
        <f t="shared" ref="F18:F2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5400</v>
      </c>
      <c r="G18" s="1806">
        <f t="shared" ref="G18:G21" si="4">IF(F18=0,0,D18-F18)</f>
        <v>0</v>
      </c>
    </row>
    <row r="19" spans="1:8" x14ac:dyDescent="0.25">
      <c r="A19" s="1958" t="s">
        <v>2164</v>
      </c>
      <c r="B19" s="1959" t="s">
        <v>2175</v>
      </c>
      <c r="C19" s="1960" t="s">
        <v>2167</v>
      </c>
      <c r="D19" s="1856">
        <v>7708</v>
      </c>
      <c r="E19" s="1555">
        <f t="shared" si="2"/>
        <v>7708</v>
      </c>
      <c r="F19" s="1805">
        <f t="shared" si="3"/>
        <v>7708</v>
      </c>
      <c r="G19" s="1806">
        <f t="shared" si="4"/>
        <v>0</v>
      </c>
    </row>
    <row r="20" spans="1:8" x14ac:dyDescent="0.25">
      <c r="A20" s="1958" t="s">
        <v>2168</v>
      </c>
      <c r="B20" s="1959" t="s">
        <v>2176</v>
      </c>
      <c r="C20" s="1960" t="s">
        <v>2169</v>
      </c>
      <c r="D20" s="1856">
        <v>110017</v>
      </c>
      <c r="E20" s="1555">
        <f t="shared" si="2"/>
        <v>25000</v>
      </c>
      <c r="F20" s="1805">
        <f t="shared" si="3"/>
        <v>0</v>
      </c>
      <c r="G20" s="1806">
        <f t="shared" si="4"/>
        <v>0</v>
      </c>
    </row>
    <row r="21" spans="1:8" ht="17.25" customHeight="1" x14ac:dyDescent="0.25">
      <c r="A21" s="1668"/>
      <c r="B21" s="1679"/>
      <c r="C21" s="1669"/>
      <c r="D21" s="1856"/>
      <c r="E21" s="1555">
        <f t="shared" si="2"/>
        <v>0</v>
      </c>
      <c r="F21" s="1805">
        <f t="shared" si="3"/>
        <v>0</v>
      </c>
      <c r="G21" s="1806">
        <f t="shared" si="4"/>
        <v>0</v>
      </c>
    </row>
    <row r="22" spans="1:8" ht="17.25" customHeight="1" x14ac:dyDescent="0.25">
      <c r="A22" s="1809" t="s">
        <v>158</v>
      </c>
      <c r="B22" s="1810"/>
      <c r="C22" s="1811"/>
      <c r="D22" s="1807">
        <f>SUM(D17:D21)</f>
        <v>127625</v>
      </c>
      <c r="E22" s="1556">
        <f t="shared" si="1"/>
        <v>25000</v>
      </c>
      <c r="F22" s="1807">
        <f>SUM(F17:F21)</f>
        <v>17608</v>
      </c>
      <c r="G22" s="1808">
        <f>SUM(G17:G21)</f>
        <v>0</v>
      </c>
    </row>
    <row r="23" spans="1:8" ht="17.25" customHeight="1" x14ac:dyDescent="0.25"/>
    <row r="24" spans="1:8" ht="17.25" customHeight="1" x14ac:dyDescent="0.25"/>
    <row r="25" spans="1:8" ht="17.25" customHeight="1" x14ac:dyDescent="0.25"/>
    <row r="26" spans="1:8" ht="17.25" customHeight="1" x14ac:dyDescent="0.25"/>
    <row r="27" spans="1:8" ht="17.25" customHeight="1" x14ac:dyDescent="0.25"/>
    <row r="28" spans="1:8" ht="17.25" customHeight="1" x14ac:dyDescent="0.25"/>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&amp;C72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222612</v>
      </c>
      <c r="F10" s="975"/>
      <c r="G10" s="976"/>
      <c r="H10" s="162"/>
      <c r="I10" s="162"/>
    </row>
    <row r="11" spans="1:9" s="669" customFormat="1" ht="22.5" customHeight="1" x14ac:dyDescent="0.2">
      <c r="A11" s="2307" t="s">
        <v>1941</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3" t="s">
        <v>552</v>
      </c>
      <c r="E17" s="1654"/>
      <c r="F17" s="1653" t="s">
        <v>452</v>
      </c>
      <c r="G17" s="1655"/>
      <c r="H17" s="162"/>
      <c r="I17" s="162"/>
    </row>
    <row r="18" spans="1:9" s="259" customFormat="1" ht="11.25" x14ac:dyDescent="0.2">
      <c r="A18" s="989"/>
      <c r="C18" s="990" t="s">
        <v>453</v>
      </c>
      <c r="D18" s="1656" t="s">
        <v>454</v>
      </c>
      <c r="E18" s="1656" t="s">
        <v>55</v>
      </c>
      <c r="F18" s="1656" t="s">
        <v>454</v>
      </c>
      <c r="G18" s="1656" t="s">
        <v>55</v>
      </c>
      <c r="H18" s="178"/>
      <c r="I18" s="178"/>
    </row>
    <row r="19" spans="1:9" s="669" customFormat="1" ht="12" customHeight="1" x14ac:dyDescent="0.2">
      <c r="A19" s="991" t="s">
        <v>475</v>
      </c>
      <c r="B19" s="992"/>
      <c r="C19" s="993" t="s">
        <v>590</v>
      </c>
      <c r="D19" s="1812"/>
      <c r="E19" s="1813">
        <f>'Expenditures 15-22'!K33-SUM('Expenditures 15-22'!G33,'Expenditures 15-22'!I33)+'Expenditures 15-22'!D229</f>
        <v>3642451</v>
      </c>
      <c r="F19" s="1812"/>
      <c r="G19" s="1814">
        <f>'Expenditures 15-22'!K33-SUM('Expenditures 15-22'!G33,'Expenditures 15-22'!I33)+'Expenditures 15-22'!D229</f>
        <v>3642451</v>
      </c>
      <c r="H19" s="988"/>
      <c r="I19" s="162"/>
    </row>
    <row r="20" spans="1:9" s="669" customFormat="1" ht="12" customHeight="1" x14ac:dyDescent="0.2">
      <c r="A20" s="991" t="s">
        <v>56</v>
      </c>
      <c r="B20" s="992"/>
      <c r="C20" s="994"/>
      <c r="D20" s="1815"/>
      <c r="E20" s="1815"/>
      <c r="F20" s="1815"/>
      <c r="G20" s="1816"/>
      <c r="H20" s="988"/>
      <c r="I20" s="162"/>
    </row>
    <row r="21" spans="1:9" s="669" customFormat="1" ht="12" customHeight="1" x14ac:dyDescent="0.2">
      <c r="A21" s="995" t="s">
        <v>420</v>
      </c>
      <c r="B21" s="996"/>
      <c r="C21" s="994">
        <v>2100</v>
      </c>
      <c r="D21" s="1815"/>
      <c r="E21" s="1817">
        <f>'Expenditures 15-22'!K42-SUM('Expenditures 15-22'!G42,'Expenditures 15-22'!I42)+'Expenditures 15-22'!K120-SUM('Expenditures 15-22'!G120,'Expenditures 15-22'!I120)+'Expenditures 15-22'!K180-SUM('Expenditures 15-22'!G180,'Expenditures 15-22'!I180)+'Expenditures 15-22'!D238</f>
        <v>393730</v>
      </c>
      <c r="F21" s="1815"/>
      <c r="G21" s="1818">
        <f>'Expenditures 15-22'!K42-SUM('Expenditures 15-22'!G42,'Expenditures 15-22'!I42)+'Expenditures 15-22'!K120-SUM('Expenditures 15-22'!G120,'Expenditures 15-22'!I120)+'Expenditures 15-22'!K180-SUM('Expenditures 15-22'!G180,'Expenditures 15-22'!I180)+'Expenditures 15-22'!D238</f>
        <v>393730</v>
      </c>
      <c r="H21" s="988"/>
      <c r="I21" s="162"/>
    </row>
    <row r="22" spans="1:9" s="669" customFormat="1" ht="12" customHeight="1" x14ac:dyDescent="0.2">
      <c r="A22" s="995" t="s">
        <v>584</v>
      </c>
      <c r="B22" s="996"/>
      <c r="C22" s="994">
        <v>2200</v>
      </c>
      <c r="D22" s="1815"/>
      <c r="E22" s="1817">
        <f>'Expenditures 15-22'!K47-SUM('Expenditures 15-22'!G47,'Expenditures 15-22'!I47)+'Expenditures 15-22'!D243</f>
        <v>30014</v>
      </c>
      <c r="F22" s="1815"/>
      <c r="G22" s="1818">
        <f>'Expenditures 15-22'!K47-SUM('Expenditures 15-22'!G47,'Expenditures 15-22'!I47)+'Expenditures 15-22'!D243</f>
        <v>30014</v>
      </c>
      <c r="H22" s="988"/>
      <c r="I22" s="162"/>
    </row>
    <row r="23" spans="1:9" s="669" customFormat="1" ht="12" customHeight="1" x14ac:dyDescent="0.2">
      <c r="A23" s="995" t="s">
        <v>585</v>
      </c>
      <c r="B23" s="996"/>
      <c r="C23" s="994">
        <v>2300</v>
      </c>
      <c r="D23" s="1815"/>
      <c r="E23" s="1817">
        <f>'Expenditures 15-22'!K53-SUM('Expenditures 15-22'!G53,'Expenditures 15-22'!I53)+'Expenditures 15-22'!D257+'Expenditures 15-22'!K330-SUM('Expenditures 15-22'!G330,'Expenditures 15-22'!I330)</f>
        <v>602276</v>
      </c>
      <c r="F23" s="1815"/>
      <c r="G23" s="1817">
        <f>'Expenditures 15-22'!K53-SUM('Expenditures 15-22'!G53,'Expenditures 15-22'!I53)+'Expenditures 15-22'!D257+'Expenditures 15-22'!K330-SUM('Expenditures 15-22'!G330,'Expenditures 15-22'!I330)</f>
        <v>602276</v>
      </c>
      <c r="H23" s="988"/>
      <c r="I23" s="162"/>
    </row>
    <row r="24" spans="1:9" s="669" customFormat="1" ht="12" customHeight="1" x14ac:dyDescent="0.2">
      <c r="A24" s="995" t="s">
        <v>586</v>
      </c>
      <c r="B24" s="996"/>
      <c r="C24" s="994">
        <v>2400</v>
      </c>
      <c r="D24" s="1815"/>
      <c r="E24" s="1817">
        <f>'Expenditures 15-22'!K57-SUM('Expenditures 15-22'!G57,'Expenditures 15-22'!I57)+'Expenditures 15-22'!D261</f>
        <v>373205</v>
      </c>
      <c r="F24" s="1815"/>
      <c r="G24" s="1818">
        <f>'Expenditures 15-22'!K57-SUM('Expenditures 15-22'!G57,'Expenditures 15-22'!I57)+'Expenditures 15-22'!D261</f>
        <v>373205</v>
      </c>
      <c r="H24" s="988"/>
      <c r="I24" s="162"/>
    </row>
    <row r="25" spans="1:9" s="669" customFormat="1" ht="12" customHeight="1" x14ac:dyDescent="0.2">
      <c r="A25" s="991" t="s">
        <v>587</v>
      </c>
      <c r="B25" s="997"/>
      <c r="C25" s="994"/>
      <c r="D25" s="1815"/>
      <c r="E25" s="1817"/>
      <c r="F25" s="1815"/>
      <c r="G25" s="1818"/>
      <c r="H25" s="988"/>
      <c r="I25" s="162"/>
    </row>
    <row r="26" spans="1:9" s="669" customFormat="1" ht="12" customHeight="1" x14ac:dyDescent="0.2">
      <c r="A26" s="995" t="s">
        <v>535</v>
      </c>
      <c r="B26" s="998"/>
      <c r="C26" s="994">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988"/>
      <c r="I26" s="162"/>
    </row>
    <row r="27" spans="1:9" s="669" customFormat="1" ht="12" customHeight="1" x14ac:dyDescent="0.2">
      <c r="A27" s="995" t="s">
        <v>482</v>
      </c>
      <c r="B27" s="998"/>
      <c r="C27" s="994">
        <v>2520</v>
      </c>
      <c r="D27" s="1817">
        <f>'Expenditures 15-22'!K60-SUM('Expenditures 15-22'!G60,'Expenditures 15-22'!I60)+'Expenditures 15-22'!D264-E8</f>
        <v>103305</v>
      </c>
      <c r="E27" s="1817">
        <f>E8</f>
        <v>0</v>
      </c>
      <c r="F27" s="1817">
        <f>'Expenditures 15-22'!K60-SUM('Expenditures 15-22'!G60,'Expenditures 15-22'!I60)+'Expenditures 15-22'!D264-E8</f>
        <v>103305</v>
      </c>
      <c r="G27" s="1818">
        <f>E8</f>
        <v>0</v>
      </c>
      <c r="H27" s="988"/>
      <c r="I27" s="162"/>
    </row>
    <row r="28" spans="1:9" s="669" customFormat="1" ht="12" customHeight="1" x14ac:dyDescent="0.2">
      <c r="A28" s="995" t="s">
        <v>536</v>
      </c>
      <c r="B28" s="998"/>
      <c r="C28" s="994">
        <v>2540</v>
      </c>
      <c r="D28" s="1819"/>
      <c r="E28" s="1817">
        <f>'Expenditures 15-22'!K61-SUM('Expenditures 15-22'!G61,'Expenditures 15-22'!I61)+'Expenditures 15-22'!K124-SUM('Expenditures 15-22'!G124,'Expenditures 15-22'!I124)+'Expenditures 15-22'!D266</f>
        <v>576847</v>
      </c>
      <c r="F28" s="1819">
        <f>'Expenditures 15-22'!K61-SUM('Expenditures 15-22'!G61,'Expenditures 15-22'!I61)+'Expenditures 15-22'!K124-SUM('Expenditures 15-22'!G124,'Expenditures 15-22'!I124)+'Expenditures 15-22'!D266-E9</f>
        <v>576847</v>
      </c>
      <c r="G28" s="1818">
        <f>E9</f>
        <v>0</v>
      </c>
      <c r="H28" s="988"/>
      <c r="I28" s="162"/>
    </row>
    <row r="29" spans="1:9" ht="12" customHeight="1" x14ac:dyDescent="0.2">
      <c r="A29" s="995" t="s">
        <v>537</v>
      </c>
      <c r="B29" s="998"/>
      <c r="C29" s="994">
        <v>2550</v>
      </c>
      <c r="D29" s="1815"/>
      <c r="E29" s="1817">
        <f>'Expenditures 15-22'!K62-SUM('Expenditures 15-22'!G62,'Expenditures 15-22'!I62)+'Expenditures 15-22'!K125-SUM('Expenditures 15-22'!G125,'Expenditures 15-22'!I125)+'Expenditures 15-22'!K182-SUM('Expenditures 15-22'!G182,'Expenditures 15-22'!I182)+'Expenditures 15-22'!D267</f>
        <v>103378</v>
      </c>
      <c r="F29" s="1815"/>
      <c r="G29" s="1818">
        <f>'Expenditures 15-22'!K62-SUM('Expenditures 15-22'!G62,'Expenditures 15-22'!I62)+'Expenditures 15-22'!K125-SUM('Expenditures 15-22'!G125,'Expenditures 15-22'!I125)+'Expenditures 15-22'!K182-SUM('Expenditures 15-22'!G182,'Expenditures 15-22'!I182)+'Expenditures 15-22'!D267</f>
        <v>103378</v>
      </c>
      <c r="H29" s="986"/>
    </row>
    <row r="30" spans="1:9" ht="12" customHeight="1" x14ac:dyDescent="0.2">
      <c r="A30" s="995" t="s">
        <v>102</v>
      </c>
      <c r="B30" s="998"/>
      <c r="C30" s="994">
        <v>2560</v>
      </c>
      <c r="D30" s="1815"/>
      <c r="E30" s="1817">
        <f>'Expenditures 15-22'!K63-SUM('Expenditures 15-22'!G63,'Expenditures 15-22'!I63)+'Expenditures 15-22'!D268-E10</f>
        <v>219510</v>
      </c>
      <c r="F30" s="1815"/>
      <c r="G30" s="1817">
        <f>'Expenditures 15-22'!K63-SUM('Expenditures 15-22'!G63,'Expenditures 15-22'!I63)+'Expenditures 15-22'!D268-E10</f>
        <v>219510</v>
      </c>
    </row>
    <row r="31" spans="1:9" ht="12" customHeight="1" x14ac:dyDescent="0.2">
      <c r="A31" s="995" t="s">
        <v>103</v>
      </c>
      <c r="B31" s="998"/>
      <c r="C31" s="994">
        <v>2570</v>
      </c>
      <c r="D31" s="1817">
        <f>'Expenditures 15-22'!K64-SUM('Expenditures 15-22'!G64,'Expenditures 15-22'!I64)+'Expenditures 15-22'!D269-E12</f>
        <v>0</v>
      </c>
      <c r="E31" s="1817">
        <f>E12</f>
        <v>0</v>
      </c>
      <c r="F31" s="1817">
        <f>'Expenditures 15-22'!K64-SUM('Expenditures 15-22'!G64,'Expenditures 15-22'!I64)+'Expenditures 15-22'!D269-E12</f>
        <v>0</v>
      </c>
      <c r="G31" s="1817">
        <f>E12</f>
        <v>0</v>
      </c>
    </row>
    <row r="32" spans="1:9" ht="12" customHeight="1" x14ac:dyDescent="0.2">
      <c r="A32" s="991" t="s">
        <v>538</v>
      </c>
      <c r="B32" s="997"/>
      <c r="C32" s="994"/>
      <c r="D32" s="1815"/>
      <c r="E32" s="1815"/>
      <c r="F32" s="1815"/>
      <c r="G32" s="1815"/>
    </row>
    <row r="33" spans="1:7" ht="12" customHeight="1" x14ac:dyDescent="0.2">
      <c r="A33" s="995" t="s">
        <v>539</v>
      </c>
      <c r="B33" s="998"/>
      <c r="C33" s="994">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995" t="s">
        <v>540</v>
      </c>
      <c r="B34" s="998"/>
      <c r="C34" s="994">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995" t="s">
        <v>1120</v>
      </c>
      <c r="B35" s="998"/>
      <c r="C35" s="994">
        <v>2630</v>
      </c>
      <c r="D35" s="1815"/>
      <c r="E35" s="1817">
        <f>'Expenditures 15-22'!K69-SUM('Expenditures 15-22'!G69,'Expenditures 15-22'!I69)+'Expenditures 15-22'!D274</f>
        <v>0</v>
      </c>
      <c r="F35" s="1815"/>
      <c r="G35" s="1817">
        <f>'Expenditures 15-22'!K69-SUM('Expenditures 15-22'!G69,'Expenditures 15-22'!I69)+'Expenditures 15-22'!D274</f>
        <v>0</v>
      </c>
    </row>
    <row r="36" spans="1:7" ht="12" customHeight="1" x14ac:dyDescent="0.2">
      <c r="A36" s="995" t="s">
        <v>422</v>
      </c>
      <c r="B36" s="998"/>
      <c r="C36" s="994">
        <v>2640</v>
      </c>
      <c r="D36" s="1817">
        <f>'Expenditures 15-22'!K70-SUM('Expenditures 15-22'!G70,'Expenditures 15-22'!I70)+'Expenditures 15-22'!D275-E13</f>
        <v>0</v>
      </c>
      <c r="E36" s="1817">
        <f>E13</f>
        <v>0</v>
      </c>
      <c r="F36" s="1817">
        <f>'Expenditures 15-22'!K70-SUM('Expenditures 15-22'!G70,'Expenditures 15-22'!I70)+'Expenditures 15-22'!D275-E13</f>
        <v>0</v>
      </c>
      <c r="G36" s="1817">
        <f>E13</f>
        <v>0</v>
      </c>
    </row>
    <row r="37" spans="1:7" ht="12" customHeight="1" x14ac:dyDescent="0.2">
      <c r="A37" s="995" t="s">
        <v>423</v>
      </c>
      <c r="B37" s="998"/>
      <c r="C37" s="994">
        <v>2660</v>
      </c>
      <c r="D37" s="1817">
        <f>'Expenditures 15-22'!K71-SUM('Expenditures 15-22'!G71,'Expenditures 15-22'!I71)+'Expenditures 15-22'!D276-E14</f>
        <v>109601</v>
      </c>
      <c r="E37" s="1817">
        <f>E14</f>
        <v>0</v>
      </c>
      <c r="F37" s="1817">
        <f>'Expenditures 15-22'!K71-SUM('Expenditures 15-22'!G71,'Expenditures 15-22'!I71)+'Expenditures 15-22'!D276-E14</f>
        <v>109601</v>
      </c>
      <c r="G37" s="1817">
        <f>E14</f>
        <v>0</v>
      </c>
    </row>
    <row r="38" spans="1:7" ht="12" customHeight="1" x14ac:dyDescent="0.2">
      <c r="A38" s="991" t="s">
        <v>541</v>
      </c>
      <c r="B38" s="992"/>
      <c r="C38" s="994">
        <v>2900</v>
      </c>
      <c r="D38" s="1815"/>
      <c r="E38" s="1817">
        <f>'Expenditures 15-22'!K73-SUM('Expenditures 15-22'!G73,'Expenditures 15-22'!I73)+'Expenditures 15-22'!K128-SUM('Expenditures 15-22'!G128,'Expenditures 15-22'!I128)+'Expenditures 15-22'!K183-SUM('Expenditures 15-22'!G183,'Expenditures 15-22'!I183)+'Expenditures 15-22'!D278</f>
        <v>0</v>
      </c>
      <c r="F38" s="1815"/>
      <c r="G38" s="181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15"/>
      <c r="E39" s="1817">
        <f>'Expenditures 15-22'!K75-SUM('Expenditures 15-22'!G75,'Expenditures 15-22'!I75)+'Expenditures 15-22'!K130-SUM('Expenditures 15-22'!G130,'Expenditures 15-22'!I130)+'Expenditures 15-22'!K185-SUM('Expenditures 15-22'!G185,'Expenditures 15-22'!I185)+'Expenditures 15-22'!D280</f>
        <v>76592</v>
      </c>
      <c r="F39" s="1815"/>
      <c r="G39" s="1817">
        <f>'Expenditures 15-22'!K75-SUM('Expenditures 15-22'!G75,'Expenditures 15-22'!I75)+'Expenditures 15-22'!K130-SUM('Expenditures 15-22'!G130,'Expenditures 15-22'!I130)+'Expenditures 15-22'!K185-SUM('Expenditures 15-22'!G185,'Expenditures 15-22'!I185)+'Expenditures 15-22'!D280</f>
        <v>76592</v>
      </c>
    </row>
    <row r="40" spans="1:7" ht="12" customHeight="1" x14ac:dyDescent="0.2">
      <c r="A40" s="991" t="s">
        <v>1927</v>
      </c>
      <c r="B40" s="992"/>
      <c r="C40" s="994"/>
      <c r="D40" s="1815"/>
      <c r="E40" s="1819">
        <f>-'Contracts Paid in CY 29'!G22</f>
        <v>0</v>
      </c>
      <c r="F40" s="1815"/>
      <c r="G40" s="1819">
        <f>-'Contracts Paid in CY 29'!G22</f>
        <v>0</v>
      </c>
    </row>
    <row r="41" spans="1:7" ht="12" customHeight="1" x14ac:dyDescent="0.2">
      <c r="A41" s="999" t="s">
        <v>158</v>
      </c>
      <c r="B41" s="1000"/>
      <c r="C41" s="1001"/>
      <c r="D41" s="1819">
        <f>SUM(D19:D39)</f>
        <v>212906</v>
      </c>
      <c r="E41" s="1819">
        <f>SUM(E19:E40)</f>
        <v>6018003</v>
      </c>
      <c r="F41" s="1819">
        <f>SUM(F19:F39)</f>
        <v>789753</v>
      </c>
      <c r="G41" s="1819">
        <f>SUM(G19:G40)</f>
        <v>5441156</v>
      </c>
    </row>
    <row r="42" spans="1:7" x14ac:dyDescent="0.2">
      <c r="A42" s="988"/>
      <c r="B42" s="162"/>
      <c r="C42" s="1002"/>
      <c r="D42" s="2305" t="s">
        <v>542</v>
      </c>
      <c r="E42" s="2306"/>
      <c r="F42" s="1003" t="s">
        <v>543</v>
      </c>
      <c r="G42" s="1004"/>
    </row>
    <row r="43" spans="1:7" ht="12" customHeight="1" x14ac:dyDescent="0.2">
      <c r="A43" s="988"/>
      <c r="B43" s="162"/>
      <c r="C43" s="1002"/>
      <c r="D43" s="1820" t="s">
        <v>492</v>
      </c>
      <c r="E43" s="1821">
        <f>D41</f>
        <v>212906</v>
      </c>
      <c r="F43" s="1820" t="s">
        <v>494</v>
      </c>
      <c r="G43" s="1821">
        <f>F41</f>
        <v>789753</v>
      </c>
    </row>
    <row r="44" spans="1:7" ht="12" customHeight="1" x14ac:dyDescent="0.2">
      <c r="A44" s="988"/>
      <c r="B44" s="162"/>
      <c r="C44" s="1002"/>
      <c r="D44" s="1820" t="s">
        <v>493</v>
      </c>
      <c r="E44" s="1821">
        <f>E41</f>
        <v>6018003</v>
      </c>
      <c r="F44" s="1820" t="s">
        <v>493</v>
      </c>
      <c r="G44" s="1821">
        <f>G41</f>
        <v>5441156</v>
      </c>
    </row>
    <row r="45" spans="1:7" ht="12" customHeight="1" x14ac:dyDescent="0.2">
      <c r="A45" s="988"/>
      <c r="B45" s="162"/>
      <c r="C45" s="162"/>
      <c r="D45" s="1822" t="s">
        <v>1062</v>
      </c>
      <c r="E45" s="1823">
        <f>(E43/E44)</f>
        <v>3.5378181100939966E-2</v>
      </c>
      <c r="F45" s="1822" t="s">
        <v>1062</v>
      </c>
      <c r="G45" s="1823">
        <f>(G43/G44)</f>
        <v>0.14514434065114104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5"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7" sqref="C27"/>
    </sheetView>
  </sheetViews>
  <sheetFormatPr defaultColWidth="9.140625" defaultRowHeight="12.75" x14ac:dyDescent="0.2"/>
  <cols>
    <col min="1" max="1" width="54.5703125" style="1888" customWidth="1"/>
    <col min="2" max="2" width="4.140625" style="1888" customWidth="1"/>
    <col min="3" max="4" width="9.85546875" style="1859" customWidth="1"/>
    <col min="5" max="5" width="12.5703125" style="1889" customWidth="1"/>
    <col min="6" max="6" width="67.5703125" style="1859" customWidth="1"/>
    <col min="7" max="7" width="9.140625" style="1859" customWidth="1"/>
    <col min="8" max="8" width="5.5703125" style="1890" bestFit="1" customWidth="1"/>
    <col min="9" max="10" width="2" style="1890" bestFit="1" customWidth="1"/>
    <col min="11" max="11" width="9" style="1890" customWidth="1"/>
    <col min="12" max="16384" width="9.140625" style="1859"/>
  </cols>
  <sheetData>
    <row r="1" spans="1:10" x14ac:dyDescent="0.2">
      <c r="A1" s="2324" t="s">
        <v>1445</v>
      </c>
      <c r="B1" s="2324"/>
      <c r="C1" s="2324"/>
      <c r="D1" s="2324"/>
      <c r="E1" s="2324"/>
      <c r="F1" s="2324"/>
    </row>
    <row r="2" spans="1:10" x14ac:dyDescent="0.2">
      <c r="A2" s="1899" t="s">
        <v>2043</v>
      </c>
      <c r="B2" s="1860"/>
      <c r="C2" s="1899"/>
      <c r="D2" s="1860"/>
      <c r="E2" s="1860"/>
      <c r="F2" s="1861"/>
    </row>
    <row r="3" spans="1:10" x14ac:dyDescent="0.2">
      <c r="A3" s="1899" t="s">
        <v>1699</v>
      </c>
      <c r="B3" s="1860"/>
      <c r="C3" s="1899"/>
      <c r="D3" s="1860"/>
      <c r="E3" s="1860"/>
      <c r="F3" s="1861"/>
    </row>
    <row r="4" spans="1:10" ht="3.75" customHeight="1" x14ac:dyDescent="0.2">
      <c r="A4" s="1860"/>
      <c r="B4" s="1860"/>
      <c r="C4" s="1860"/>
      <c r="D4" s="1860"/>
      <c r="E4" s="1860"/>
      <c r="F4" s="1861"/>
    </row>
    <row r="5" spans="1:10" ht="15" x14ac:dyDescent="0.25">
      <c r="A5" s="2325" t="s">
        <v>1626</v>
      </c>
      <c r="B5" s="2326"/>
      <c r="C5" s="2327"/>
      <c r="D5" s="2327"/>
      <c r="E5" s="2327"/>
      <c r="F5" s="2327"/>
    </row>
    <row r="6" spans="1:10" ht="12" customHeight="1" x14ac:dyDescent="0.25">
      <c r="A6" s="1862"/>
      <c r="B6" s="1863"/>
      <c r="C6" s="2328" t="str">
        <f>COVER!A17</f>
        <v>Wood River-Hartford ESD 15</v>
      </c>
      <c r="D6" s="2328"/>
      <c r="E6" s="2328"/>
      <c r="F6" s="1864"/>
    </row>
    <row r="7" spans="1:10" ht="11.25" customHeight="1" thickBot="1" x14ac:dyDescent="0.3">
      <c r="A7" s="1862"/>
      <c r="B7" s="1863"/>
      <c r="C7" s="2329">
        <f>COVER!A13</f>
        <v>41057015003</v>
      </c>
      <c r="D7" s="2329"/>
      <c r="E7" s="2329"/>
      <c r="F7" s="1864"/>
    </row>
    <row r="8" spans="1:10" ht="25.5" customHeight="1" thickBot="1" x14ac:dyDescent="0.25">
      <c r="A8" s="1905" t="s">
        <v>2020</v>
      </c>
      <c r="B8" s="1865"/>
      <c r="C8" s="1901" t="s">
        <v>1779</v>
      </c>
      <c r="D8" s="1900" t="s">
        <v>1780</v>
      </c>
      <c r="E8" s="1902" t="s">
        <v>1446</v>
      </c>
      <c r="F8" s="1900" t="s">
        <v>1781</v>
      </c>
      <c r="H8" s="1866" t="b">
        <v>0</v>
      </c>
    </row>
    <row r="9" spans="1:10" ht="15.75" customHeight="1" x14ac:dyDescent="0.2">
      <c r="A9" s="1867" t="s">
        <v>1622</v>
      </c>
      <c r="B9" s="1868"/>
      <c r="C9" s="1869"/>
      <c r="D9" s="1869"/>
      <c r="E9" s="1870"/>
      <c r="F9" s="1871"/>
    </row>
    <row r="10" spans="1:10" ht="27.75" customHeight="1" x14ac:dyDescent="0.2">
      <c r="A10" s="1872" t="s">
        <v>1778</v>
      </c>
      <c r="B10" s="1873"/>
      <c r="C10" s="1874"/>
      <c r="D10" s="1874"/>
      <c r="E10" s="1903" t="s">
        <v>1447</v>
      </c>
      <c r="F10" s="1904" t="s">
        <v>1448</v>
      </c>
    </row>
    <row r="11" spans="1:10" ht="12" customHeight="1" x14ac:dyDescent="0.2">
      <c r="A11" s="1875" t="s">
        <v>1449</v>
      </c>
      <c r="B11" s="1876"/>
      <c r="C11" s="1877"/>
      <c r="D11" s="1877"/>
      <c r="E11" s="1878"/>
      <c r="F11" s="1879"/>
      <c r="H11" s="1890">
        <f>IF(C11="X",5,0)</f>
        <v>0</v>
      </c>
      <c r="I11" s="1890">
        <f>IF(D11="X",5,0)</f>
        <v>0</v>
      </c>
      <c r="J11" s="1890">
        <f>IF(E11="X",5,0)</f>
        <v>0</v>
      </c>
    </row>
    <row r="12" spans="1:10" ht="12" customHeight="1" x14ac:dyDescent="0.2">
      <c r="A12" s="1875" t="s">
        <v>1450</v>
      </c>
      <c r="B12" s="1876"/>
      <c r="C12" s="1877"/>
      <c r="D12" s="1877"/>
      <c r="E12" s="1880"/>
      <c r="F12" s="1879"/>
      <c r="H12" s="1890">
        <f t="shared" ref="H12:H33" si="0">IF(C12="X",5,0)</f>
        <v>0</v>
      </c>
      <c r="I12" s="1890">
        <f t="shared" ref="I12:I33" si="1">IF(D12="X",5,0)</f>
        <v>0</v>
      </c>
      <c r="J12" s="1890">
        <f t="shared" ref="J12:J33" si="2">IF(E12="X",5,0)</f>
        <v>0</v>
      </c>
    </row>
    <row r="13" spans="1:10" ht="12" customHeight="1" x14ac:dyDescent="0.2">
      <c r="A13" s="1875" t="s">
        <v>1451</v>
      </c>
      <c r="B13" s="1876"/>
      <c r="C13" s="1877"/>
      <c r="D13" s="1877"/>
      <c r="E13" s="1880"/>
      <c r="F13" s="1879"/>
      <c r="H13" s="1890">
        <f t="shared" si="0"/>
        <v>0</v>
      </c>
      <c r="I13" s="1890">
        <f t="shared" si="1"/>
        <v>0</v>
      </c>
      <c r="J13" s="1890">
        <f t="shared" si="2"/>
        <v>0</v>
      </c>
    </row>
    <row r="14" spans="1:10" ht="12" customHeight="1" x14ac:dyDescent="0.2">
      <c r="A14" s="1875" t="s">
        <v>1452</v>
      </c>
      <c r="B14" s="1876"/>
      <c r="C14" s="1877"/>
      <c r="D14" s="1877"/>
      <c r="E14" s="1880"/>
      <c r="F14" s="1879"/>
      <c r="H14" s="1890">
        <f t="shared" si="0"/>
        <v>0</v>
      </c>
      <c r="I14" s="1890">
        <f t="shared" si="1"/>
        <v>0</v>
      </c>
      <c r="J14" s="1890">
        <f t="shared" si="2"/>
        <v>0</v>
      </c>
    </row>
    <row r="15" spans="1:10" ht="12" customHeight="1" x14ac:dyDescent="0.2">
      <c r="A15" s="1875" t="s">
        <v>1453</v>
      </c>
      <c r="B15" s="1876"/>
      <c r="C15" s="1877"/>
      <c r="D15" s="1877"/>
      <c r="E15" s="1880"/>
      <c r="F15" s="1879"/>
      <c r="H15" s="1890">
        <f t="shared" si="0"/>
        <v>0</v>
      </c>
      <c r="I15" s="1890">
        <f t="shared" si="1"/>
        <v>0</v>
      </c>
      <c r="J15" s="1890">
        <f t="shared" si="2"/>
        <v>0</v>
      </c>
    </row>
    <row r="16" spans="1:10" ht="12" customHeight="1" x14ac:dyDescent="0.2">
      <c r="A16" s="1875" t="s">
        <v>1454</v>
      </c>
      <c r="B16" s="1876"/>
      <c r="C16" s="1877"/>
      <c r="D16" s="1877"/>
      <c r="E16" s="1880"/>
      <c r="F16" s="1879"/>
      <c r="H16" s="1890">
        <f t="shared" si="0"/>
        <v>0</v>
      </c>
      <c r="I16" s="1890">
        <f t="shared" si="1"/>
        <v>0</v>
      </c>
      <c r="J16" s="1890">
        <f t="shared" si="2"/>
        <v>0</v>
      </c>
    </row>
    <row r="17" spans="1:12" ht="12" customHeight="1" x14ac:dyDescent="0.2">
      <c r="A17" s="1875" t="s">
        <v>1455</v>
      </c>
      <c r="B17" s="1876"/>
      <c r="C17" s="1877"/>
      <c r="D17" s="1877"/>
      <c r="E17" s="1880"/>
      <c r="F17" s="1879"/>
      <c r="H17" s="1890">
        <f t="shared" si="0"/>
        <v>0</v>
      </c>
      <c r="I17" s="1890">
        <f t="shared" si="1"/>
        <v>0</v>
      </c>
      <c r="J17" s="1890">
        <f t="shared" si="2"/>
        <v>0</v>
      </c>
    </row>
    <row r="18" spans="1:12" ht="12" customHeight="1" x14ac:dyDescent="0.2">
      <c r="A18" s="1875" t="s">
        <v>1456</v>
      </c>
      <c r="B18" s="1876"/>
      <c r="C18" s="1877"/>
      <c r="D18" s="1877"/>
      <c r="E18" s="1880"/>
      <c r="F18" s="1879"/>
      <c r="H18" s="1890">
        <f t="shared" si="0"/>
        <v>0</v>
      </c>
      <c r="I18" s="1890">
        <f t="shared" si="1"/>
        <v>0</v>
      </c>
      <c r="J18" s="1890">
        <f t="shared" si="2"/>
        <v>0</v>
      </c>
    </row>
    <row r="19" spans="1:12" ht="12" customHeight="1" x14ac:dyDescent="0.2">
      <c r="A19" s="1875" t="s">
        <v>1607</v>
      </c>
      <c r="B19" s="1876"/>
      <c r="C19" s="1877"/>
      <c r="D19" s="1877"/>
      <c r="E19" s="1880"/>
      <c r="F19" s="1879"/>
      <c r="H19" s="1890">
        <f t="shared" si="0"/>
        <v>0</v>
      </c>
      <c r="I19" s="1890">
        <f t="shared" si="1"/>
        <v>0</v>
      </c>
      <c r="J19" s="1890">
        <f t="shared" si="2"/>
        <v>0</v>
      </c>
    </row>
    <row r="20" spans="1:12" ht="12" customHeight="1" x14ac:dyDescent="0.2">
      <c r="A20" s="1875" t="s">
        <v>1608</v>
      </c>
      <c r="B20" s="1876"/>
      <c r="C20" s="1877"/>
      <c r="D20" s="1877"/>
      <c r="E20" s="1880"/>
      <c r="F20" s="1879"/>
      <c r="H20" s="1890">
        <f t="shared" si="0"/>
        <v>0</v>
      </c>
      <c r="I20" s="1890">
        <f t="shared" si="1"/>
        <v>0</v>
      </c>
      <c r="J20" s="1890">
        <f t="shared" si="2"/>
        <v>0</v>
      </c>
    </row>
    <row r="21" spans="1:12" ht="12" customHeight="1" x14ac:dyDescent="0.2">
      <c r="A21" s="1875" t="s">
        <v>1609</v>
      </c>
      <c r="B21" s="1876"/>
      <c r="C21" s="1877"/>
      <c r="D21" s="1877"/>
      <c r="E21" s="1880"/>
      <c r="F21" s="1879"/>
      <c r="H21" s="1890">
        <f t="shared" si="0"/>
        <v>0</v>
      </c>
      <c r="I21" s="1890">
        <f t="shared" si="1"/>
        <v>0</v>
      </c>
      <c r="J21" s="1890">
        <f t="shared" si="2"/>
        <v>0</v>
      </c>
    </row>
    <row r="22" spans="1:12" ht="12" customHeight="1" x14ac:dyDescent="0.2">
      <c r="A22" s="1875" t="s">
        <v>1610</v>
      </c>
      <c r="B22" s="1876"/>
      <c r="C22" s="1877"/>
      <c r="D22" s="1877"/>
      <c r="E22" s="1880"/>
      <c r="F22" s="1879"/>
      <c r="H22" s="1890">
        <f t="shared" si="0"/>
        <v>0</v>
      </c>
      <c r="I22" s="1890">
        <f t="shared" si="1"/>
        <v>0</v>
      </c>
      <c r="J22" s="1890">
        <f t="shared" si="2"/>
        <v>0</v>
      </c>
    </row>
    <row r="23" spans="1:12" ht="12" customHeight="1" x14ac:dyDescent="0.2">
      <c r="A23" s="1875" t="s">
        <v>1611</v>
      </c>
      <c r="B23" s="1876"/>
      <c r="C23" s="1877"/>
      <c r="D23" s="1877"/>
      <c r="E23" s="1880"/>
      <c r="F23" s="1879"/>
      <c r="H23" s="1890">
        <f t="shared" si="0"/>
        <v>0</v>
      </c>
      <c r="I23" s="1890">
        <f t="shared" si="1"/>
        <v>0</v>
      </c>
      <c r="J23" s="1890">
        <f t="shared" si="2"/>
        <v>0</v>
      </c>
    </row>
    <row r="24" spans="1:12" ht="12" customHeight="1" x14ac:dyDescent="0.2">
      <c r="A24" s="1875" t="s">
        <v>1612</v>
      </c>
      <c r="B24" s="1876"/>
      <c r="C24" s="1877"/>
      <c r="D24" s="1877"/>
      <c r="E24" s="1880"/>
      <c r="F24" s="1879"/>
      <c r="H24" s="1890">
        <f t="shared" si="0"/>
        <v>0</v>
      </c>
      <c r="I24" s="1890">
        <f t="shared" si="1"/>
        <v>0</v>
      </c>
      <c r="J24" s="1890">
        <f t="shared" si="2"/>
        <v>0</v>
      </c>
    </row>
    <row r="25" spans="1:12" ht="12" customHeight="1" x14ac:dyDescent="0.2">
      <c r="A25" s="1875" t="s">
        <v>1613</v>
      </c>
      <c r="B25" s="1876"/>
      <c r="C25" s="1877"/>
      <c r="D25" s="1877"/>
      <c r="E25" s="1880"/>
      <c r="F25" s="1879"/>
      <c r="H25" s="1890">
        <f t="shared" si="0"/>
        <v>0</v>
      </c>
      <c r="I25" s="1890">
        <f t="shared" si="1"/>
        <v>0</v>
      </c>
      <c r="J25" s="1890">
        <f t="shared" si="2"/>
        <v>0</v>
      </c>
    </row>
    <row r="26" spans="1:12" ht="12" customHeight="1" x14ac:dyDescent="0.2">
      <c r="A26" s="1875" t="s">
        <v>1614</v>
      </c>
      <c r="B26" s="1876"/>
      <c r="C26" s="1877" t="s">
        <v>2074</v>
      </c>
      <c r="D26" s="1877" t="s">
        <v>2074</v>
      </c>
      <c r="E26" s="1880" t="s">
        <v>2074</v>
      </c>
      <c r="F26" s="1879" t="s">
        <v>2095</v>
      </c>
      <c r="H26" s="1890">
        <f t="shared" si="0"/>
        <v>5</v>
      </c>
      <c r="I26" s="1890">
        <f t="shared" si="1"/>
        <v>5</v>
      </c>
      <c r="J26" s="1890">
        <f t="shared" si="2"/>
        <v>5</v>
      </c>
    </row>
    <row r="27" spans="1:12" ht="18.75" x14ac:dyDescent="0.2">
      <c r="A27" s="1875" t="s">
        <v>1615</v>
      </c>
      <c r="B27" s="1876"/>
      <c r="C27" s="1877"/>
      <c r="D27" s="1877"/>
      <c r="E27" s="1880"/>
      <c r="F27" s="1879"/>
      <c r="H27" s="1890">
        <f t="shared" si="0"/>
        <v>0</v>
      </c>
      <c r="I27" s="1890">
        <f t="shared" si="1"/>
        <v>0</v>
      </c>
      <c r="J27" s="1890">
        <f t="shared" si="2"/>
        <v>0</v>
      </c>
    </row>
    <row r="28" spans="1:12" ht="12" customHeight="1" x14ac:dyDescent="0.2">
      <c r="A28" s="1875" t="s">
        <v>1616</v>
      </c>
      <c r="B28" s="1876"/>
      <c r="C28" s="1877"/>
      <c r="D28" s="1877"/>
      <c r="E28" s="1880"/>
      <c r="F28" s="1879"/>
      <c r="H28" s="1890">
        <f t="shared" si="0"/>
        <v>0</v>
      </c>
      <c r="I28" s="1890">
        <f t="shared" si="1"/>
        <v>0</v>
      </c>
      <c r="J28" s="1890">
        <f t="shared" si="2"/>
        <v>0</v>
      </c>
    </row>
    <row r="29" spans="1:12" ht="12" customHeight="1" x14ac:dyDescent="0.2">
      <c r="A29" s="1875" t="s">
        <v>1617</v>
      </c>
      <c r="B29" s="1876"/>
      <c r="C29" s="1877"/>
      <c r="D29" s="1877"/>
      <c r="E29" s="1880"/>
      <c r="F29" s="1879"/>
      <c r="H29" s="1890">
        <f t="shared" si="0"/>
        <v>0</v>
      </c>
      <c r="I29" s="1890">
        <f t="shared" si="1"/>
        <v>0</v>
      </c>
      <c r="J29" s="1890">
        <f t="shared" si="2"/>
        <v>0</v>
      </c>
    </row>
    <row r="30" spans="1:12" ht="12" customHeight="1" x14ac:dyDescent="0.2">
      <c r="A30" s="1875" t="s">
        <v>1618</v>
      </c>
      <c r="B30" s="1876"/>
      <c r="C30" s="1877"/>
      <c r="D30" s="1877"/>
      <c r="E30" s="1880"/>
      <c r="F30" s="1879"/>
      <c r="H30" s="1890">
        <f t="shared" si="0"/>
        <v>0</v>
      </c>
      <c r="I30" s="1890">
        <f t="shared" si="1"/>
        <v>0</v>
      </c>
      <c r="J30" s="1890">
        <f t="shared" si="2"/>
        <v>0</v>
      </c>
    </row>
    <row r="31" spans="1:12" ht="12" customHeight="1" x14ac:dyDescent="0.2">
      <c r="A31" s="1875" t="s">
        <v>1619</v>
      </c>
      <c r="B31" s="1876"/>
      <c r="C31" s="1877"/>
      <c r="D31" s="1877"/>
      <c r="E31" s="1880"/>
      <c r="F31" s="1879"/>
      <c r="H31" s="1890">
        <f t="shared" si="0"/>
        <v>0</v>
      </c>
      <c r="I31" s="1890">
        <f t="shared" si="1"/>
        <v>0</v>
      </c>
      <c r="J31" s="1890">
        <f t="shared" si="2"/>
        <v>0</v>
      </c>
      <c r="L31" s="1881"/>
    </row>
    <row r="32" spans="1:12" ht="12" customHeight="1" x14ac:dyDescent="0.2">
      <c r="A32" s="1875" t="s">
        <v>1620</v>
      </c>
      <c r="B32" s="1876"/>
      <c r="C32" s="1877"/>
      <c r="D32" s="1877"/>
      <c r="E32" s="1880"/>
      <c r="F32" s="1879"/>
      <c r="H32" s="1890">
        <f t="shared" si="0"/>
        <v>0</v>
      </c>
      <c r="I32" s="1890">
        <f t="shared" si="1"/>
        <v>0</v>
      </c>
      <c r="J32" s="1890">
        <f t="shared" si="2"/>
        <v>0</v>
      </c>
    </row>
    <row r="33" spans="1:11" ht="12" customHeight="1" x14ac:dyDescent="0.2">
      <c r="A33" s="1875" t="s">
        <v>1621</v>
      </c>
      <c r="B33" s="1876"/>
      <c r="C33" s="1877"/>
      <c r="D33" s="1877"/>
      <c r="E33" s="1880"/>
      <c r="F33" s="1879"/>
      <c r="H33" s="1890">
        <f t="shared" si="0"/>
        <v>0</v>
      </c>
      <c r="I33" s="1890">
        <f t="shared" si="1"/>
        <v>0</v>
      </c>
      <c r="J33" s="1890">
        <f t="shared" si="2"/>
        <v>0</v>
      </c>
    </row>
    <row r="34" spans="1:11" ht="12" customHeight="1" x14ac:dyDescent="0.25">
      <c r="A34" s="1882"/>
      <c r="B34" s="1882"/>
      <c r="C34" s="1882"/>
      <c r="D34" s="1882"/>
      <c r="E34" s="1882"/>
      <c r="F34" s="1882"/>
      <c r="H34" s="1890">
        <f>SUM(H11:H32)</f>
        <v>5</v>
      </c>
      <c r="I34" s="1890">
        <f>SUM(I11:I32)</f>
        <v>5</v>
      </c>
      <c r="J34" s="1890">
        <f>SUM(J11:J32)</f>
        <v>5</v>
      </c>
      <c r="K34" s="1890">
        <f>SUM(H34:J34)</f>
        <v>15</v>
      </c>
    </row>
    <row r="35" spans="1:11" ht="12" customHeight="1" x14ac:dyDescent="0.2">
      <c r="A35" s="1883" t="s">
        <v>1458</v>
      </c>
      <c r="B35" s="1884"/>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85"/>
      <c r="B39" s="1885"/>
      <c r="C39" s="1885"/>
      <c r="D39" s="1885"/>
      <c r="E39" s="1885"/>
      <c r="F39" s="1885"/>
    </row>
    <row r="40" spans="1:11" s="1882" customFormat="1" ht="12" customHeight="1" x14ac:dyDescent="0.25">
      <c r="A40" s="1886" t="s">
        <v>1457</v>
      </c>
      <c r="B40" s="1887"/>
      <c r="C40" s="2319"/>
      <c r="D40" s="2319"/>
      <c r="E40" s="2319"/>
      <c r="F40" s="2320"/>
      <c r="H40" s="1891"/>
      <c r="I40" s="1891"/>
      <c r="J40" s="1891"/>
      <c r="K40" s="1891"/>
    </row>
    <row r="41" spans="1:11" s="1882" customFormat="1" ht="12" customHeight="1" x14ac:dyDescent="0.25">
      <c r="A41" s="2321"/>
      <c r="B41" s="2322"/>
      <c r="C41" s="2322"/>
      <c r="D41" s="2322"/>
      <c r="E41" s="2322"/>
      <c r="F41" s="2323"/>
      <c r="H41" s="1891"/>
      <c r="I41" s="1891"/>
      <c r="J41" s="1891"/>
      <c r="K41" s="1891"/>
    </row>
    <row r="42" spans="1:11" s="1882" customFormat="1" ht="12" customHeight="1" x14ac:dyDescent="0.25">
      <c r="A42" s="2321"/>
      <c r="B42" s="2322"/>
      <c r="C42" s="2322"/>
      <c r="D42" s="2322"/>
      <c r="E42" s="2322"/>
      <c r="F42" s="2323"/>
      <c r="H42" s="1891"/>
      <c r="I42" s="1891"/>
      <c r="J42" s="1891"/>
      <c r="K42" s="1891"/>
    </row>
    <row r="43" spans="1:11" s="1882" customFormat="1" ht="15" x14ac:dyDescent="0.25">
      <c r="A43" s="2310"/>
      <c r="B43" s="2311"/>
      <c r="C43" s="2311"/>
      <c r="D43" s="2311"/>
      <c r="E43" s="2311"/>
      <c r="F43" s="2312"/>
      <c r="H43" s="1891"/>
      <c r="I43" s="1891"/>
      <c r="J43" s="1891"/>
      <c r="K43" s="1891"/>
    </row>
    <row r="44" spans="1:11" s="1882" customFormat="1" ht="12" hidden="1" customHeight="1" x14ac:dyDescent="0.25">
      <c r="A44" s="2310"/>
      <c r="B44" s="2311"/>
      <c r="C44" s="2311"/>
      <c r="D44" s="2311"/>
      <c r="E44" s="2311"/>
      <c r="F44" s="2312"/>
      <c r="H44" s="1891"/>
      <c r="I44" s="1891"/>
      <c r="J44" s="1891"/>
      <c r="K44" s="1891"/>
    </row>
    <row r="45" spans="1:11" s="1882" customFormat="1" ht="12" customHeight="1" x14ac:dyDescent="0.25">
      <c r="H45" s="1891"/>
      <c r="I45" s="1891"/>
      <c r="J45" s="1891"/>
      <c r="K45" s="1891"/>
    </row>
    <row r="46" spans="1:11" s="1882" customFormat="1" ht="9.75" customHeight="1" x14ac:dyDescent="0.25">
      <c r="H46" s="1891"/>
      <c r="I46" s="1891"/>
      <c r="J46" s="1891"/>
      <c r="K46" s="1891"/>
    </row>
    <row r="47" spans="1:11" s="1882" customFormat="1" ht="13.5" customHeight="1" x14ac:dyDescent="0.25">
      <c r="H47" s="1891"/>
      <c r="I47" s="1891"/>
      <c r="J47" s="1891"/>
      <c r="K47" s="1891"/>
    </row>
    <row r="48" spans="1:11" s="1882" customFormat="1" ht="15" x14ac:dyDescent="0.25">
      <c r="H48" s="1891"/>
      <c r="I48" s="1891"/>
      <c r="J48" s="1891"/>
      <c r="K48" s="1891"/>
    </row>
    <row r="49" spans="1:11" s="1882" customFormat="1" ht="15" hidden="1" x14ac:dyDescent="0.25">
      <c r="A49" s="1882" t="b">
        <v>0</v>
      </c>
      <c r="H49" s="1891"/>
      <c r="I49" s="1891"/>
      <c r="J49" s="1891"/>
      <c r="K49" s="1891"/>
    </row>
    <row r="50" spans="1:11" s="1882" customFormat="1" ht="15" x14ac:dyDescent="0.25">
      <c r="H50" s="1891"/>
      <c r="I50" s="1891"/>
      <c r="J50" s="1891"/>
      <c r="K50" s="1891"/>
    </row>
    <row r="51" spans="1:11" s="1882" customFormat="1" ht="15" x14ac:dyDescent="0.25">
      <c r="H51" s="1891"/>
      <c r="I51" s="1891"/>
      <c r="J51" s="1891"/>
      <c r="K51" s="1891"/>
    </row>
    <row r="52" spans="1:11" s="1882" customFormat="1" ht="15" x14ac:dyDescent="0.25">
      <c r="H52" s="1891"/>
      <c r="I52" s="1891"/>
      <c r="J52" s="1891"/>
      <c r="K52" s="1891"/>
    </row>
    <row r="53" spans="1:11" s="1882" customFormat="1" ht="15" x14ac:dyDescent="0.25">
      <c r="H53" s="1891"/>
      <c r="I53" s="1891"/>
      <c r="J53" s="1891"/>
      <c r="K53" s="1891"/>
    </row>
    <row r="54" spans="1:11" s="1882" customFormat="1" ht="15" x14ac:dyDescent="0.25">
      <c r="H54" s="1891"/>
      <c r="I54" s="1891"/>
      <c r="J54" s="1891"/>
      <c r="K54" s="1891"/>
    </row>
    <row r="55" spans="1:11" s="1882" customFormat="1" ht="15" x14ac:dyDescent="0.25">
      <c r="H55" s="1891"/>
      <c r="I55" s="1891"/>
      <c r="J55" s="1891"/>
      <c r="K55" s="1891"/>
    </row>
    <row r="56" spans="1:11" s="1882" customFormat="1" ht="15" x14ac:dyDescent="0.25">
      <c r="H56" s="1891"/>
      <c r="I56" s="1891"/>
      <c r="J56" s="1891"/>
      <c r="K56" s="1891"/>
    </row>
    <row r="57" spans="1:11" s="1882" customFormat="1" ht="15" x14ac:dyDescent="0.25">
      <c r="H57" s="1891"/>
      <c r="I57" s="1891"/>
      <c r="J57" s="1891"/>
      <c r="K57" s="1891"/>
    </row>
    <row r="58" spans="1:11" s="1882" customFormat="1" ht="15" x14ac:dyDescent="0.25">
      <c r="H58" s="1891"/>
      <c r="I58" s="1891"/>
      <c r="J58" s="1891"/>
      <c r="K58" s="1891"/>
    </row>
    <row r="59" spans="1:11" s="1882" customFormat="1" ht="15" x14ac:dyDescent="0.25">
      <c r="H59" s="1891"/>
      <c r="I59" s="1891"/>
      <c r="J59" s="1891"/>
      <c r="K59" s="1891"/>
    </row>
    <row r="60" spans="1:11" s="1882" customFormat="1" ht="15" x14ac:dyDescent="0.25">
      <c r="H60" s="1891"/>
      <c r="I60" s="1891"/>
      <c r="J60" s="1891"/>
      <c r="K60" s="1891"/>
    </row>
    <row r="61" spans="1:11" s="1882" customFormat="1" ht="15" x14ac:dyDescent="0.25">
      <c r="H61" s="1891"/>
      <c r="I61" s="1891"/>
      <c r="J61" s="1891"/>
      <c r="K61" s="1891"/>
    </row>
    <row r="62" spans="1:11" s="1882" customFormat="1" ht="15" x14ac:dyDescent="0.25">
      <c r="H62" s="1891"/>
      <c r="I62" s="1891"/>
      <c r="J62" s="1891"/>
      <c r="K62" s="1891"/>
    </row>
    <row r="63" spans="1:11" s="1882" customFormat="1" ht="15" x14ac:dyDescent="0.25">
      <c r="H63" s="1891"/>
      <c r="I63" s="1891"/>
      <c r="J63" s="1891"/>
      <c r="K63" s="1891"/>
    </row>
    <row r="64" spans="1:11" s="1882" customFormat="1" ht="15" x14ac:dyDescent="0.25">
      <c r="H64" s="1891"/>
      <c r="I64" s="1891"/>
      <c r="J64" s="1891"/>
      <c r="K64" s="1891"/>
    </row>
    <row r="65" spans="8:11" s="1882" customFormat="1" ht="15" x14ac:dyDescent="0.25">
      <c r="H65" s="1891"/>
      <c r="I65" s="1891"/>
      <c r="J65" s="1891"/>
      <c r="K65" s="1891"/>
    </row>
    <row r="66" spans="8:11" s="1882" customFormat="1" ht="15" x14ac:dyDescent="0.25">
      <c r="H66" s="1891"/>
      <c r="I66" s="1891"/>
      <c r="J66" s="1891"/>
      <c r="K66" s="1891"/>
    </row>
    <row r="67" spans="8:11" s="1882" customFormat="1" ht="15" x14ac:dyDescent="0.25">
      <c r="H67" s="1891"/>
      <c r="I67" s="1891"/>
      <c r="J67" s="1891"/>
      <c r="K67" s="1891"/>
    </row>
    <row r="68" spans="8:11" s="1882" customFormat="1" ht="15" x14ac:dyDescent="0.25">
      <c r="H68" s="1891"/>
      <c r="I68" s="1891"/>
      <c r="J68" s="1891"/>
      <c r="K68" s="1891"/>
    </row>
    <row r="69" spans="8:11" s="1882" customFormat="1" ht="15" x14ac:dyDescent="0.25">
      <c r="H69" s="1891"/>
      <c r="I69" s="1891"/>
      <c r="J69" s="1891"/>
      <c r="K69" s="1891"/>
    </row>
    <row r="70" spans="8:11" s="1882" customFormat="1" ht="15" x14ac:dyDescent="0.25">
      <c r="H70" s="1891"/>
      <c r="I70" s="1891"/>
      <c r="J70" s="1891"/>
      <c r="K70" s="1891"/>
    </row>
    <row r="71" spans="8:11" s="1882" customFormat="1" ht="15" x14ac:dyDescent="0.25">
      <c r="H71" s="1891"/>
      <c r="I71" s="1891"/>
      <c r="J71" s="1891"/>
      <c r="K71" s="1891"/>
    </row>
    <row r="72" spans="8:11" s="1882" customFormat="1" ht="15" x14ac:dyDescent="0.25">
      <c r="H72" s="1891"/>
      <c r="I72" s="1891"/>
      <c r="J72" s="1891"/>
      <c r="K72" s="1891"/>
    </row>
    <row r="73" spans="8:11" s="1882" customFormat="1" ht="15" x14ac:dyDescent="0.25">
      <c r="H73" s="1891"/>
      <c r="I73" s="1891"/>
      <c r="J73" s="1891"/>
      <c r="K73" s="1891"/>
    </row>
    <row r="74" spans="8:11" s="1882" customFormat="1" ht="15" x14ac:dyDescent="0.25">
      <c r="H74" s="1891"/>
      <c r="I74" s="1891"/>
      <c r="J74" s="1891"/>
      <c r="K74" s="1891"/>
    </row>
    <row r="75" spans="8:11" s="1882" customFormat="1" ht="15" x14ac:dyDescent="0.25">
      <c r="H75" s="1891"/>
      <c r="I75" s="1891"/>
      <c r="J75" s="1891"/>
      <c r="K75" s="1891"/>
    </row>
    <row r="76" spans="8:11" s="1882" customFormat="1" ht="15" x14ac:dyDescent="0.25">
      <c r="H76" s="1891"/>
      <c r="I76" s="1891"/>
      <c r="J76" s="1891"/>
      <c r="K76" s="1891"/>
    </row>
    <row r="77" spans="8:11" s="1882" customFormat="1" ht="15" x14ac:dyDescent="0.25">
      <c r="H77" s="1891"/>
      <c r="I77" s="1891"/>
      <c r="J77" s="1891"/>
      <c r="K77" s="1891"/>
    </row>
    <row r="78" spans="8:11" s="1882" customFormat="1" ht="15" x14ac:dyDescent="0.25">
      <c r="H78" s="1891"/>
      <c r="I78" s="1891"/>
      <c r="J78" s="1891"/>
      <c r="K78" s="1891"/>
    </row>
    <row r="79" spans="8:11" s="1882" customFormat="1" ht="15" x14ac:dyDescent="0.25">
      <c r="H79" s="1891"/>
      <c r="I79" s="1891"/>
      <c r="J79" s="1891"/>
      <c r="K79" s="1891"/>
    </row>
    <row r="80" spans="8:11" s="1882" customFormat="1" ht="15" x14ac:dyDescent="0.25">
      <c r="H80" s="1891"/>
      <c r="I80" s="1891"/>
      <c r="J80" s="1891"/>
      <c r="K80" s="1891"/>
    </row>
    <row r="81" spans="8:11" s="1882" customFormat="1" ht="15" x14ac:dyDescent="0.25">
      <c r="H81" s="1891"/>
      <c r="I81" s="1891"/>
      <c r="J81" s="1891"/>
      <c r="K81" s="1891"/>
    </row>
    <row r="82" spans="8:11" s="1882" customFormat="1" ht="15" x14ac:dyDescent="0.25">
      <c r="H82" s="1891"/>
      <c r="I82" s="1891"/>
      <c r="J82" s="1891"/>
      <c r="K82" s="1891"/>
    </row>
    <row r="83" spans="8:11" s="1882" customFormat="1" ht="15" x14ac:dyDescent="0.25">
      <c r="H83" s="1891"/>
      <c r="I83" s="1891"/>
      <c r="J83" s="1891"/>
      <c r="K83" s="1891"/>
    </row>
    <row r="84" spans="8:11" s="1882" customFormat="1" ht="15" x14ac:dyDescent="0.25">
      <c r="H84" s="1891"/>
      <c r="I84" s="1891"/>
      <c r="J84" s="1891"/>
      <c r="K84" s="1891"/>
    </row>
    <row r="85" spans="8:11" s="1882" customFormat="1" ht="15" x14ac:dyDescent="0.25">
      <c r="H85" s="1891"/>
      <c r="I85" s="1891"/>
      <c r="J85" s="1891"/>
      <c r="K85" s="1891"/>
    </row>
    <row r="86" spans="8:11" s="1882" customFormat="1" ht="15" x14ac:dyDescent="0.25">
      <c r="H86" s="1891"/>
      <c r="I86" s="1891"/>
      <c r="J86" s="1891"/>
      <c r="K86" s="1891"/>
    </row>
    <row r="87" spans="8:11" s="1882" customFormat="1" ht="15" x14ac:dyDescent="0.25">
      <c r="H87" s="1891"/>
      <c r="I87" s="1891"/>
      <c r="J87" s="1891"/>
      <c r="K87" s="1891"/>
    </row>
    <row r="88" spans="8:11" s="1882" customFormat="1" ht="15" x14ac:dyDescent="0.25">
      <c r="H88" s="1891"/>
      <c r="I88" s="1891"/>
      <c r="J88" s="1891"/>
      <c r="K88" s="1891"/>
    </row>
    <row r="89" spans="8:11" s="1882" customFormat="1" ht="15" x14ac:dyDescent="0.25">
      <c r="H89" s="1891"/>
      <c r="I89" s="1891"/>
      <c r="J89" s="1891"/>
      <c r="K89" s="1891"/>
    </row>
    <row r="90" spans="8:11" s="1882" customFormat="1" ht="15" x14ac:dyDescent="0.25">
      <c r="H90" s="1891"/>
      <c r="I90" s="1891"/>
      <c r="J90" s="1891"/>
      <c r="K90" s="1891"/>
    </row>
    <row r="91" spans="8:11" s="1882" customFormat="1" ht="15" x14ac:dyDescent="0.25">
      <c r="H91" s="1891"/>
      <c r="I91" s="1891"/>
      <c r="J91" s="1891"/>
      <c r="K91" s="1891"/>
    </row>
    <row r="92" spans="8:11" s="1882" customFormat="1" ht="15" x14ac:dyDescent="0.25">
      <c r="H92" s="1891"/>
      <c r="I92" s="1891"/>
      <c r="J92" s="1891"/>
      <c r="K92" s="1891"/>
    </row>
    <row r="93" spans="8:11" s="1882" customFormat="1" ht="15" x14ac:dyDescent="0.25">
      <c r="H93" s="1891"/>
      <c r="I93" s="1891"/>
      <c r="J93" s="1891"/>
      <c r="K93" s="1891"/>
    </row>
    <row r="94" spans="8:11" s="1882" customFormat="1" ht="15" x14ac:dyDescent="0.25">
      <c r="H94" s="1891"/>
      <c r="I94" s="1891"/>
      <c r="J94" s="1891"/>
      <c r="K94" s="1891"/>
    </row>
    <row r="95" spans="8:11" s="1882" customFormat="1" ht="15" x14ac:dyDescent="0.25">
      <c r="H95" s="1891"/>
      <c r="I95" s="1891"/>
      <c r="J95" s="1891"/>
      <c r="K95" s="1891"/>
    </row>
    <row r="96" spans="8:11" s="1882" customFormat="1" ht="15" x14ac:dyDescent="0.25">
      <c r="H96" s="1891"/>
      <c r="I96" s="1891"/>
      <c r="J96" s="1891"/>
      <c r="K96" s="1891"/>
    </row>
    <row r="97" spans="8:11" s="1882" customFormat="1" ht="15" x14ac:dyDescent="0.25">
      <c r="H97" s="1891"/>
      <c r="I97" s="1891"/>
      <c r="J97" s="1891"/>
      <c r="K97" s="189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73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06" t="s">
        <v>692</v>
      </c>
      <c r="B6" s="1657"/>
      <c r="C6" s="1657"/>
      <c r="D6" s="1657"/>
      <c r="E6" s="1658"/>
      <c r="F6" s="1016"/>
      <c r="G6" s="1010"/>
      <c r="H6" s="1017" t="s">
        <v>1085</v>
      </c>
      <c r="I6" s="2337" t="str">
        <f>COVER!A17</f>
        <v>Wood River-Hartford ESD 15</v>
      </c>
      <c r="J6" s="2338"/>
      <c r="Q6" s="1677"/>
    </row>
    <row r="7" spans="1:17" x14ac:dyDescent="0.2">
      <c r="A7" s="2339" t="s">
        <v>923</v>
      </c>
      <c r="B7" s="2340"/>
      <c r="C7" s="2340"/>
      <c r="D7" s="2340"/>
      <c r="E7" s="2341"/>
      <c r="F7" s="1018"/>
      <c r="G7" s="1010"/>
      <c r="H7" s="1017" t="s">
        <v>389</v>
      </c>
      <c r="I7" s="2342">
        <f>COVER!A13</f>
        <v>41057015003</v>
      </c>
      <c r="J7" s="2342"/>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07" t="s">
        <v>1700</v>
      </c>
      <c r="F9" s="1024"/>
      <c r="G9" s="1024"/>
      <c r="H9" s="1908"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3" t="s">
        <v>501</v>
      </c>
      <c r="B11" s="2344"/>
      <c r="C11" s="234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4">
        <f>'Expenditures 15-22'!K50</f>
        <v>183124</v>
      </c>
      <c r="F12" s="1040"/>
      <c r="G12" s="1824">
        <f t="shared" ref="G12:G18" si="0">SUM(E12:F12)</f>
        <v>183124</v>
      </c>
      <c r="H12" s="1041">
        <v>204525</v>
      </c>
      <c r="I12" s="1040"/>
      <c r="J12" s="1824">
        <f t="shared" ref="J12:J18" si="1">SUM(H12:I12)</f>
        <v>204525</v>
      </c>
    </row>
    <row r="13" spans="1:17" ht="15" customHeight="1" x14ac:dyDescent="0.2">
      <c r="A13" s="1036">
        <v>2</v>
      </c>
      <c r="B13" s="1037" t="s">
        <v>44</v>
      </c>
      <c r="C13" s="1038"/>
      <c r="D13" s="1039">
        <v>2330</v>
      </c>
      <c r="E13" s="1824">
        <f>'Expenditures 15-22'!K51</f>
        <v>29934</v>
      </c>
      <c r="F13" s="1040"/>
      <c r="G13" s="1824">
        <f t="shared" si="0"/>
        <v>29934</v>
      </c>
      <c r="H13" s="1041">
        <v>39965</v>
      </c>
      <c r="I13" s="1040"/>
      <c r="J13" s="1824">
        <f t="shared" si="1"/>
        <v>39965</v>
      </c>
    </row>
    <row r="14" spans="1:17" ht="15" customHeight="1" x14ac:dyDescent="0.2">
      <c r="A14" s="1036">
        <v>3</v>
      </c>
      <c r="B14" s="1037" t="s">
        <v>45</v>
      </c>
      <c r="C14" s="1038"/>
      <c r="D14" s="1042">
        <v>2490</v>
      </c>
      <c r="E14" s="1824">
        <f>'Expenditures 15-22'!K56</f>
        <v>0</v>
      </c>
      <c r="F14" s="1040"/>
      <c r="G14" s="1824">
        <f t="shared" si="0"/>
        <v>0</v>
      </c>
      <c r="H14" s="1041"/>
      <c r="I14" s="1040"/>
      <c r="J14" s="1824">
        <f t="shared" si="1"/>
        <v>0</v>
      </c>
    </row>
    <row r="15" spans="1:17" ht="15" customHeight="1" x14ac:dyDescent="0.2">
      <c r="A15" s="1036">
        <v>4</v>
      </c>
      <c r="B15" s="1037" t="s">
        <v>1127</v>
      </c>
      <c r="C15" s="1038"/>
      <c r="D15" s="1039">
        <v>2510</v>
      </c>
      <c r="E15" s="1824">
        <f>'Expenditures 15-22'!K59</f>
        <v>0</v>
      </c>
      <c r="F15" s="1824">
        <f>'Expenditures 15-22'!K122</f>
        <v>0</v>
      </c>
      <c r="G15" s="1824">
        <f t="shared" si="0"/>
        <v>0</v>
      </c>
      <c r="H15" s="1041"/>
      <c r="I15" s="1041"/>
      <c r="J15" s="1824">
        <f t="shared" si="1"/>
        <v>0</v>
      </c>
    </row>
    <row r="16" spans="1:17" ht="15" customHeight="1" x14ac:dyDescent="0.2">
      <c r="A16" s="1036">
        <v>5</v>
      </c>
      <c r="B16" s="1037" t="s">
        <v>103</v>
      </c>
      <c r="C16" s="1038"/>
      <c r="D16" s="1039">
        <v>2570</v>
      </c>
      <c r="E16" s="1824">
        <f>'Expenditures 15-22'!K64</f>
        <v>0</v>
      </c>
      <c r="F16" s="1040"/>
      <c r="G16" s="1824">
        <f t="shared" si="0"/>
        <v>0</v>
      </c>
      <c r="H16" s="1041"/>
      <c r="I16" s="1040"/>
      <c r="J16" s="1824">
        <f t="shared" si="1"/>
        <v>0</v>
      </c>
    </row>
    <row r="17" spans="1:10" ht="15" customHeight="1" x14ac:dyDescent="0.2">
      <c r="A17" s="1036">
        <v>6</v>
      </c>
      <c r="B17" s="1037" t="s">
        <v>1119</v>
      </c>
      <c r="C17" s="1038"/>
      <c r="D17" s="1039">
        <v>2610</v>
      </c>
      <c r="E17" s="1824">
        <f>'Expenditures 15-22'!K67</f>
        <v>0</v>
      </c>
      <c r="F17" s="1040"/>
      <c r="G17" s="1824">
        <f t="shared" si="0"/>
        <v>0</v>
      </c>
      <c r="H17" s="1041"/>
      <c r="I17" s="1040"/>
      <c r="J17" s="1824">
        <f t="shared" si="1"/>
        <v>0</v>
      </c>
    </row>
    <row r="18" spans="1:10" ht="22.5" customHeight="1" x14ac:dyDescent="0.2">
      <c r="A18" s="1043">
        <v>7</v>
      </c>
      <c r="B18" s="2346" t="s">
        <v>7</v>
      </c>
      <c r="C18" s="2347"/>
      <c r="D18" s="2348"/>
      <c r="E18" s="1044"/>
      <c r="F18" s="1044"/>
      <c r="G18" s="1825">
        <f t="shared" si="0"/>
        <v>0</v>
      </c>
      <c r="H18" s="1041"/>
      <c r="I18" s="1041"/>
      <c r="J18" s="1824">
        <f t="shared" si="1"/>
        <v>0</v>
      </c>
    </row>
    <row r="19" spans="1:10" ht="12.75" customHeight="1" thickBot="1" x14ac:dyDescent="0.25">
      <c r="A19" s="1036">
        <v>8</v>
      </c>
      <c r="B19" s="1045" t="s">
        <v>1222</v>
      </c>
      <c r="D19" s="1046"/>
      <c r="E19" s="1826">
        <f t="shared" ref="E19:J19" si="2">SUM(E12:E17)-E18</f>
        <v>213058</v>
      </c>
      <c r="F19" s="1826">
        <f t="shared" si="2"/>
        <v>0</v>
      </c>
      <c r="G19" s="1826">
        <f t="shared" si="2"/>
        <v>213058</v>
      </c>
      <c r="H19" s="1826">
        <f t="shared" si="2"/>
        <v>244490</v>
      </c>
      <c r="I19" s="1826">
        <f t="shared" si="2"/>
        <v>0</v>
      </c>
      <c r="J19" s="1826">
        <f t="shared" si="2"/>
        <v>244490</v>
      </c>
    </row>
    <row r="20" spans="1:10" ht="13.5" thickTop="1" x14ac:dyDescent="0.2">
      <c r="A20" s="1036">
        <v>9</v>
      </c>
      <c r="B20" s="2349" t="s">
        <v>1702</v>
      </c>
      <c r="C20" s="2349"/>
      <c r="D20" s="2350"/>
      <c r="E20" s="1047"/>
      <c r="F20" s="1047"/>
      <c r="G20" s="1047"/>
      <c r="H20" s="1047"/>
      <c r="I20" s="1047"/>
      <c r="J20" s="1827">
        <f>IF(AND(G19&gt;0,J19&gt;0),(((J19-G19)/G19)),"Enter Budget Data")</f>
        <v>0.14752790320006759</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1092</v>
      </c>
      <c r="D27" s="1053"/>
      <c r="E27" s="1054"/>
      <c r="F27" s="2351" t="s">
        <v>1588</v>
      </c>
      <c r="G27" s="2351"/>
    </row>
    <row r="28" spans="1:10" ht="28.5" customHeight="1" x14ac:dyDescent="0.2">
      <c r="B28" s="1048"/>
      <c r="C28" s="2353"/>
      <c r="D28" s="2353"/>
      <c r="E28" s="1055"/>
      <c r="F28" s="2353"/>
      <c r="G28" s="2353"/>
    </row>
    <row r="29" spans="1:10" x14ac:dyDescent="0.2">
      <c r="B29" s="1048"/>
      <c r="C29" s="1056" t="s">
        <v>1641</v>
      </c>
      <c r="E29" s="1057"/>
      <c r="F29" s="2352" t="s">
        <v>1589</v>
      </c>
      <c r="G29" s="235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1940</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936</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76" orientation="landscape" useFirstPageNumber="1" r:id="rId1"/>
  <headerFooter alignWithMargins="0">
    <oddHeader>&amp;L&amp;8Page 76&amp;C &amp;R&amp;8Page 76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topLeftCell="A7" zoomScale="110" zoomScaleNormal="110" workbookViewId="0">
      <selection activeCell="E32" sqref="E32"/>
    </sheetView>
  </sheetViews>
  <sheetFormatPr defaultRowHeight="12.75" x14ac:dyDescent="0.2"/>
  <cols>
    <col min="1" max="1" width="5" style="329" customWidth="1"/>
    <col min="2" max="2" width="7.28515625" style="329" customWidth="1"/>
    <col min="3" max="3" width="3.140625" style="329" customWidth="1"/>
    <col min="4" max="7" width="9.140625" style="329"/>
    <col min="8" max="8" width="12" style="329" bestFit="1" customWidth="1"/>
    <col min="9" max="16384" width="9.140625" style="329"/>
  </cols>
  <sheetData>
    <row r="2" spans="1:8" x14ac:dyDescent="0.2">
      <c r="A2" s="389" t="s">
        <v>276</v>
      </c>
    </row>
    <row r="3" spans="1:8" x14ac:dyDescent="0.2">
      <c r="A3" s="329" t="s">
        <v>277</v>
      </c>
    </row>
    <row r="5" spans="1:8" x14ac:dyDescent="0.2">
      <c r="A5" s="1069">
        <v>1</v>
      </c>
      <c r="B5" s="329" t="s">
        <v>2097</v>
      </c>
    </row>
    <row r="6" spans="1:8" ht="13.5" thickBot="1" x14ac:dyDescent="0.25">
      <c r="A6" s="1069"/>
      <c r="C6" s="329" t="s">
        <v>2098</v>
      </c>
      <c r="H6" s="1944">
        <v>146657</v>
      </c>
    </row>
    <row r="7" spans="1:8" ht="13.5" thickTop="1" x14ac:dyDescent="0.2">
      <c r="A7" s="1069"/>
    </row>
    <row r="8" spans="1:8" x14ac:dyDescent="0.2">
      <c r="A8" s="1069">
        <v>2</v>
      </c>
      <c r="B8" s="329" t="s">
        <v>2099</v>
      </c>
    </row>
    <row r="9" spans="1:8" ht="13.5" thickBot="1" x14ac:dyDescent="0.25">
      <c r="A9" s="1070"/>
      <c r="C9" s="329" t="s">
        <v>2098</v>
      </c>
      <c r="H9" s="1944">
        <v>15000</v>
      </c>
    </row>
    <row r="10" spans="1:8" ht="13.5" thickTop="1" x14ac:dyDescent="0.2">
      <c r="A10" s="1070"/>
    </row>
    <row r="11" spans="1:8" x14ac:dyDescent="0.2">
      <c r="A11" s="1070">
        <v>3</v>
      </c>
      <c r="B11" s="329" t="s">
        <v>2100</v>
      </c>
    </row>
    <row r="12" spans="1:8" ht="13.5" thickBot="1" x14ac:dyDescent="0.25">
      <c r="A12" s="1070"/>
      <c r="C12" s="329" t="s">
        <v>2101</v>
      </c>
      <c r="H12" s="1944">
        <v>4000</v>
      </c>
    </row>
    <row r="13" spans="1:8" ht="13.5" thickTop="1" x14ac:dyDescent="0.2">
      <c r="A13" s="1070"/>
    </row>
    <row r="14" spans="1:8" x14ac:dyDescent="0.2">
      <c r="A14" s="1070">
        <v>4</v>
      </c>
      <c r="B14" s="329" t="s">
        <v>2102</v>
      </c>
    </row>
    <row r="15" spans="1:8" x14ac:dyDescent="0.2">
      <c r="A15" s="1070"/>
      <c r="C15" s="329" t="s">
        <v>2103</v>
      </c>
      <c r="H15" s="1943">
        <v>338</v>
      </c>
    </row>
    <row r="16" spans="1:8" x14ac:dyDescent="0.2">
      <c r="A16" s="1070"/>
      <c r="C16" s="329" t="s">
        <v>2104</v>
      </c>
      <c r="H16" s="1945">
        <v>187</v>
      </c>
    </row>
    <row r="17" spans="1:8" x14ac:dyDescent="0.2">
      <c r="A17" s="1070"/>
      <c r="C17" s="329" t="s">
        <v>2105</v>
      </c>
      <c r="H17" s="1945">
        <v>48</v>
      </c>
    </row>
    <row r="18" spans="1:8" x14ac:dyDescent="0.2">
      <c r="A18" s="1070"/>
      <c r="C18" s="329" t="s">
        <v>2106</v>
      </c>
      <c r="H18" s="1946">
        <v>253</v>
      </c>
    </row>
    <row r="19" spans="1:8" ht="13.5" thickBot="1" x14ac:dyDescent="0.25">
      <c r="A19" s="1070"/>
      <c r="H19" s="1947">
        <f>SUM(H15:H18)</f>
        <v>826</v>
      </c>
    </row>
    <row r="20" spans="1:8" ht="13.5" thickTop="1" x14ac:dyDescent="0.2">
      <c r="A20" s="1070"/>
      <c r="H20" s="1945"/>
    </row>
    <row r="21" spans="1:8" x14ac:dyDescent="0.2">
      <c r="A21" s="1070">
        <v>5</v>
      </c>
      <c r="B21" s="329" t="s">
        <v>2107</v>
      </c>
    </row>
    <row r="22" spans="1:8" ht="13.5" thickBot="1" x14ac:dyDescent="0.25">
      <c r="A22" s="1070"/>
      <c r="C22" s="329" t="s">
        <v>2108</v>
      </c>
      <c r="H22" s="1944">
        <v>11830</v>
      </c>
    </row>
    <row r="23" spans="1:8" ht="13.5" thickTop="1" x14ac:dyDescent="0.2">
      <c r="A23" s="1070"/>
    </row>
    <row r="24" spans="1:8" x14ac:dyDescent="0.2">
      <c r="A24" s="1070">
        <v>6</v>
      </c>
      <c r="B24" s="329" t="s">
        <v>2109</v>
      </c>
    </row>
    <row r="25" spans="1:8" ht="13.5" thickBot="1" x14ac:dyDescent="0.25">
      <c r="A25" s="1070"/>
      <c r="C25" s="329" t="s">
        <v>2110</v>
      </c>
      <c r="H25" s="1944">
        <v>802</v>
      </c>
    </row>
    <row r="26" spans="1:8" ht="13.5" thickTop="1" x14ac:dyDescent="0.2">
      <c r="A26" s="1070"/>
    </row>
    <row r="27" spans="1:8" x14ac:dyDescent="0.2">
      <c r="A27" s="1070">
        <v>7</v>
      </c>
      <c r="B27" s="329" t="s">
        <v>2111</v>
      </c>
    </row>
    <row r="28" spans="1:8" x14ac:dyDescent="0.2">
      <c r="A28" s="1070"/>
      <c r="C28" s="329" t="s">
        <v>2173</v>
      </c>
      <c r="H28" s="1943">
        <v>242795</v>
      </c>
    </row>
    <row r="29" spans="1:8" x14ac:dyDescent="0.2">
      <c r="A29" s="1070"/>
      <c r="C29" s="329" t="s">
        <v>2112</v>
      </c>
      <c r="H29" s="1946">
        <v>10000</v>
      </c>
    </row>
    <row r="30" spans="1:8" ht="13.5" thickBot="1" x14ac:dyDescent="0.25">
      <c r="A30" s="1070"/>
      <c r="H30" s="1947">
        <f>SUM(H28:H29)</f>
        <v>252795</v>
      </c>
    </row>
    <row r="31" spans="1:8" ht="13.5" thickTop="1" x14ac:dyDescent="0.2">
      <c r="A31" s="1070"/>
    </row>
    <row r="32" spans="1:8"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Wood River-Hartford ESD 15</v>
      </c>
    </row>
    <row r="65" spans="2:2" x14ac:dyDescent="0.2">
      <c r="B65" s="1071">
        <f>COVER!A13</f>
        <v>41057015003</v>
      </c>
    </row>
  </sheetData>
  <phoneticPr fontId="13"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333375</xdr:colOff>
                <xdr:row>5</xdr:row>
                <xdr:rowOff>142875</xdr:rowOff>
              </from>
              <to>
                <xdr:col>1</xdr:col>
                <xdr:colOff>1247775</xdr:colOff>
                <xdr:row>10</xdr:row>
                <xdr:rowOff>19050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5">
            <anchor moveWithCells="1">
              <from>
                <xdr:col>1</xdr:col>
                <xdr:colOff>1857375</xdr:colOff>
                <xdr:row>6</xdr:row>
                <xdr:rowOff>28575</xdr:rowOff>
              </from>
              <to>
                <xdr:col>1</xdr:col>
                <xdr:colOff>2771775</xdr:colOff>
                <xdr:row>10</xdr:row>
                <xdr:rowOff>66675</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Document" dvAspect="DVASPECT_ICON" shapeId="29699" r:id="rId7">
          <objectPr defaultSize="0" r:id="rId8">
            <anchor moveWithCells="1">
              <from>
                <xdr:col>1</xdr:col>
                <xdr:colOff>3829050</xdr:colOff>
                <xdr:row>5</xdr:row>
                <xdr:rowOff>9525</xdr:rowOff>
              </from>
              <to>
                <xdr:col>3</xdr:col>
                <xdr:colOff>152400</xdr:colOff>
                <xdr:row>9</xdr:row>
                <xdr:rowOff>47625</xdr:rowOff>
              </to>
            </anchor>
          </objectPr>
        </oleObject>
      </mc:Choice>
      <mc:Fallback>
        <oleObject progId="Document" dvAspect="DVASPECT_ICON" shapeId="29699"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2051</v>
      </c>
      <c r="B4" s="2377"/>
      <c r="C4" s="2377"/>
      <c r="D4" s="2377"/>
      <c r="E4" s="2377"/>
      <c r="F4" s="2378"/>
      <c r="G4" s="1075"/>
      <c r="H4" s="1075"/>
    </row>
    <row r="5" spans="1:8" ht="14.25" customHeight="1" x14ac:dyDescent="0.2">
      <c r="A5" s="2379" t="s">
        <v>2052</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28">
        <f>'Acct Summary 7-8'!C8</f>
        <v>6119861</v>
      </c>
      <c r="C8" s="1828">
        <f>'Acct Summary 7-8'!D8</f>
        <v>499283</v>
      </c>
      <c r="D8" s="1828">
        <f>'Acct Summary 7-8'!F8</f>
        <v>177457</v>
      </c>
      <c r="E8" s="1828">
        <f>'Acct Summary 7-8'!I8</f>
        <v>81168</v>
      </c>
      <c r="F8" s="1828">
        <f>SUM(B8:E8)</f>
        <v>6877769</v>
      </c>
    </row>
    <row r="9" spans="1:8" s="1080" customFormat="1" ht="14.25" customHeight="1" thickBot="1" x14ac:dyDescent="0.25">
      <c r="A9" s="1079" t="s">
        <v>1435</v>
      </c>
      <c r="B9" s="1829">
        <f>'Acct Summary 7-8'!C17</f>
        <v>5439435</v>
      </c>
      <c r="C9" s="1829">
        <f>'Acct Summary 7-8'!D17</f>
        <v>529683</v>
      </c>
      <c r="D9" s="1829">
        <f>'Acct Summary 7-8'!F17</f>
        <v>143886</v>
      </c>
      <c r="E9" s="1828"/>
      <c r="F9" s="1828">
        <f>SUM(B9:E9)</f>
        <v>6113004</v>
      </c>
    </row>
    <row r="10" spans="1:8" s="1080" customFormat="1" ht="14.25" thickTop="1" thickBot="1" x14ac:dyDescent="0.25">
      <c r="A10" s="1081" t="s">
        <v>1436</v>
      </c>
      <c r="B10" s="1830">
        <f>(B8-B9)</f>
        <v>680426</v>
      </c>
      <c r="C10" s="1830">
        <f>(C8-C9)</f>
        <v>-30400</v>
      </c>
      <c r="D10" s="1830">
        <f>(D8-D9)</f>
        <v>33571</v>
      </c>
      <c r="E10" s="1829">
        <f>(E8-E9)</f>
        <v>81168</v>
      </c>
      <c r="F10" s="1831">
        <f>SUM(F8-F9)</f>
        <v>764765</v>
      </c>
    </row>
    <row r="11" spans="1:8" s="1080" customFormat="1" ht="14.25" thickTop="1" thickBot="1" x14ac:dyDescent="0.25">
      <c r="A11" s="1082" t="s">
        <v>1784</v>
      </c>
      <c r="B11" s="1832">
        <f>'Acct Summary 7-8'!C81</f>
        <v>1722260</v>
      </c>
      <c r="C11" s="1832">
        <f>'Acct Summary 7-8'!D81</f>
        <v>93988</v>
      </c>
      <c r="D11" s="1832">
        <f>'Acct Summary 7-8'!F81</f>
        <v>266813</v>
      </c>
      <c r="E11" s="1832">
        <f>'Acct Summary 7-8'!I81</f>
        <v>1434100</v>
      </c>
      <c r="F11" s="1833">
        <f>SUM(B11:E11)</f>
        <v>3517161</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74&amp;R&amp;8Page 74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55" sqref="D5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9"/>
      <c r="B2" s="1910"/>
      <c r="C2" s="1911"/>
      <c r="D2" s="1912"/>
    </row>
    <row r="3" spans="1:4" ht="36" customHeight="1" x14ac:dyDescent="0.2">
      <c r="A3" s="2382" t="s">
        <v>685</v>
      </c>
      <c r="B3" s="2383"/>
      <c r="C3" s="2383"/>
      <c r="D3" s="2384"/>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3" t="s">
        <v>1583</v>
      </c>
      <c r="D7" s="2394"/>
    </row>
    <row r="8" spans="1:4" s="669" customFormat="1" ht="12.75" x14ac:dyDescent="0.2">
      <c r="A8" s="1139"/>
      <c r="B8" s="1094"/>
      <c r="C8" s="1097" t="s">
        <v>1582</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5" t="s">
        <v>1064</v>
      </c>
      <c r="B15" s="2386"/>
      <c r="C15" s="2386"/>
      <c r="D15" s="2387"/>
    </row>
    <row r="16" spans="1:4" s="669" customFormat="1" ht="24" customHeight="1" x14ac:dyDescent="0.2">
      <c r="A16" s="2388" t="s">
        <v>683</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7" t="s">
        <v>331</v>
      </c>
      <c r="D21" s="2398"/>
    </row>
    <row r="22" spans="1:10" ht="12.75" x14ac:dyDescent="0.2">
      <c r="A22" s="1140"/>
      <c r="B22" s="1141">
        <v>2</v>
      </c>
      <c r="C22" s="2395" t="s">
        <v>1604</v>
      </c>
      <c r="D22" s="2396"/>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9" t="s">
        <v>556</v>
      </c>
      <c r="D43" s="240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1" t="s">
        <v>816</v>
      </c>
      <c r="D56" s="239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1078</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91" t="s">
        <v>1796</v>
      </c>
      <c r="D70" s="239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29'!D22&gt;0,"OK","PLEASE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41057015003</v>
      </c>
    </row>
    <row r="3" spans="1:2" x14ac:dyDescent="0.2">
      <c r="A3" t="s">
        <v>1012</v>
      </c>
      <c r="B3" s="138" t="str">
        <f>COVER!A15</f>
        <v>Madison</v>
      </c>
    </row>
    <row r="4" spans="1:2" x14ac:dyDescent="0.2">
      <c r="A4" t="s">
        <v>1063</v>
      </c>
      <c r="B4" s="138" t="str">
        <f>COVER!A17</f>
        <v>Wood River-Hartford ESD 15</v>
      </c>
    </row>
    <row r="5" spans="1:2" x14ac:dyDescent="0.2">
      <c r="A5" t="s">
        <v>727</v>
      </c>
      <c r="B5" s="138" t="str">
        <f>COVER!A38</f>
        <v>Dr. Patrick Anderson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060-009547</v>
      </c>
    </row>
    <row r="16" spans="1:2" x14ac:dyDescent="0.2">
      <c r="A16" t="s">
        <v>441</v>
      </c>
      <c r="B16" s="138" t="str">
        <f>COVER!T13</f>
        <v>Greg M. McCalley &amp; Associates, P.C.</v>
      </c>
    </row>
    <row r="17" spans="1:2" x14ac:dyDescent="0.2">
      <c r="A17" t="s">
        <v>938</v>
      </c>
      <c r="B17" s="138" t="str">
        <f>COVER!T15</f>
        <v xml:space="preserve">Greg M. McCalley  </v>
      </c>
    </row>
    <row r="18" spans="1:2" x14ac:dyDescent="0.2">
      <c r="A18" t="s">
        <v>1211</v>
      </c>
      <c r="B18" s="138" t="str">
        <f>COVER!T17</f>
        <v>855 East Ferguson Ave.</v>
      </c>
    </row>
    <row r="19" spans="1:2" x14ac:dyDescent="0.2">
      <c r="A19" t="s">
        <v>940</v>
      </c>
      <c r="B19" s="138" t="str">
        <f>COVER!T25</f>
        <v>Greg@dmacpa.com</v>
      </c>
    </row>
    <row r="20" spans="1:2" x14ac:dyDescent="0.2">
      <c r="A20" t="s">
        <v>941</v>
      </c>
      <c r="B20" s="138" t="str">
        <f>COVER!T19</f>
        <v>Wood River</v>
      </c>
    </row>
    <row r="21" spans="1:2" x14ac:dyDescent="0.2">
      <c r="A21" t="s">
        <v>499</v>
      </c>
      <c r="B21" s="138" t="str">
        <f>COVER!X19</f>
        <v>IL</v>
      </c>
    </row>
    <row r="22" spans="1:2" x14ac:dyDescent="0.2">
      <c r="A22" t="s">
        <v>942</v>
      </c>
      <c r="B22" s="138">
        <f>COVER!Z19</f>
        <v>62095</v>
      </c>
    </row>
    <row r="23" spans="1:2" x14ac:dyDescent="0.2">
      <c r="A23" t="s">
        <v>1213</v>
      </c>
      <c r="B23" s="138" t="str">
        <f>COVER!T21</f>
        <v>(618)254-8188</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1747126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24866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24866</v>
      </c>
      <c r="C91" s="2" t="s">
        <v>593</v>
      </c>
      <c r="D91" s="2" t="str">
        <f t="shared" si="0"/>
        <v>Error?</v>
      </c>
    </row>
    <row r="92" spans="1:4" x14ac:dyDescent="0.2">
      <c r="A92" s="5">
        <v>31</v>
      </c>
      <c r="B92" s="138">
        <f>'Assets-Liab 5-6'!C39</f>
        <v>1676667</v>
      </c>
      <c r="D92" s="2" t="str">
        <f t="shared" si="0"/>
        <v>Error?</v>
      </c>
    </row>
    <row r="93" spans="1:4" x14ac:dyDescent="0.2">
      <c r="A93" s="5">
        <v>32</v>
      </c>
      <c r="B93" s="138">
        <f>'Assets-Liab 5-6'!C41</f>
        <v>1747126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93988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93988</v>
      </c>
      <c r="D123" s="2" t="str">
        <f t="shared" si="0"/>
        <v>Error?</v>
      </c>
    </row>
    <row r="124" spans="1:4" x14ac:dyDescent="0.2">
      <c r="A124" s="5">
        <v>63</v>
      </c>
      <c r="B124" s="138">
        <f>'Assets-Liab 5-6'!D41</f>
        <v>93988</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18907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20000</v>
      </c>
      <c r="C139" s="2" t="s">
        <v>593</v>
      </c>
      <c r="D139" s="2" t="str">
        <f t="shared" si="1"/>
        <v>Error?</v>
      </c>
    </row>
    <row r="140" spans="1:4" x14ac:dyDescent="0.2">
      <c r="A140" s="5">
        <v>79</v>
      </c>
      <c r="B140" s="138">
        <f>'Assets-Liab 5-6'!E39</f>
        <v>-1093</v>
      </c>
      <c r="D140" s="2" t="str">
        <f t="shared" si="1"/>
        <v>Error?</v>
      </c>
    </row>
    <row r="141" spans="1:4" x14ac:dyDescent="0.2">
      <c r="A141" s="5">
        <v>80</v>
      </c>
      <c r="B141" s="138">
        <f>'Assets-Liab 5-6'!E41</f>
        <v>18907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266813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266813</v>
      </c>
      <c r="D170" s="2" t="str">
        <f t="shared" si="1"/>
        <v>Error?</v>
      </c>
    </row>
    <row r="171" spans="1:4" x14ac:dyDescent="0.2">
      <c r="A171" s="5">
        <v>110</v>
      </c>
      <c r="B171" s="138">
        <f>'Assets-Liab 5-6'!F41</f>
        <v>266813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210886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210886</v>
      </c>
      <c r="D189" s="2" t="str">
        <f t="shared" si="1"/>
        <v>Error?</v>
      </c>
    </row>
    <row r="190" spans="1:4" x14ac:dyDescent="0.2">
      <c r="A190" s="5">
        <v>129</v>
      </c>
      <c r="B190" s="138">
        <f>'Assets-Liab 5-6'!G41</f>
        <v>210886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26346</v>
      </c>
      <c r="D273" s="2" t="str">
        <f t="shared" si="3"/>
        <v>Error?</v>
      </c>
    </row>
    <row r="274" spans="1:4" x14ac:dyDescent="0.2">
      <c r="A274" s="5">
        <v>213</v>
      </c>
      <c r="B274" s="138">
        <f>'Assets-Liab 5-6'!M17</f>
        <v>14314751</v>
      </c>
      <c r="D274" s="2" t="str">
        <f t="shared" si="3"/>
        <v>Error?</v>
      </c>
    </row>
    <row r="275" spans="1:4" x14ac:dyDescent="0.2">
      <c r="A275" s="5">
        <v>214</v>
      </c>
      <c r="B275" s="138">
        <f>'Assets-Liab 5-6'!M18</f>
        <v>0</v>
      </c>
      <c r="D275" s="2" t="str">
        <f t="shared" si="3"/>
        <v>Error?</v>
      </c>
    </row>
    <row r="276" spans="1:4" x14ac:dyDescent="0.2">
      <c r="A276" s="5">
        <v>215</v>
      </c>
      <c r="B276" s="138">
        <f>'Assets-Liab 5-6'!M19</f>
        <v>4018174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18359271</v>
      </c>
      <c r="C279" s="2" t="s">
        <v>593</v>
      </c>
      <c r="D279" s="2" t="str">
        <f t="shared" si="3"/>
        <v>Error?</v>
      </c>
    </row>
    <row r="280" spans="1:4" x14ac:dyDescent="0.2">
      <c r="A280" s="5">
        <v>219</v>
      </c>
      <c r="B280" s="138">
        <f>'Assets-Liab 5-6'!M40</f>
        <v>18359271</v>
      </c>
      <c r="D280" s="2" t="str">
        <f t="shared" si="3"/>
        <v>Error?</v>
      </c>
    </row>
    <row r="281" spans="1:4" x14ac:dyDescent="0.2">
      <c r="A281" s="5">
        <v>220</v>
      </c>
      <c r="B281" s="138">
        <f>'Assets-Liab 5-6'!M41</f>
        <v>18359271</v>
      </c>
      <c r="C281" s="2" t="s">
        <v>593</v>
      </c>
      <c r="D281" s="2" t="str">
        <f t="shared" si="3"/>
        <v>Error?</v>
      </c>
    </row>
    <row r="282" spans="1:4" x14ac:dyDescent="0.2">
      <c r="A282" s="5">
        <v>221</v>
      </c>
      <c r="B282" s="138">
        <f>'Assets-Liab 5-6'!N21</f>
        <v>18907</v>
      </c>
      <c r="D282" s="2" t="str">
        <f t="shared" si="3"/>
        <v>Error?</v>
      </c>
    </row>
    <row r="283" spans="1:4" x14ac:dyDescent="0.2">
      <c r="A283" s="5">
        <v>222</v>
      </c>
      <c r="B283" s="138">
        <f>'Assets-Liab 5-6'!N22</f>
        <v>4756533</v>
      </c>
      <c r="D283" s="2" t="str">
        <f t="shared" si="3"/>
        <v>Error?</v>
      </c>
    </row>
    <row r="284" spans="1:4" x14ac:dyDescent="0.2">
      <c r="A284" s="5">
        <v>223</v>
      </c>
      <c r="B284" s="138">
        <f>'Assets-Liab 5-6'!N23</f>
        <v>4775440</v>
      </c>
      <c r="C284" s="2" t="s">
        <v>593</v>
      </c>
      <c r="D284" s="2" t="str">
        <f t="shared" si="3"/>
        <v>Error?</v>
      </c>
    </row>
    <row r="285" spans="1:4" x14ac:dyDescent="0.2">
      <c r="A285" s="5">
        <v>224</v>
      </c>
      <c r="B285" s="138">
        <f>'Assets-Liab 5-6'!N36</f>
        <v>4775440</v>
      </c>
      <c r="D285" s="2" t="str">
        <f t="shared" si="3"/>
        <v>Error?</v>
      </c>
    </row>
    <row r="286" spans="1:4" x14ac:dyDescent="0.2">
      <c r="A286" s="10">
        <v>225</v>
      </c>
      <c r="D286" s="2" t="str">
        <f t="shared" si="3"/>
        <v>OK</v>
      </c>
    </row>
    <row r="287" spans="1:4" x14ac:dyDescent="0.2">
      <c r="A287" s="5">
        <v>226</v>
      </c>
      <c r="B287" s="138">
        <f>'Assets-Liab 5-6'!N37</f>
        <v>4775440</v>
      </c>
      <c r="C287" s="2" t="s">
        <v>593</v>
      </c>
      <c r="D287" s="2" t="str">
        <f t="shared" si="3"/>
        <v>Error?</v>
      </c>
    </row>
    <row r="288" spans="1:4" x14ac:dyDescent="0.2">
      <c r="A288" s="5">
        <v>227</v>
      </c>
      <c r="B288" s="138">
        <f>'Assets-Liab 5-6'!N41</f>
        <v>4775440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1799483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36728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2797298</v>
      </c>
      <c r="C720" s="2" t="s">
        <v>593</v>
      </c>
      <c r="D720" s="2" t="str">
        <f t="shared" si="10"/>
        <v>Error?</v>
      </c>
    </row>
    <row r="721" spans="1:4" x14ac:dyDescent="0.2">
      <c r="A721" s="5">
        <v>660</v>
      </c>
      <c r="B721" s="138">
        <f>'Expenditures 15-22'!C36</f>
        <v>53052</v>
      </c>
      <c r="D721" s="2" t="str">
        <f t="shared" si="10"/>
        <v>Error?</v>
      </c>
    </row>
    <row r="722" spans="1:4" x14ac:dyDescent="0.2">
      <c r="A722" s="5">
        <v>661</v>
      </c>
      <c r="B722" s="138">
        <f>'Expenditures 15-22'!C37</f>
        <v>6131</v>
      </c>
      <c r="D722" s="2" t="str">
        <f t="shared" si="10"/>
        <v>Error?</v>
      </c>
    </row>
    <row r="723" spans="1:4" x14ac:dyDescent="0.2">
      <c r="A723" s="5">
        <v>662</v>
      </c>
      <c r="B723" s="138">
        <f>'Expenditures 15-22'!C38</f>
        <v>23748</v>
      </c>
      <c r="D723" s="2" t="str">
        <f t="shared" si="10"/>
        <v>Error?</v>
      </c>
    </row>
    <row r="724" spans="1:4" x14ac:dyDescent="0.2">
      <c r="A724" s="5">
        <v>663</v>
      </c>
      <c r="B724" s="138">
        <f>'Expenditures 15-22'!C39</f>
        <v>43759</v>
      </c>
      <c r="D724" s="2" t="str">
        <f t="shared" si="10"/>
        <v>Error?</v>
      </c>
    </row>
    <row r="725" spans="1:4" x14ac:dyDescent="0.2">
      <c r="A725" s="5">
        <v>664</v>
      </c>
      <c r="B725" s="138">
        <f>'Expenditures 15-22'!C40</f>
        <v>132370</v>
      </c>
      <c r="D725" s="2" t="str">
        <f t="shared" si="10"/>
        <v>Error?</v>
      </c>
    </row>
    <row r="726" spans="1:4" x14ac:dyDescent="0.2">
      <c r="A726" s="5">
        <v>665</v>
      </c>
      <c r="B726" s="138">
        <f>'Expenditures 15-22'!C41</f>
        <v>45488</v>
      </c>
      <c r="D726" s="2" t="str">
        <f t="shared" si="10"/>
        <v>Error?</v>
      </c>
    </row>
    <row r="727" spans="1:4" x14ac:dyDescent="0.2">
      <c r="A727" s="5">
        <v>666</v>
      </c>
      <c r="B727" s="138">
        <f>'Expenditures 15-22'!C42</f>
        <v>304548</v>
      </c>
      <c r="C727" s="2" t="s">
        <v>593</v>
      </c>
      <c r="D727" s="2" t="str">
        <f t="shared" si="10"/>
        <v>Error?</v>
      </c>
    </row>
    <row r="728" spans="1:4" x14ac:dyDescent="0.2">
      <c r="A728" s="5">
        <v>667</v>
      </c>
      <c r="B728" s="138">
        <f>'Expenditures 15-22'!C44</f>
        <v>10964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10964</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149063</v>
      </c>
      <c r="D733" s="2" t="str">
        <f t="shared" si="10"/>
        <v>Error?</v>
      </c>
    </row>
    <row r="734" spans="1:4" x14ac:dyDescent="0.2">
      <c r="A734" s="5">
        <v>673</v>
      </c>
      <c r="B734" s="138">
        <f>'Expenditures 15-22'!C53</f>
        <v>175271</v>
      </c>
      <c r="C734" s="2" t="s">
        <v>593</v>
      </c>
      <c r="D734" s="2" t="str">
        <f t="shared" si="10"/>
        <v>Error?</v>
      </c>
    </row>
    <row r="735" spans="1:4" x14ac:dyDescent="0.2">
      <c r="A735" s="5">
        <v>674</v>
      </c>
      <c r="B735" s="138">
        <f>'Expenditures 15-22'!C55</f>
        <v>272179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272179</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68130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168771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236901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77946</v>
      </c>
      <c r="D751" s="2" t="str">
        <f t="shared" si="10"/>
        <v>Error?</v>
      </c>
    </row>
    <row r="752" spans="1:4" x14ac:dyDescent="0.2">
      <c r="A752" s="10">
        <v>691</v>
      </c>
      <c r="D752" s="2" t="str">
        <f t="shared" si="10"/>
        <v>OK</v>
      </c>
    </row>
    <row r="753" spans="1:4" x14ac:dyDescent="0.2">
      <c r="A753" s="5">
        <v>692</v>
      </c>
      <c r="B753" s="138">
        <f>'Expenditures 15-22'!C72</f>
        <v>77946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1077809</v>
      </c>
      <c r="C755" s="2" t="s">
        <v>593</v>
      </c>
      <c r="D755" s="2" t="str">
        <f t="shared" si="10"/>
        <v>Error?</v>
      </c>
    </row>
    <row r="756" spans="1:4" x14ac:dyDescent="0.2">
      <c r="A756" s="5">
        <v>695</v>
      </c>
      <c r="B756" s="138">
        <f>'Expenditures 15-22'!C75</f>
        <v>51556</v>
      </c>
      <c r="D756" s="2" t="str">
        <f t="shared" si="10"/>
        <v>Error?</v>
      </c>
    </row>
    <row r="757" spans="1:4" x14ac:dyDescent="0.2">
      <c r="A757" s="5">
        <v>696</v>
      </c>
      <c r="B757" s="138">
        <f>'Expenditures 15-22'!C114</f>
        <v>3926663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359096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566375</v>
      </c>
      <c r="C778" s="2" t="s">
        <v>593</v>
      </c>
      <c r="D778" s="2" t="str">
        <f t="shared" si="11"/>
        <v>Error?</v>
      </c>
    </row>
    <row r="779" spans="1:4" x14ac:dyDescent="0.2">
      <c r="A779" s="5">
        <v>718</v>
      </c>
      <c r="B779" s="138">
        <f>'Expenditures 15-22'!D36</f>
        <v>12350</v>
      </c>
      <c r="D779" s="2" t="str">
        <f t="shared" si="11"/>
        <v>Error?</v>
      </c>
    </row>
    <row r="780" spans="1:4" x14ac:dyDescent="0.2">
      <c r="A780" s="5">
        <v>719</v>
      </c>
      <c r="B780" s="138">
        <f>'Expenditures 15-22'!D37</f>
        <v>530</v>
      </c>
      <c r="D780" s="2" t="str">
        <f t="shared" si="11"/>
        <v>Error?</v>
      </c>
    </row>
    <row r="781" spans="1:4" x14ac:dyDescent="0.2">
      <c r="A781" s="5">
        <v>720</v>
      </c>
      <c r="B781" s="138">
        <f>'Expenditures 15-22'!D38</f>
        <v>5990</v>
      </c>
      <c r="D781" s="2" t="str">
        <f t="shared" si="11"/>
        <v>Error?</v>
      </c>
    </row>
    <row r="782" spans="1:4" x14ac:dyDescent="0.2">
      <c r="A782" s="5">
        <v>721</v>
      </c>
      <c r="B782" s="138">
        <f>'Expenditures 15-22'!D39</f>
        <v>11388</v>
      </c>
      <c r="D782" s="2" t="str">
        <f t="shared" si="11"/>
        <v>Error?</v>
      </c>
    </row>
    <row r="783" spans="1:4" x14ac:dyDescent="0.2">
      <c r="A783" s="5">
        <v>722</v>
      </c>
      <c r="B783" s="138">
        <f>'Expenditures 15-22'!D40</f>
        <v>27911</v>
      </c>
      <c r="D783" s="2" t="str">
        <f t="shared" si="11"/>
        <v>Error?</v>
      </c>
    </row>
    <row r="784" spans="1:4" x14ac:dyDescent="0.2">
      <c r="A784" s="5">
        <v>723</v>
      </c>
      <c r="B784" s="138">
        <f>'Expenditures 15-22'!D41</f>
        <v>471</v>
      </c>
      <c r="D784" s="2" t="str">
        <f t="shared" si="11"/>
        <v>Error?</v>
      </c>
    </row>
    <row r="785" spans="1:4" x14ac:dyDescent="0.2">
      <c r="A785" s="5">
        <v>724</v>
      </c>
      <c r="B785" s="138">
        <f>'Expenditures 15-22'!D42</f>
        <v>58640</v>
      </c>
      <c r="C785" s="2" t="s">
        <v>593</v>
      </c>
      <c r="D785" s="2" t="str">
        <f t="shared" si="11"/>
        <v>Error?</v>
      </c>
    </row>
    <row r="786" spans="1:4" x14ac:dyDescent="0.2">
      <c r="A786" s="5">
        <v>725</v>
      </c>
      <c r="B786" s="138">
        <f>'Expenditures 15-22'!D44</f>
        <v>1776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1776</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26691</v>
      </c>
      <c r="D791" s="2" t="str">
        <f t="shared" si="11"/>
        <v>Error?</v>
      </c>
    </row>
    <row r="792" spans="1:4" x14ac:dyDescent="0.2">
      <c r="A792" s="5">
        <v>731</v>
      </c>
      <c r="B792" s="138">
        <f>'Expenditures 15-22'!D53</f>
        <v>26691</v>
      </c>
      <c r="C792" s="2" t="s">
        <v>593</v>
      </c>
      <c r="D792" s="2" t="str">
        <f t="shared" si="11"/>
        <v>Error?</v>
      </c>
    </row>
    <row r="793" spans="1:4" x14ac:dyDescent="0.2">
      <c r="A793" s="5">
        <v>732</v>
      </c>
      <c r="B793" s="138">
        <f>'Expenditures 15-22'!D55</f>
        <v>54475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54475</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10599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19306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29905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6410</v>
      </c>
      <c r="D809" s="2" t="str">
        <f t="shared" si="11"/>
        <v>Error?</v>
      </c>
    </row>
    <row r="810" spans="1:4" x14ac:dyDescent="0.2">
      <c r="A810" s="10">
        <v>749</v>
      </c>
      <c r="D810" s="2" t="str">
        <f t="shared" si="11"/>
        <v>OK</v>
      </c>
    </row>
    <row r="811" spans="1:4" x14ac:dyDescent="0.2">
      <c r="A811" s="5">
        <v>750</v>
      </c>
      <c r="B811" s="138">
        <f>'Expenditures 15-22'!D72</f>
        <v>6410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177897</v>
      </c>
      <c r="C813" s="2" t="s">
        <v>593</v>
      </c>
      <c r="D813" s="2" t="str">
        <f t="shared" si="11"/>
        <v>Error?</v>
      </c>
    </row>
    <row r="814" spans="1:4" x14ac:dyDescent="0.2">
      <c r="A814" s="5">
        <v>753</v>
      </c>
      <c r="B814" s="138">
        <f>'Expenditures 15-22'!D75</f>
        <v>6385</v>
      </c>
      <c r="D814" s="2" t="str">
        <f t="shared" si="11"/>
        <v>Error?</v>
      </c>
    </row>
    <row r="815" spans="1:4" x14ac:dyDescent="0.2">
      <c r="A815" s="5">
        <v>754</v>
      </c>
      <c r="B815" s="138">
        <f>'Expenditures 15-22'!D114</f>
        <v>750657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21925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28557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1591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1591</v>
      </c>
      <c r="C843" s="2" t="s">
        <v>593</v>
      </c>
      <c r="D843" s="2" t="str">
        <f t="shared" si="12"/>
        <v>Error?</v>
      </c>
    </row>
    <row r="844" spans="1:4" x14ac:dyDescent="0.2">
      <c r="A844" s="5">
        <v>783</v>
      </c>
      <c r="B844" s="138">
        <f>'Expenditures 15-22'!E44</f>
        <v>16207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16207</v>
      </c>
      <c r="C847" s="2" t="s">
        <v>593</v>
      </c>
      <c r="D847" s="2" t="str">
        <f t="shared" si="12"/>
        <v>Error?</v>
      </c>
    </row>
    <row r="848" spans="1:4" x14ac:dyDescent="0.2">
      <c r="A848" s="5">
        <v>787</v>
      </c>
      <c r="B848" s="138">
        <f>'Expenditures 15-22'!E49</f>
        <v>39614</v>
      </c>
      <c r="D848" s="2" t="str">
        <f t="shared" si="12"/>
        <v>Error?</v>
      </c>
    </row>
    <row r="849" spans="1:4" x14ac:dyDescent="0.2">
      <c r="A849" s="5">
        <v>788</v>
      </c>
      <c r="B849" s="138">
        <f>'Expenditures 15-22'!E50</f>
        <v>6237</v>
      </c>
      <c r="D849" s="2" t="str">
        <f t="shared" si="12"/>
        <v>Error?</v>
      </c>
    </row>
    <row r="850" spans="1:4" x14ac:dyDescent="0.2">
      <c r="A850" s="5">
        <v>789</v>
      </c>
      <c r="B850" s="138">
        <f>'Expenditures 15-22'!E53</f>
        <v>49309</v>
      </c>
      <c r="C850" s="2" t="s">
        <v>593</v>
      </c>
      <c r="D850" s="2" t="str">
        <f t="shared" si="12"/>
        <v>Error?</v>
      </c>
    </row>
    <row r="851" spans="1:4" x14ac:dyDescent="0.2">
      <c r="A851" s="5">
        <v>790</v>
      </c>
      <c r="B851" s="138">
        <f>'Expenditures 15-22'!E55</f>
        <v>21220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21220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2147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13386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15533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1250</v>
      </c>
      <c r="D867" s="2" t="str">
        <f t="shared" si="12"/>
        <v>Error?</v>
      </c>
    </row>
    <row r="868" spans="1:4" x14ac:dyDescent="0.2">
      <c r="A868" s="10">
        <v>807</v>
      </c>
      <c r="D868" s="2" t="str">
        <f t="shared" si="12"/>
        <v>OK</v>
      </c>
    </row>
    <row r="869" spans="1:4" x14ac:dyDescent="0.2">
      <c r="A869" s="5">
        <v>808</v>
      </c>
      <c r="B869" s="138">
        <f>'Expenditures 15-22'!E72</f>
        <v>1250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105110</v>
      </c>
      <c r="C871" s="2" t="s">
        <v>593</v>
      </c>
      <c r="D871" s="2" t="str">
        <f t="shared" si="12"/>
        <v>Error?</v>
      </c>
    </row>
    <row r="872" spans="1:4" x14ac:dyDescent="0.2">
      <c r="A872" s="5">
        <v>811</v>
      </c>
      <c r="B872" s="138">
        <f>'Expenditures 15-22'!E75</f>
        <v>2202</v>
      </c>
      <c r="D872" s="2" t="str">
        <f t="shared" si="12"/>
        <v>Error?</v>
      </c>
    </row>
    <row r="873" spans="1:4" x14ac:dyDescent="0.2">
      <c r="A873" s="5">
        <v>812</v>
      </c>
      <c r="B873" s="138">
        <f>'Expenditures 15-22'!E114</f>
        <v>246073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116316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5265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127322</v>
      </c>
      <c r="C894" s="2" t="s">
        <v>593</v>
      </c>
      <c r="D894" s="2" t="str">
        <f t="shared" si="12"/>
        <v>Error?</v>
      </c>
    </row>
    <row r="895" spans="1:4" x14ac:dyDescent="0.2">
      <c r="A895" s="5">
        <v>834</v>
      </c>
      <c r="B895" s="138">
        <f>'Expenditures 15-22'!F36</f>
        <v>6559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2547</v>
      </c>
      <c r="D897" s="2" t="str">
        <f t="shared" si="13"/>
        <v>Error?</v>
      </c>
    </row>
    <row r="898" spans="1:4" x14ac:dyDescent="0.2">
      <c r="A898" s="5">
        <v>837</v>
      </c>
      <c r="B898" s="138">
        <f>'Expenditures 15-22'!F39</f>
        <v>972</v>
      </c>
      <c r="D898" s="2" t="str">
        <f t="shared" si="13"/>
        <v>Error?</v>
      </c>
    </row>
    <row r="899" spans="1:4" x14ac:dyDescent="0.2">
      <c r="A899" s="5">
        <v>838</v>
      </c>
      <c r="B899" s="138">
        <f>'Expenditures 15-22'!F40</f>
        <v>737</v>
      </c>
      <c r="D899" s="2" t="str">
        <f t="shared" si="13"/>
        <v>Error?</v>
      </c>
    </row>
    <row r="900" spans="1:4" x14ac:dyDescent="0.2">
      <c r="A900" s="5">
        <v>839</v>
      </c>
      <c r="B900" s="138">
        <f>'Expenditures 15-22'!F41</f>
        <v>2007</v>
      </c>
      <c r="D900" s="2" t="str">
        <f t="shared" si="13"/>
        <v>Error?</v>
      </c>
    </row>
    <row r="901" spans="1:4" x14ac:dyDescent="0.2">
      <c r="A901" s="5">
        <v>840</v>
      </c>
      <c r="B901" s="138">
        <f>'Expenditures 15-22'!F42</f>
        <v>12822</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920</v>
      </c>
      <c r="D904" s="2" t="str">
        <f t="shared" si="13"/>
        <v>Error?</v>
      </c>
    </row>
    <row r="905" spans="1:4" x14ac:dyDescent="0.2">
      <c r="A905" s="5">
        <v>844</v>
      </c>
      <c r="B905" s="138">
        <f>'Expenditures 15-22'!F47</f>
        <v>920</v>
      </c>
      <c r="C905" s="2" t="s">
        <v>593</v>
      </c>
      <c r="D905" s="2" t="str">
        <f t="shared" si="13"/>
        <v>Error?</v>
      </c>
    </row>
    <row r="906" spans="1:4" x14ac:dyDescent="0.2">
      <c r="A906" s="5">
        <v>845</v>
      </c>
      <c r="B906" s="138">
        <f>'Expenditures 15-22'!F49</f>
        <v>1849</v>
      </c>
      <c r="D906" s="2" t="str">
        <f t="shared" si="13"/>
        <v>Error?</v>
      </c>
    </row>
    <row r="907" spans="1:4" x14ac:dyDescent="0.2">
      <c r="A907" s="5">
        <v>846</v>
      </c>
      <c r="B907" s="138">
        <f>'Expenditures 15-22'!F50</f>
        <v>184</v>
      </c>
      <c r="D907" s="2" t="str">
        <f t="shared" si="13"/>
        <v>Error?</v>
      </c>
    </row>
    <row r="908" spans="1:4" x14ac:dyDescent="0.2">
      <c r="A908" s="5">
        <v>847</v>
      </c>
      <c r="B908" s="138">
        <f>'Expenditures 15-22'!F53</f>
        <v>2301</v>
      </c>
      <c r="C908" s="2" t="s">
        <v>593</v>
      </c>
      <c r="D908" s="2" t="str">
        <f t="shared" si="13"/>
        <v>Error?</v>
      </c>
    </row>
    <row r="909" spans="1:4" x14ac:dyDescent="0.2">
      <c r="A909" s="5">
        <v>848</v>
      </c>
      <c r="B909" s="138">
        <f>'Expenditures 15-22'!F55</f>
        <v>3750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3750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9151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209226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218377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9209</v>
      </c>
      <c r="D925" s="2" t="str">
        <f t="shared" si="13"/>
        <v>Error?</v>
      </c>
    </row>
    <row r="926" spans="1:4" x14ac:dyDescent="0.2">
      <c r="A926" s="10">
        <v>865</v>
      </c>
      <c r="D926" s="2" t="str">
        <f t="shared" si="13"/>
        <v>OK</v>
      </c>
    </row>
    <row r="927" spans="1:4" x14ac:dyDescent="0.2">
      <c r="A927" s="5">
        <v>866</v>
      </c>
      <c r="B927" s="138">
        <f>'Expenditures 15-22'!F72</f>
        <v>9209</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247379</v>
      </c>
      <c r="C929" s="2" t="s">
        <v>593</v>
      </c>
      <c r="D929" s="2" t="str">
        <f t="shared" si="13"/>
        <v>Error?</v>
      </c>
    </row>
    <row r="930" spans="1:4" x14ac:dyDescent="0.2">
      <c r="A930" s="5">
        <v>869</v>
      </c>
      <c r="B930" s="138">
        <f>'Expenditures 15-22'!F75</f>
        <v>6890</v>
      </c>
      <c r="D930" s="2" t="str">
        <f t="shared" si="13"/>
        <v>Error?</v>
      </c>
    </row>
    <row r="931" spans="1:4" x14ac:dyDescent="0.2">
      <c r="A931" s="5">
        <v>870</v>
      </c>
      <c r="B931" s="138">
        <f>'Expenditures 15-22'!F114</f>
        <v>381591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4881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5554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10782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10782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1445</v>
      </c>
      <c r="D983" s="2" t="str">
        <f t="shared" si="14"/>
        <v>Error?</v>
      </c>
    </row>
    <row r="984" spans="1:4" x14ac:dyDescent="0.2">
      <c r="A984" s="10">
        <v>923</v>
      </c>
      <c r="D984" s="2" t="str">
        <f t="shared" si="14"/>
        <v>OK</v>
      </c>
    </row>
    <row r="985" spans="1:4" x14ac:dyDescent="0.2">
      <c r="A985" s="5">
        <v>924</v>
      </c>
      <c r="B985" s="138">
        <f>'Expenditures 15-22'!G72</f>
        <v>1445</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12227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17781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3736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3736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7310</v>
      </c>
      <c r="D1022" s="2" t="str">
        <f t="shared" si="14"/>
        <v>Error?</v>
      </c>
    </row>
    <row r="1023" spans="1:4" x14ac:dyDescent="0.2">
      <c r="A1023" s="5">
        <v>962</v>
      </c>
      <c r="B1023" s="138">
        <f>'Expenditures 15-22'!H50</f>
        <v>949</v>
      </c>
      <c r="D1023" s="2" t="str">
        <f t="shared" ref="D1023:D1086" si="15">IF(ISBLANK(B1023),"OK",IF(A1023-B1023=0,"OK","Error?"))</f>
        <v>Error?</v>
      </c>
    </row>
    <row r="1024" spans="1:4" x14ac:dyDescent="0.2">
      <c r="A1024" s="5">
        <v>963</v>
      </c>
      <c r="B1024" s="138">
        <f>'Expenditures 15-22'!H53</f>
        <v>8259</v>
      </c>
      <c r="C1024" s="2" t="s">
        <v>593</v>
      </c>
      <c r="D1024" s="2" t="str">
        <f t="shared" si="15"/>
        <v>Error?</v>
      </c>
    </row>
    <row r="1025" spans="1:4" x14ac:dyDescent="0.2">
      <c r="A1025" s="5">
        <v>964</v>
      </c>
      <c r="B1025" s="138">
        <f>'Expenditures 15-22'!H55</f>
        <v>2408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2408</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235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300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11202</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101732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116670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2301701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52802</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3528842</v>
      </c>
      <c r="C1108" s="2" t="s">
        <v>593</v>
      </c>
      <c r="D1108" s="2" t="str">
        <f t="shared" si="16"/>
        <v>Error?</v>
      </c>
    </row>
    <row r="1109" spans="1:4" x14ac:dyDescent="0.2">
      <c r="A1109" s="5">
        <v>1048</v>
      </c>
      <c r="B1109" s="138">
        <f>'Expenditures 15-22'!K36</f>
        <v>71961</v>
      </c>
      <c r="C1109" s="2" t="s">
        <v>593</v>
      </c>
      <c r="D1109" s="2" t="str">
        <f t="shared" si="16"/>
        <v>Error?</v>
      </c>
    </row>
    <row r="1110" spans="1:4" x14ac:dyDescent="0.2">
      <c r="A1110" s="5">
        <v>1049</v>
      </c>
      <c r="B1110" s="138">
        <f>'Expenditures 15-22'!K37</f>
        <v>6661</v>
      </c>
      <c r="C1110" s="2" t="s">
        <v>593</v>
      </c>
      <c r="D1110" s="2" t="str">
        <f t="shared" si="16"/>
        <v>Error?</v>
      </c>
    </row>
    <row r="1111" spans="1:4" x14ac:dyDescent="0.2">
      <c r="A1111" s="5">
        <v>1050</v>
      </c>
      <c r="B1111" s="138">
        <f>'Expenditures 15-22'!K38</f>
        <v>33876</v>
      </c>
      <c r="C1111" s="2" t="s">
        <v>593</v>
      </c>
      <c r="D1111" s="2" t="str">
        <f t="shared" si="16"/>
        <v>Error?</v>
      </c>
    </row>
    <row r="1112" spans="1:4" x14ac:dyDescent="0.2">
      <c r="A1112" s="5">
        <v>1051</v>
      </c>
      <c r="B1112" s="138">
        <f>'Expenditures 15-22'!K39</f>
        <v>56119</v>
      </c>
      <c r="C1112" s="2" t="s">
        <v>593</v>
      </c>
      <c r="D1112" s="2" t="str">
        <f t="shared" si="16"/>
        <v>Error?</v>
      </c>
    </row>
    <row r="1113" spans="1:4" x14ac:dyDescent="0.2">
      <c r="A1113" s="5">
        <v>1052</v>
      </c>
      <c r="B1113" s="138">
        <f>'Expenditures 15-22'!K40</f>
        <v>161018</v>
      </c>
      <c r="C1113" s="2" t="s">
        <v>593</v>
      </c>
      <c r="D1113" s="2" t="str">
        <f t="shared" si="16"/>
        <v>Error?</v>
      </c>
    </row>
    <row r="1114" spans="1:4" x14ac:dyDescent="0.2">
      <c r="A1114" s="5">
        <v>1053</v>
      </c>
      <c r="B1114" s="138">
        <f>'Expenditures 15-22'!K41</f>
        <v>47966</v>
      </c>
      <c r="C1114" s="2" t="s">
        <v>593</v>
      </c>
      <c r="D1114" s="2" t="str">
        <f t="shared" si="16"/>
        <v>Error?</v>
      </c>
    </row>
    <row r="1115" spans="1:4" x14ac:dyDescent="0.2">
      <c r="A1115" s="5">
        <v>1054</v>
      </c>
      <c r="B1115" s="138">
        <f>'Expenditures 15-22'!K42</f>
        <v>377601</v>
      </c>
      <c r="C1115" s="2" t="s">
        <v>593</v>
      </c>
      <c r="D1115" s="2" t="str">
        <f t="shared" si="16"/>
        <v>Error?</v>
      </c>
    </row>
    <row r="1116" spans="1:4" x14ac:dyDescent="0.2">
      <c r="A1116" s="5">
        <v>1055</v>
      </c>
      <c r="B1116" s="138">
        <f>'Expenditures 15-22'!K44</f>
        <v>28947</v>
      </c>
      <c r="C1116" s="2" t="s">
        <v>593</v>
      </c>
      <c r="D1116" s="2" t="str">
        <f t="shared" si="16"/>
        <v>Error?</v>
      </c>
    </row>
    <row r="1117" spans="1:4" x14ac:dyDescent="0.2">
      <c r="A1117" s="5">
        <v>1056</v>
      </c>
      <c r="B1117" s="138">
        <f>'Expenditures 15-22'!K45</f>
        <v>0</v>
      </c>
      <c r="C1117" s="2" t="s">
        <v>593</v>
      </c>
      <c r="D1117" s="2" t="str">
        <f t="shared" si="16"/>
        <v>Error?</v>
      </c>
    </row>
    <row r="1118" spans="1:4" x14ac:dyDescent="0.2">
      <c r="A1118" s="5">
        <v>1057</v>
      </c>
      <c r="B1118" s="138">
        <f>'Expenditures 15-22'!K46</f>
        <v>920</v>
      </c>
      <c r="C1118" s="2" t="s">
        <v>593</v>
      </c>
      <c r="D1118" s="2" t="str">
        <f t="shared" si="16"/>
        <v>Error?</v>
      </c>
    </row>
    <row r="1119" spans="1:4" x14ac:dyDescent="0.2">
      <c r="A1119" s="5">
        <v>1058</v>
      </c>
      <c r="B1119" s="138">
        <f>'Expenditures 15-22'!K47</f>
        <v>29867</v>
      </c>
      <c r="C1119" s="2" t="s">
        <v>593</v>
      </c>
      <c r="D1119" s="2" t="str">
        <f t="shared" si="16"/>
        <v>Error?</v>
      </c>
    </row>
    <row r="1120" spans="1:4" x14ac:dyDescent="0.2">
      <c r="A1120" s="5">
        <v>1059</v>
      </c>
      <c r="B1120" s="138">
        <f>'Expenditures 15-22'!K49</f>
        <v>48773</v>
      </c>
      <c r="C1120" s="2" t="s">
        <v>593</v>
      </c>
      <c r="D1120" s="2" t="str">
        <f t="shared" si="16"/>
        <v>Error?</v>
      </c>
    </row>
    <row r="1121" spans="1:4" x14ac:dyDescent="0.2">
      <c r="A1121" s="5">
        <v>1060</v>
      </c>
      <c r="B1121" s="138">
        <f>'Expenditures 15-22'!K50</f>
        <v>183124</v>
      </c>
      <c r="C1121" s="2" t="s">
        <v>593</v>
      </c>
      <c r="D1121" s="2" t="str">
        <f t="shared" si="16"/>
        <v>Error?</v>
      </c>
    </row>
    <row r="1122" spans="1:4" x14ac:dyDescent="0.2">
      <c r="A1122" s="5">
        <v>1061</v>
      </c>
      <c r="B1122" s="138">
        <f>'Expenditures 15-22'!K53</f>
        <v>261831</v>
      </c>
      <c r="C1122" s="2" t="s">
        <v>593</v>
      </c>
      <c r="D1122" s="2" t="str">
        <f t="shared" si="16"/>
        <v>Error?</v>
      </c>
    </row>
    <row r="1123" spans="1:4" x14ac:dyDescent="0.2">
      <c r="A1123" s="5">
        <v>1062</v>
      </c>
      <c r="B1123" s="138">
        <f>'Expenditures 15-22'!K55</f>
        <v>354032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354032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90262</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421471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511733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96560</v>
      </c>
      <c r="C1139" s="2" t="s">
        <v>593</v>
      </c>
      <c r="D1139" s="2" t="str">
        <f t="shared" si="16"/>
        <v>Error?</v>
      </c>
    </row>
    <row r="1140" spans="1:4" x14ac:dyDescent="0.2">
      <c r="A1140" s="10">
        <v>1079</v>
      </c>
      <c r="D1140" s="2" t="str">
        <f t="shared" si="16"/>
        <v>OK</v>
      </c>
    </row>
    <row r="1141" spans="1:4" x14ac:dyDescent="0.2">
      <c r="A1141" s="5">
        <v>1080</v>
      </c>
      <c r="B1141" s="138">
        <f>'Expenditures 15-22'!K72</f>
        <v>96560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1631624</v>
      </c>
      <c r="C1143" s="2" t="s">
        <v>593</v>
      </c>
      <c r="D1143" s="2" t="str">
        <f t="shared" si="16"/>
        <v>Error?</v>
      </c>
    </row>
    <row r="1144" spans="1:4" x14ac:dyDescent="0.2">
      <c r="A1144" s="5">
        <v>1083</v>
      </c>
      <c r="B1144" s="138">
        <f>'Expenditures 15-22'!K75</f>
        <v>67033</v>
      </c>
      <c r="C1144" s="2" t="s">
        <v>593</v>
      </c>
      <c r="D1144" s="2" t="str">
        <f t="shared" si="16"/>
        <v>Error?</v>
      </c>
    </row>
    <row r="1145" spans="1:4" x14ac:dyDescent="0.2">
      <c r="A1145" s="5">
        <v>1084</v>
      </c>
      <c r="B1145" s="138">
        <f>'Expenditures 15-22'!K102</f>
        <v>211936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5439435</v>
      </c>
      <c r="C1152" s="2" t="s">
        <v>593</v>
      </c>
      <c r="D1152" s="2" t="str">
        <f t="shared" si="17"/>
        <v>Error?</v>
      </c>
    </row>
    <row r="1153" spans="1:4" x14ac:dyDescent="0.2">
      <c r="A1153" s="5">
        <v>1092</v>
      </c>
      <c r="B1153" s="138">
        <f>'Expenditures 15-22'!K115</f>
        <v>680426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242081</v>
      </c>
      <c r="D1221" s="2" t="str">
        <f t="shared" si="18"/>
        <v>Error?</v>
      </c>
    </row>
    <row r="1222" spans="1:4" x14ac:dyDescent="0.2">
      <c r="A1222" s="10">
        <v>1161</v>
      </c>
      <c r="D1222" s="2" t="str">
        <f t="shared" si="18"/>
        <v>OK</v>
      </c>
    </row>
    <row r="1223" spans="1:4" x14ac:dyDescent="0.2">
      <c r="A1223" s="5">
        <v>1162</v>
      </c>
      <c r="B1223" s="138">
        <f>'Expenditures 15-22'!C127</f>
        <v>242081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242081</v>
      </c>
      <c r="C1225" s="2" t="s">
        <v>593</v>
      </c>
      <c r="D1225" s="2" t="str">
        <f t="shared" si="18"/>
        <v>Error?</v>
      </c>
    </row>
    <row r="1226" spans="1:4" x14ac:dyDescent="0.2">
      <c r="A1226" s="5">
        <v>1165</v>
      </c>
      <c r="B1226" s="138">
        <f>'Expenditures 15-22'!C151</f>
        <v>242081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29834</v>
      </c>
      <c r="D1229" s="2" t="str">
        <f t="shared" si="18"/>
        <v>Error?</v>
      </c>
    </row>
    <row r="1230" spans="1:4" x14ac:dyDescent="0.2">
      <c r="A1230" s="10">
        <v>1169</v>
      </c>
      <c r="D1230" s="2" t="str">
        <f t="shared" si="18"/>
        <v>OK</v>
      </c>
    </row>
    <row r="1231" spans="1:4" x14ac:dyDescent="0.2">
      <c r="A1231" s="5">
        <v>1170</v>
      </c>
      <c r="B1231" s="138">
        <f>'Expenditures 15-22'!D127</f>
        <v>29834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29834</v>
      </c>
      <c r="C1233" s="2" t="s">
        <v>593</v>
      </c>
      <c r="D1233" s="2" t="str">
        <f t="shared" si="18"/>
        <v>Error?</v>
      </c>
    </row>
    <row r="1234" spans="1:4" x14ac:dyDescent="0.2">
      <c r="A1234" s="5">
        <v>1173</v>
      </c>
      <c r="B1234" s="138">
        <f>'Expenditures 15-22'!D151</f>
        <v>29834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66683</v>
      </c>
      <c r="D1237" s="2" t="str">
        <f t="shared" si="18"/>
        <v>Error?</v>
      </c>
    </row>
    <row r="1238" spans="1:4" x14ac:dyDescent="0.2">
      <c r="A1238" s="10">
        <v>1177</v>
      </c>
      <c r="D1238" s="2" t="str">
        <f t="shared" si="18"/>
        <v>OK</v>
      </c>
    </row>
    <row r="1239" spans="1:4" x14ac:dyDescent="0.2">
      <c r="A1239" s="5">
        <v>1178</v>
      </c>
      <c r="B1239" s="138">
        <f>'Expenditures 15-22'!E127</f>
        <v>66683</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66683</v>
      </c>
      <c r="C1241" s="2" t="s">
        <v>593</v>
      </c>
      <c r="D1241" s="2" t="str">
        <f t="shared" si="18"/>
        <v>Error?</v>
      </c>
    </row>
    <row r="1242" spans="1:4" x14ac:dyDescent="0.2">
      <c r="A1242" s="5">
        <v>1181</v>
      </c>
      <c r="B1242" s="138">
        <f>'Expenditures 15-22'!E151</f>
        <v>66683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188230</v>
      </c>
      <c r="D1245" s="2" t="str">
        <f t="shared" si="18"/>
        <v>Error?</v>
      </c>
    </row>
    <row r="1246" spans="1:4" x14ac:dyDescent="0.2">
      <c r="A1246" s="10">
        <v>1185</v>
      </c>
      <c r="D1246" s="2" t="str">
        <f t="shared" si="18"/>
        <v>OK</v>
      </c>
    </row>
    <row r="1247" spans="1:4" x14ac:dyDescent="0.2">
      <c r="A1247" s="5">
        <v>1186</v>
      </c>
      <c r="B1247" s="138">
        <f>'Expenditures 15-22'!F127</f>
        <v>188230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188230</v>
      </c>
      <c r="C1249" s="2" t="s">
        <v>593</v>
      </c>
      <c r="D1249" s="2" t="str">
        <f t="shared" si="18"/>
        <v>Error?</v>
      </c>
    </row>
    <row r="1250" spans="1:4" x14ac:dyDescent="0.2">
      <c r="A1250" s="5">
        <v>1189</v>
      </c>
      <c r="B1250" s="138">
        <f>'Expenditures 15-22'!F151</f>
        <v>188230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2097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2097</v>
      </c>
      <c r="C1258" s="2" t="s">
        <v>593</v>
      </c>
      <c r="D1258" s="2" t="str">
        <f t="shared" si="18"/>
        <v>Error?</v>
      </c>
    </row>
    <row r="1259" spans="1:4" x14ac:dyDescent="0.2">
      <c r="A1259" s="5">
        <v>1198</v>
      </c>
      <c r="B1259" s="138">
        <f>'Expenditures 15-22'!G151</f>
        <v>2097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529683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529683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529683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529683</v>
      </c>
      <c r="C1288" s="2" t="s">
        <v>593</v>
      </c>
      <c r="D1288" s="2" t="str">
        <f t="shared" si="19"/>
        <v>Error?</v>
      </c>
    </row>
    <row r="1289" spans="1:4" x14ac:dyDescent="0.2">
      <c r="A1289" s="5">
        <v>1228</v>
      </c>
      <c r="B1289" s="138">
        <f>'Expenditures 15-22'!K152</f>
        <v>-30400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156843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416683</v>
      </c>
      <c r="D1315" s="2" t="str">
        <f t="shared" si="19"/>
        <v>Error?</v>
      </c>
    </row>
    <row r="1316" spans="1:4" x14ac:dyDescent="0.2">
      <c r="A1316" s="5">
        <v>1255</v>
      </c>
      <c r="B1316" s="138">
        <f>'Expenditures 15-22'!H171</f>
        <v>802</v>
      </c>
      <c r="D1316" s="2" t="str">
        <f t="shared" si="19"/>
        <v>Error?</v>
      </c>
    </row>
    <row r="1317" spans="1:4" x14ac:dyDescent="0.2">
      <c r="A1317" s="5">
        <v>1256</v>
      </c>
      <c r="B1317" s="138">
        <f>'Expenditures 15-22'!H172</f>
        <v>574328</v>
      </c>
      <c r="C1317" s="2" t="s">
        <v>593</v>
      </c>
      <c r="D1317" s="2" t="str">
        <f t="shared" si="19"/>
        <v>Error?</v>
      </c>
    </row>
    <row r="1318" spans="1:4" x14ac:dyDescent="0.2">
      <c r="A1318" s="5">
        <v>1257</v>
      </c>
      <c r="B1318" s="138">
        <f>'Expenditures 15-22'!H174</f>
        <v>574328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156843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416683</v>
      </c>
      <c r="C1329" s="2" t="s">
        <v>593</v>
      </c>
      <c r="D1329" s="2" t="str">
        <f t="shared" si="19"/>
        <v>Error?</v>
      </c>
    </row>
    <row r="1330" spans="1:4" x14ac:dyDescent="0.2">
      <c r="A1330" s="5">
        <v>1269</v>
      </c>
      <c r="B1330" s="138">
        <f>'Expenditures 15-22'!K171</f>
        <v>802</v>
      </c>
      <c r="C1330" s="2" t="s">
        <v>593</v>
      </c>
      <c r="D1330" s="2" t="str">
        <f t="shared" si="19"/>
        <v>Error?</v>
      </c>
    </row>
    <row r="1331" spans="1:4" x14ac:dyDescent="0.2">
      <c r="A1331" s="5">
        <v>1270</v>
      </c>
      <c r="B1331" s="138">
        <f>'Expenditures 15-22'!K172</f>
        <v>574328</v>
      </c>
      <c r="C1331" s="2" t="s">
        <v>593</v>
      </c>
      <c r="D1331" s="2" t="str">
        <f t="shared" si="19"/>
        <v>Error?</v>
      </c>
    </row>
    <row r="1332" spans="1:4" x14ac:dyDescent="0.2">
      <c r="A1332" s="5">
        <v>1271</v>
      </c>
      <c r="B1332" s="138">
        <f>'Expenditures 15-22'!K174</f>
        <v>574328</v>
      </c>
      <c r="C1332" s="2" t="s">
        <v>593</v>
      </c>
      <c r="D1332" s="2" t="str">
        <f t="shared" si="19"/>
        <v>Error?</v>
      </c>
    </row>
    <row r="1333" spans="1:4" x14ac:dyDescent="0.2">
      <c r="A1333" s="5">
        <v>1272</v>
      </c>
      <c r="B1333" s="138">
        <f>'Expenditures 15-22'!K175</f>
        <v>-137522</v>
      </c>
      <c r="C1333" s="2" t="s">
        <v>593</v>
      </c>
      <c r="D1333" s="2" t="str">
        <f t="shared" si="19"/>
        <v>Error?</v>
      </c>
    </row>
    <row r="1334" spans="1:4" x14ac:dyDescent="0.2">
      <c r="A1334" s="10">
        <v>1273</v>
      </c>
      <c r="D1334" s="2" t="str">
        <f t="shared" si="19"/>
        <v>OK</v>
      </c>
    </row>
    <row r="1335" spans="1:4" x14ac:dyDescent="0.2">
      <c r="A1335" s="5">
        <v>1274</v>
      </c>
      <c r="B1335" s="138">
        <f>'Expenditures 15-22'!C182</f>
        <v>65650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65650</v>
      </c>
      <c r="C1339" s="2" t="s">
        <v>593</v>
      </c>
      <c r="D1339" s="2" t="str">
        <f t="shared" si="19"/>
        <v>Error?</v>
      </c>
    </row>
    <row r="1340" spans="1:4" x14ac:dyDescent="0.2">
      <c r="A1340" s="5">
        <v>1279</v>
      </c>
      <c r="B1340" s="138">
        <f>'Expenditures 15-22'!C210</f>
        <v>65650</v>
      </c>
      <c r="C1340" s="2" t="s">
        <v>593</v>
      </c>
      <c r="D1340" s="2" t="str">
        <f t="shared" si="19"/>
        <v>Error?</v>
      </c>
    </row>
    <row r="1341" spans="1:4" x14ac:dyDescent="0.2">
      <c r="A1341" s="5">
        <v>1280</v>
      </c>
      <c r="B1341" s="138">
        <f>'Expenditures 15-22'!D182</f>
        <v>546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546</v>
      </c>
      <c r="C1345" s="2" t="s">
        <v>593</v>
      </c>
      <c r="D1345" s="2" t="str">
        <f t="shared" si="20"/>
        <v>Error?</v>
      </c>
    </row>
    <row r="1346" spans="1:4" x14ac:dyDescent="0.2">
      <c r="A1346" s="5">
        <v>1285</v>
      </c>
      <c r="B1346" s="138">
        <f>'Expenditures 15-22'!D210</f>
        <v>546</v>
      </c>
      <c r="C1346" s="2" t="s">
        <v>593</v>
      </c>
      <c r="D1346" s="2" t="str">
        <f t="shared" si="20"/>
        <v>Error?</v>
      </c>
    </row>
    <row r="1347" spans="1:4" x14ac:dyDescent="0.2">
      <c r="A1347" s="5">
        <v>1286</v>
      </c>
      <c r="B1347" s="138">
        <f>'Expenditures 15-22'!E182</f>
        <v>9494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9494</v>
      </c>
      <c r="C1351" s="2" t="s">
        <v>593</v>
      </c>
      <c r="D1351" s="2" t="str">
        <f t="shared" si="20"/>
        <v>Error?</v>
      </c>
    </row>
    <row r="1352" spans="1:4" x14ac:dyDescent="0.2">
      <c r="A1352" s="5">
        <v>1291</v>
      </c>
      <c r="B1352" s="138">
        <f>'Expenditures 15-22'!E196</f>
        <v>214</v>
      </c>
      <c r="C1352" s="2" t="s">
        <v>593</v>
      </c>
      <c r="D1352" s="2" t="str">
        <f t="shared" si="20"/>
        <v>Error?</v>
      </c>
    </row>
    <row r="1353" spans="1:4" x14ac:dyDescent="0.2">
      <c r="A1353" s="5">
        <v>1292</v>
      </c>
      <c r="B1353" s="138">
        <f>'Expenditures 15-22'!E210</f>
        <v>9708</v>
      </c>
      <c r="C1353" s="2" t="s">
        <v>593</v>
      </c>
      <c r="D1353" s="2" t="str">
        <f t="shared" si="20"/>
        <v>Error?</v>
      </c>
    </row>
    <row r="1354" spans="1:4" x14ac:dyDescent="0.2">
      <c r="A1354" s="5">
        <v>1293</v>
      </c>
      <c r="B1354" s="138">
        <f>'Expenditures 15-22'!F182</f>
        <v>16273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16273</v>
      </c>
      <c r="C1358" s="2" t="s">
        <v>593</v>
      </c>
      <c r="D1358" s="2" t="str">
        <f t="shared" si="20"/>
        <v>Error?</v>
      </c>
    </row>
    <row r="1359" spans="1:4" x14ac:dyDescent="0.2">
      <c r="A1359" s="5">
        <v>1298</v>
      </c>
      <c r="B1359" s="138">
        <f>'Expenditures 15-22'!F210</f>
        <v>16273</v>
      </c>
      <c r="C1359" s="2" t="s">
        <v>593</v>
      </c>
      <c r="D1359" s="2" t="str">
        <f t="shared" si="20"/>
        <v>Error?</v>
      </c>
    </row>
    <row r="1360" spans="1:4" x14ac:dyDescent="0.2">
      <c r="A1360" s="5">
        <v>1299</v>
      </c>
      <c r="B1360" s="138">
        <f>'Expenditures 15-22'!G182</f>
        <v>51709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51709</v>
      </c>
      <c r="C1364" s="2" t="s">
        <v>593</v>
      </c>
      <c r="D1364" s="2" t="str">
        <f t="shared" si="20"/>
        <v>Error?</v>
      </c>
    </row>
    <row r="1365" spans="1:4" x14ac:dyDescent="0.2">
      <c r="A1365" s="5">
        <v>1304</v>
      </c>
      <c r="B1365" s="138">
        <f>'Expenditures 15-22'!G210</f>
        <v>51709</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143672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143672</v>
      </c>
      <c r="C1381" s="2" t="s">
        <v>593</v>
      </c>
      <c r="D1381" s="2" t="str">
        <f t="shared" si="20"/>
        <v>Error?</v>
      </c>
    </row>
    <row r="1382" spans="1:4" x14ac:dyDescent="0.2">
      <c r="A1382" s="5">
        <v>1321</v>
      </c>
      <c r="B1382" s="138">
        <f>'Expenditures 15-22'!K196</f>
        <v>214</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143886</v>
      </c>
      <c r="C1388" s="2" t="s">
        <v>593</v>
      </c>
      <c r="D1388" s="2" t="str">
        <f t="shared" si="20"/>
        <v>Error?</v>
      </c>
    </row>
    <row r="1389" spans="1:4" x14ac:dyDescent="0.2">
      <c r="A1389" s="5">
        <v>1328</v>
      </c>
      <c r="B1389" s="138">
        <f>'Expenditures 15-22'!K211</f>
        <v>33571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119163</v>
      </c>
      <c r="C1410" s="2" t="s">
        <v>593</v>
      </c>
      <c r="D1410" s="2" t="str">
        <f t="shared" si="21"/>
        <v>Error?</v>
      </c>
    </row>
    <row r="1411" spans="1:4" x14ac:dyDescent="0.2">
      <c r="A1411" s="5">
        <v>1350</v>
      </c>
      <c r="B1411" s="138">
        <f>'Expenditures 15-22'!D232</f>
        <v>1042</v>
      </c>
      <c r="D1411" s="2" t="str">
        <f t="shared" si="21"/>
        <v>Error?</v>
      </c>
    </row>
    <row r="1412" spans="1:4" x14ac:dyDescent="0.2">
      <c r="A1412" s="5">
        <v>1351</v>
      </c>
      <c r="B1412" s="138">
        <f>'Expenditures 15-22'!D233</f>
        <v>89</v>
      </c>
      <c r="D1412" s="2" t="str">
        <f t="shared" si="21"/>
        <v>Error?</v>
      </c>
    </row>
    <row r="1413" spans="1:4" x14ac:dyDescent="0.2">
      <c r="A1413" s="5">
        <v>1352</v>
      </c>
      <c r="B1413" s="138">
        <f>'Expenditures 15-22'!D234</f>
        <v>6694</v>
      </c>
      <c r="D1413" s="2" t="str">
        <f t="shared" si="21"/>
        <v>Error?</v>
      </c>
    </row>
    <row r="1414" spans="1:4" x14ac:dyDescent="0.2">
      <c r="A1414" s="5">
        <v>1353</v>
      </c>
      <c r="B1414" s="138">
        <f>'Expenditures 15-22'!D235</f>
        <v>539</v>
      </c>
      <c r="D1414" s="2" t="str">
        <f t="shared" si="21"/>
        <v>Error?</v>
      </c>
    </row>
    <row r="1415" spans="1:4" x14ac:dyDescent="0.2">
      <c r="A1415" s="5">
        <v>1354</v>
      </c>
      <c r="B1415" s="138">
        <f>'Expenditures 15-22'!D236</f>
        <v>1747</v>
      </c>
      <c r="D1415" s="2" t="str">
        <f t="shared" si="21"/>
        <v>Error?</v>
      </c>
    </row>
    <row r="1416" spans="1:4" x14ac:dyDescent="0.2">
      <c r="A1416" s="5">
        <v>1355</v>
      </c>
      <c r="B1416" s="138">
        <f>'Expenditures 15-22'!D237</f>
        <v>6018</v>
      </c>
      <c r="D1416" s="2" t="str">
        <f t="shared" si="21"/>
        <v>Error?</v>
      </c>
    </row>
    <row r="1417" spans="1:4" x14ac:dyDescent="0.2">
      <c r="A1417" s="5">
        <v>1356</v>
      </c>
      <c r="B1417" s="138">
        <f>'Expenditures 15-22'!D238</f>
        <v>16129</v>
      </c>
      <c r="C1417" s="2" t="s">
        <v>593</v>
      </c>
      <c r="D1417" s="2" t="str">
        <f t="shared" si="21"/>
        <v>Error?</v>
      </c>
    </row>
    <row r="1418" spans="1:4" x14ac:dyDescent="0.2">
      <c r="A1418" s="5">
        <v>1357</v>
      </c>
      <c r="B1418" s="138">
        <f>'Expenditures 15-22'!D240</f>
        <v>147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147</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10119</v>
      </c>
      <c r="D1423" s="2" t="str">
        <f t="shared" si="21"/>
        <v>Error?</v>
      </c>
    </row>
    <row r="1424" spans="1:4" x14ac:dyDescent="0.2">
      <c r="A1424" s="5">
        <v>1363</v>
      </c>
      <c r="B1424" s="138">
        <f>'Expenditures 15-22'!D257</f>
        <v>12124</v>
      </c>
      <c r="C1424" s="2" t="s">
        <v>593</v>
      </c>
      <c r="D1424" s="2" t="str">
        <f t="shared" si="21"/>
        <v>Error?</v>
      </c>
    </row>
    <row r="1425" spans="1:4" x14ac:dyDescent="0.2">
      <c r="A1425" s="5">
        <v>1364</v>
      </c>
      <c r="B1425" s="138">
        <f>'Expenditures 15-22'!D259</f>
        <v>19173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19173</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13043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50019</v>
      </c>
      <c r="D1431" s="2" t="str">
        <f t="shared" si="21"/>
        <v>Error?</v>
      </c>
    </row>
    <row r="1432" spans="1:4" x14ac:dyDescent="0.2">
      <c r="A1432" s="5">
        <v>1371</v>
      </c>
      <c r="B1432" s="138">
        <f>'Expenditures 15-22'!D267</f>
        <v>11415</v>
      </c>
      <c r="D1432" s="2" t="str">
        <f t="shared" si="21"/>
        <v>Error?</v>
      </c>
    </row>
    <row r="1433" spans="1:4" x14ac:dyDescent="0.2">
      <c r="A1433" s="5">
        <v>1372</v>
      </c>
      <c r="B1433" s="138">
        <f>'Expenditures 15-22'!D268</f>
        <v>31433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105910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14486</v>
      </c>
      <c r="D1442" s="2" t="str">
        <f t="shared" si="21"/>
        <v>Error?</v>
      </c>
    </row>
    <row r="1443" spans="1:4" x14ac:dyDescent="0.2">
      <c r="A1443" s="10">
        <v>1382</v>
      </c>
      <c r="D1443" s="2" t="str">
        <f t="shared" si="21"/>
        <v>OK</v>
      </c>
    </row>
    <row r="1444" spans="1:4" x14ac:dyDescent="0.2">
      <c r="A1444" s="5">
        <v>1383</v>
      </c>
      <c r="B1444" s="138">
        <f>'Expenditures 15-22'!D277</f>
        <v>14486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167969</v>
      </c>
      <c r="C1446" s="2" t="s">
        <v>593</v>
      </c>
      <c r="D1446" s="2" t="str">
        <f t="shared" si="21"/>
        <v>Error?</v>
      </c>
    </row>
    <row r="1447" spans="1:4" x14ac:dyDescent="0.2">
      <c r="A1447" s="5">
        <v>1386</v>
      </c>
      <c r="B1447" s="138">
        <f>'Expenditures 15-22'!D280</f>
        <v>9559</v>
      </c>
      <c r="D1447" s="2" t="str">
        <f t="shared" si="21"/>
        <v>Error?</v>
      </c>
    </row>
    <row r="1448" spans="1:4" x14ac:dyDescent="0.2">
      <c r="A1448" s="5">
        <v>1387</v>
      </c>
      <c r="B1448" s="138">
        <f>'Expenditures 15-22'!D295</f>
        <v>296691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2125</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119163</v>
      </c>
      <c r="C1474" s="2" t="s">
        <v>593</v>
      </c>
      <c r="D1474" s="2" t="str">
        <f t="shared" si="22"/>
        <v>Error?</v>
      </c>
    </row>
    <row r="1475" spans="1:4" x14ac:dyDescent="0.2">
      <c r="A1475" s="5">
        <v>1414</v>
      </c>
      <c r="B1475" s="138">
        <f>'Expenditures 15-22'!K232</f>
        <v>1042</v>
      </c>
      <c r="C1475" s="2" t="s">
        <v>593</v>
      </c>
      <c r="D1475" s="2" t="str">
        <f t="shared" si="22"/>
        <v>Error?</v>
      </c>
    </row>
    <row r="1476" spans="1:4" x14ac:dyDescent="0.2">
      <c r="A1476" s="5">
        <v>1415</v>
      </c>
      <c r="B1476" s="138">
        <f>'Expenditures 15-22'!K233</f>
        <v>89</v>
      </c>
      <c r="C1476" s="2" t="s">
        <v>593</v>
      </c>
      <c r="D1476" s="2" t="str">
        <f t="shared" si="22"/>
        <v>Error?</v>
      </c>
    </row>
    <row r="1477" spans="1:4" x14ac:dyDescent="0.2">
      <c r="A1477" s="5">
        <v>1416</v>
      </c>
      <c r="B1477" s="138">
        <f>'Expenditures 15-22'!K234</f>
        <v>6694</v>
      </c>
      <c r="C1477" s="2" t="s">
        <v>593</v>
      </c>
      <c r="D1477" s="2" t="str">
        <f t="shared" si="22"/>
        <v>Error?</v>
      </c>
    </row>
    <row r="1478" spans="1:4" x14ac:dyDescent="0.2">
      <c r="A1478" s="5">
        <v>1417</v>
      </c>
      <c r="B1478" s="138">
        <f>'Expenditures 15-22'!K235</f>
        <v>539</v>
      </c>
      <c r="C1478" s="2" t="s">
        <v>593</v>
      </c>
      <c r="D1478" s="2" t="str">
        <f t="shared" si="22"/>
        <v>Error?</v>
      </c>
    </row>
    <row r="1479" spans="1:4" x14ac:dyDescent="0.2">
      <c r="A1479" s="5">
        <v>1418</v>
      </c>
      <c r="B1479" s="138">
        <f>'Expenditures 15-22'!K236</f>
        <v>1747</v>
      </c>
      <c r="C1479" s="2" t="s">
        <v>593</v>
      </c>
      <c r="D1479" s="2" t="str">
        <f t="shared" si="22"/>
        <v>Error?</v>
      </c>
    </row>
    <row r="1480" spans="1:4" x14ac:dyDescent="0.2">
      <c r="A1480" s="5">
        <v>1419</v>
      </c>
      <c r="B1480" s="138">
        <f>'Expenditures 15-22'!K237</f>
        <v>6018</v>
      </c>
      <c r="C1480" s="2" t="s">
        <v>593</v>
      </c>
      <c r="D1480" s="2" t="str">
        <f t="shared" si="22"/>
        <v>Error?</v>
      </c>
    </row>
    <row r="1481" spans="1:4" x14ac:dyDescent="0.2">
      <c r="A1481" s="5">
        <v>1420</v>
      </c>
      <c r="B1481" s="138">
        <f>'Expenditures 15-22'!K238</f>
        <v>16129</v>
      </c>
      <c r="C1481" s="2" t="s">
        <v>593</v>
      </c>
      <c r="D1481" s="2" t="str">
        <f t="shared" si="22"/>
        <v>Error?</v>
      </c>
    </row>
    <row r="1482" spans="1:4" x14ac:dyDescent="0.2">
      <c r="A1482" s="5">
        <v>1421</v>
      </c>
      <c r="B1482" s="138">
        <f>'Expenditures 15-22'!K240</f>
        <v>147</v>
      </c>
      <c r="C1482" s="2" t="s">
        <v>593</v>
      </c>
      <c r="D1482" s="2" t="str">
        <f t="shared" si="22"/>
        <v>Error?</v>
      </c>
    </row>
    <row r="1483" spans="1:4" x14ac:dyDescent="0.2">
      <c r="A1483" s="5">
        <v>1422</v>
      </c>
      <c r="B1483" s="138">
        <f>'Expenditures 15-22'!K241</f>
        <v>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147</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10119</v>
      </c>
      <c r="C1487" s="2" t="s">
        <v>593</v>
      </c>
      <c r="D1487" s="2" t="str">
        <f t="shared" si="22"/>
        <v>Error?</v>
      </c>
    </row>
    <row r="1488" spans="1:4" x14ac:dyDescent="0.2">
      <c r="A1488" s="5">
        <v>1427</v>
      </c>
      <c r="B1488" s="138">
        <f>'Expenditures 15-22'!K257</f>
        <v>12124</v>
      </c>
      <c r="C1488" s="2" t="s">
        <v>593</v>
      </c>
      <c r="D1488" s="2" t="str">
        <f t="shared" si="22"/>
        <v>Error?</v>
      </c>
    </row>
    <row r="1489" spans="1:4" x14ac:dyDescent="0.2">
      <c r="A1489" s="5">
        <v>1428</v>
      </c>
      <c r="B1489" s="138">
        <f>'Expenditures 15-22'!K259</f>
        <v>19173</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19173</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13043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50019</v>
      </c>
      <c r="C1495" s="2" t="s">
        <v>593</v>
      </c>
      <c r="D1495" s="2" t="str">
        <f t="shared" si="22"/>
        <v>Error?</v>
      </c>
    </row>
    <row r="1496" spans="1:4" x14ac:dyDescent="0.2">
      <c r="A1496" s="5">
        <v>1435</v>
      </c>
      <c r="B1496" s="138">
        <f>'Expenditures 15-22'!K267</f>
        <v>11415</v>
      </c>
      <c r="C1496" s="2" t="s">
        <v>593</v>
      </c>
      <c r="D1496" s="2" t="str">
        <f t="shared" si="22"/>
        <v>Error?</v>
      </c>
    </row>
    <row r="1497" spans="1:4" x14ac:dyDescent="0.2">
      <c r="A1497" s="5">
        <v>1436</v>
      </c>
      <c r="B1497" s="138">
        <f>'Expenditures 15-22'!K268</f>
        <v>31433</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105910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14486</v>
      </c>
      <c r="C1506" s="2" t="s">
        <v>593</v>
      </c>
      <c r="D1506" s="2" t="str">
        <f t="shared" si="22"/>
        <v>Error?</v>
      </c>
    </row>
    <row r="1507" spans="1:4" x14ac:dyDescent="0.2">
      <c r="A1507" s="10">
        <v>1446</v>
      </c>
      <c r="D1507" s="2" t="str">
        <f t="shared" si="22"/>
        <v>OK</v>
      </c>
    </row>
    <row r="1508" spans="1:4" x14ac:dyDescent="0.2">
      <c r="A1508" s="5">
        <v>1447</v>
      </c>
      <c r="B1508" s="138">
        <f>'Expenditures 15-22'!K277</f>
        <v>14486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167969</v>
      </c>
      <c r="C1510" s="2" t="s">
        <v>593</v>
      </c>
      <c r="D1510" s="2" t="str">
        <f t="shared" si="22"/>
        <v>Error?</v>
      </c>
    </row>
    <row r="1511" spans="1:4" x14ac:dyDescent="0.2">
      <c r="A1511" s="5">
        <v>1450</v>
      </c>
      <c r="B1511" s="138">
        <f>'Expenditures 15-22'!K280</f>
        <v>9559</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296691</v>
      </c>
      <c r="C1517" s="2" t="s">
        <v>593</v>
      </c>
      <c r="D1517" s="2" t="str">
        <f t="shared" si="22"/>
        <v>Error?</v>
      </c>
    </row>
    <row r="1518" spans="1:4" x14ac:dyDescent="0.2">
      <c r="A1518" s="5">
        <v>1457</v>
      </c>
      <c r="B1518" s="138">
        <f>'Expenditures 15-22'!K296</f>
        <v>-4901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1136266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1722260</v>
      </c>
      <c r="C1630" s="2" t="s">
        <v>593</v>
      </c>
      <c r="D1630" s="2" t="str">
        <f t="shared" si="24"/>
        <v>Error?</v>
      </c>
    </row>
    <row r="1631" spans="1:4" x14ac:dyDescent="0.2">
      <c r="A1631" s="5">
        <v>1570</v>
      </c>
      <c r="B1631" s="138">
        <f>'Acct Summary 7-8'!D79</f>
        <v>124388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93988</v>
      </c>
      <c r="C1644" s="2" t="s">
        <v>593</v>
      </c>
      <c r="D1644" s="2" t="str">
        <f t="shared" si="24"/>
        <v>Error?</v>
      </c>
    </row>
    <row r="1645" spans="1:4" x14ac:dyDescent="0.2">
      <c r="A1645" s="5">
        <v>1584</v>
      </c>
      <c r="B1645" s="138">
        <f>'Acct Summary 7-8'!E79</f>
        <v>41997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-1093</v>
      </c>
      <c r="C1658" s="2" t="s">
        <v>593</v>
      </c>
      <c r="D1658" s="2" t="str">
        <f t="shared" si="24"/>
        <v>Error?</v>
      </c>
    </row>
    <row r="1659" spans="1:4" x14ac:dyDescent="0.2">
      <c r="A1659" s="5">
        <v>1598</v>
      </c>
      <c r="B1659" s="138">
        <f>'Acct Summary 7-8'!F79</f>
        <v>233242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266813</v>
      </c>
      <c r="C1672" s="2" t="s">
        <v>593</v>
      </c>
      <c r="D1672" s="2" t="str">
        <f t="shared" si="25"/>
        <v>Error?</v>
      </c>
    </row>
    <row r="1673" spans="1:4" x14ac:dyDescent="0.2">
      <c r="A1673" s="5">
        <v>1612</v>
      </c>
      <c r="B1673" s="138">
        <f>'Acct Summary 7-8'!G79</f>
        <v>215787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210886</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1642561</v>
      </c>
      <c r="C1744" s="2" t="s">
        <v>593</v>
      </c>
      <c r="D1744" s="2" t="str">
        <f t="shared" si="26"/>
        <v>Error?</v>
      </c>
    </row>
    <row r="1745" spans="1:5" x14ac:dyDescent="0.2">
      <c r="A1745" s="5">
        <v>1684</v>
      </c>
      <c r="B1745" s="138">
        <f>'Tax Sched 23'!B5</f>
        <v>247290</v>
      </c>
      <c r="C1745" s="2" t="s">
        <v>593</v>
      </c>
      <c r="D1745" s="2" t="str">
        <f t="shared" si="26"/>
        <v>Error?</v>
      </c>
    </row>
    <row r="1746" spans="1:5" x14ac:dyDescent="0.2">
      <c r="A1746" s="5">
        <v>1685</v>
      </c>
      <c r="B1746" s="138">
        <f>'Tax Sched 23'!B6</f>
        <v>436662</v>
      </c>
      <c r="C1746" s="2" t="s">
        <v>593</v>
      </c>
      <c r="D1746" s="2" t="str">
        <f t="shared" si="26"/>
        <v>Error?</v>
      </c>
    </row>
    <row r="1747" spans="1:5" x14ac:dyDescent="0.2">
      <c r="A1747" s="5">
        <v>1686</v>
      </c>
      <c r="B1747" s="138">
        <f>'Tax Sched 23'!B7</f>
        <v>118657</v>
      </c>
      <c r="C1747" s="2" t="s">
        <v>593</v>
      </c>
      <c r="D1747" s="2" t="str">
        <f t="shared" si="26"/>
        <v>Error?</v>
      </c>
    </row>
    <row r="1748" spans="1:5" x14ac:dyDescent="0.2">
      <c r="A1748" s="5">
        <v>1687</v>
      </c>
      <c r="B1748" s="138">
        <f>'Tax Sched 23'!B8</f>
        <v>145720</v>
      </c>
      <c r="C1748" s="2" t="s">
        <v>593</v>
      </c>
      <c r="D1748" s="2" t="str">
        <f t="shared" si="26"/>
        <v>Error?</v>
      </c>
    </row>
    <row r="1749" spans="1:5" x14ac:dyDescent="0.2">
      <c r="A1749" s="5">
        <v>1688</v>
      </c>
      <c r="B1749" s="138">
        <f>'Tax Sched 23'!B10</f>
        <v>49499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326154</v>
      </c>
      <c r="C1752" s="2" t="s">
        <v>593</v>
      </c>
      <c r="D1752" s="2" t="str">
        <f t="shared" si="26"/>
        <v>Error?</v>
      </c>
    </row>
    <row r="1753" spans="1:5" x14ac:dyDescent="0.2">
      <c r="A1753" s="5">
        <v>1692</v>
      </c>
      <c r="B1753" s="138">
        <f>'Tax Sched 23'!B12</f>
        <v>49499</v>
      </c>
      <c r="C1753" s="2" t="s">
        <v>593</v>
      </c>
      <c r="D1753" s="2" t="str">
        <f t="shared" si="26"/>
        <v>Error?</v>
      </c>
    </row>
    <row r="1754" spans="1:5" x14ac:dyDescent="0.2">
      <c r="A1754" s="5">
        <v>1693</v>
      </c>
      <c r="B1754" s="138">
        <f>'Tax Sched 23'!B14</f>
        <v>20495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3231119</v>
      </c>
      <c r="C1759" s="2" t="s">
        <v>593</v>
      </c>
      <c r="D1759" s="2" t="str">
        <f t="shared" si="26"/>
        <v>Error?</v>
      </c>
    </row>
    <row r="1760" spans="1:5" x14ac:dyDescent="0.2">
      <c r="A1760" s="5">
        <v>1699</v>
      </c>
      <c r="B1760" s="138">
        <f>'Tax Sched 23'!D4</f>
        <v>1607950</v>
      </c>
      <c r="C1760" s="2" t="s">
        <v>593</v>
      </c>
      <c r="D1760" s="2" t="str">
        <f t="shared" si="26"/>
        <v>Error?</v>
      </c>
    </row>
    <row r="1761" spans="1:5" x14ac:dyDescent="0.2">
      <c r="A1761" s="5">
        <v>1700</v>
      </c>
      <c r="B1761" s="138">
        <f>'Tax Sched 23'!D5</f>
        <v>241982</v>
      </c>
      <c r="C1761" s="2" t="s">
        <v>593</v>
      </c>
      <c r="D1761" s="2" t="str">
        <f t="shared" si="26"/>
        <v>Error?</v>
      </c>
    </row>
    <row r="1762" spans="1:5" s="8" customFormat="1" x14ac:dyDescent="0.2">
      <c r="A1762" s="5">
        <v>1701</v>
      </c>
      <c r="B1762" s="138">
        <f>'Tax Sched 23'!D6</f>
        <v>427440</v>
      </c>
      <c r="C1762" s="2" t="s">
        <v>593</v>
      </c>
      <c r="D1762" s="2" t="str">
        <f t="shared" si="26"/>
        <v>Error?</v>
      </c>
      <c r="E1762" s="9"/>
    </row>
    <row r="1763" spans="1:5" x14ac:dyDescent="0.2">
      <c r="A1763" s="5">
        <v>1702</v>
      </c>
      <c r="B1763" s="138">
        <f>'Tax Sched 23'!D7</f>
        <v>116109</v>
      </c>
      <c r="C1763" s="2" t="s">
        <v>593</v>
      </c>
      <c r="D1763" s="2" t="str">
        <f t="shared" si="26"/>
        <v>Error?</v>
      </c>
    </row>
    <row r="1764" spans="1:5" x14ac:dyDescent="0.2">
      <c r="A1764" s="5">
        <v>1703</v>
      </c>
      <c r="B1764" s="138">
        <f>'Tax Sched 23'!D8</f>
        <v>142841</v>
      </c>
      <c r="C1764" s="2" t="s">
        <v>593</v>
      </c>
      <c r="D1764" s="2" t="str">
        <f t="shared" si="26"/>
        <v>Error?</v>
      </c>
    </row>
    <row r="1765" spans="1:5" x14ac:dyDescent="0.2">
      <c r="A1765" s="5">
        <v>1704</v>
      </c>
      <c r="B1765" s="138">
        <f>'Tax Sched 23'!D10</f>
        <v>48437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316558</v>
      </c>
      <c r="C1768" s="2" t="s">
        <v>593</v>
      </c>
      <c r="D1768" s="2" t="str">
        <f t="shared" si="26"/>
        <v>Error?</v>
      </c>
    </row>
    <row r="1769" spans="1:5" x14ac:dyDescent="0.2">
      <c r="A1769" s="5">
        <v>1708</v>
      </c>
      <c r="B1769" s="138">
        <f>'Tax Sched 23'!D12</f>
        <v>48437</v>
      </c>
      <c r="C1769" s="2" t="s">
        <v>593</v>
      </c>
      <c r="D1769" s="2" t="str">
        <f t="shared" si="26"/>
        <v>Error?</v>
      </c>
    </row>
    <row r="1770" spans="1:5" x14ac:dyDescent="0.2">
      <c r="A1770" s="5">
        <v>1709</v>
      </c>
      <c r="B1770" s="138">
        <f>'Tax Sched 23'!D14</f>
        <v>20070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3160465</v>
      </c>
      <c r="C1775" s="2" t="s">
        <v>593</v>
      </c>
      <c r="D1775" s="2" t="str">
        <f t="shared" si="26"/>
        <v>Error?</v>
      </c>
    </row>
    <row r="1776" spans="1:5" x14ac:dyDescent="0.2">
      <c r="A1776" s="5">
        <v>1715</v>
      </c>
      <c r="B1776" s="138">
        <f>'Tax Sched 23'!C4</f>
        <v>34611</v>
      </c>
      <c r="D1776" s="2" t="str">
        <f t="shared" si="26"/>
        <v>Error?</v>
      </c>
    </row>
    <row r="1777" spans="1:4" x14ac:dyDescent="0.2">
      <c r="A1777" s="5">
        <v>1716</v>
      </c>
      <c r="B1777" s="138">
        <f>'Tax Sched 23'!C5</f>
        <v>5308</v>
      </c>
      <c r="D1777" s="2" t="str">
        <f t="shared" si="26"/>
        <v>Error?</v>
      </c>
    </row>
    <row r="1778" spans="1:4" x14ac:dyDescent="0.2">
      <c r="A1778" s="5">
        <v>1717</v>
      </c>
      <c r="B1778" s="138">
        <f>'Tax Sched 23'!C6</f>
        <v>9222</v>
      </c>
      <c r="D1778" s="2" t="str">
        <f t="shared" si="26"/>
        <v>Error?</v>
      </c>
    </row>
    <row r="1779" spans="1:4" x14ac:dyDescent="0.2">
      <c r="A1779" s="5">
        <v>1718</v>
      </c>
      <c r="B1779" s="138">
        <f>'Tax Sched 23'!C7</f>
        <v>2548</v>
      </c>
      <c r="D1779" s="2" t="str">
        <f t="shared" si="26"/>
        <v>Error?</v>
      </c>
    </row>
    <row r="1780" spans="1:4" x14ac:dyDescent="0.2">
      <c r="A1780" s="5">
        <v>1719</v>
      </c>
      <c r="B1780" s="138">
        <f>'Tax Sched 23'!C8</f>
        <v>2879</v>
      </c>
      <c r="D1780" s="2" t="str">
        <f t="shared" si="26"/>
        <v>Error?</v>
      </c>
    </row>
    <row r="1781" spans="1:4" x14ac:dyDescent="0.2">
      <c r="A1781" s="5">
        <v>1720</v>
      </c>
      <c r="B1781" s="138">
        <f>'Tax Sched 23'!C10</f>
        <v>1062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9596</v>
      </c>
      <c r="D1784" s="2" t="str">
        <f t="shared" si="26"/>
        <v>Error?</v>
      </c>
    </row>
    <row r="1785" spans="1:4" x14ac:dyDescent="0.2">
      <c r="A1785" s="5">
        <v>1724</v>
      </c>
      <c r="B1785" s="138">
        <f>'Tax Sched 23'!C12</f>
        <v>1062</v>
      </c>
      <c r="D1785" s="2" t="str">
        <f t="shared" si="26"/>
        <v>Error?</v>
      </c>
    </row>
    <row r="1786" spans="1:4" x14ac:dyDescent="0.2">
      <c r="A1786" s="5">
        <v>1725</v>
      </c>
      <c r="B1786" s="138">
        <f>'Tax Sched 23'!C14</f>
        <v>425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70654</v>
      </c>
      <c r="C1791" s="2" t="s">
        <v>593</v>
      </c>
      <c r="D1791" s="2" t="str">
        <f t="shared" ref="D1791:D1854" si="27">IF(ISBLANK(B1791),"OK",IF(A1791-B1791=0,"OK","Error?"))</f>
        <v>Error?</v>
      </c>
    </row>
    <row r="1792" spans="1:4" x14ac:dyDescent="0.2">
      <c r="A1792" s="5">
        <v>1731</v>
      </c>
      <c r="B1792" s="138">
        <f>'Tax Sched 23'!F4</f>
        <v>1769283</v>
      </c>
      <c r="C1792" s="2" t="s">
        <v>593</v>
      </c>
      <c r="D1792" s="2" t="str">
        <f t="shared" si="27"/>
        <v>Error?</v>
      </c>
    </row>
    <row r="1793" spans="1:4" x14ac:dyDescent="0.2">
      <c r="A1793" s="5">
        <v>1732</v>
      </c>
      <c r="B1793" s="138">
        <f>'Tax Sched 23'!F5</f>
        <v>271363</v>
      </c>
      <c r="C1793" s="2" t="s">
        <v>593</v>
      </c>
      <c r="D1793" s="2" t="str">
        <f t="shared" si="27"/>
        <v>Error?</v>
      </c>
    </row>
    <row r="1794" spans="1:4" x14ac:dyDescent="0.2">
      <c r="A1794" s="5">
        <v>1733</v>
      </c>
      <c r="B1794" s="138">
        <f>'Tax Sched 23'!F6</f>
        <v>471411</v>
      </c>
      <c r="C1794" s="2" t="s">
        <v>593</v>
      </c>
      <c r="D1794" s="2" t="str">
        <f t="shared" si="27"/>
        <v>Error?</v>
      </c>
    </row>
    <row r="1795" spans="1:4" x14ac:dyDescent="0.2">
      <c r="A1795" s="5">
        <v>1734</v>
      </c>
      <c r="B1795" s="138">
        <f>'Tax Sched 23'!F7</f>
        <v>130253</v>
      </c>
      <c r="C1795" s="2" t="s">
        <v>593</v>
      </c>
      <c r="D1795" s="2" t="str">
        <f t="shared" si="27"/>
        <v>Error?</v>
      </c>
    </row>
    <row r="1796" spans="1:4" x14ac:dyDescent="0.2">
      <c r="A1796" s="5">
        <v>1735</v>
      </c>
      <c r="B1796" s="138">
        <f>'Tax Sched 23'!F8</f>
        <v>147187</v>
      </c>
      <c r="C1796" s="2" t="s">
        <v>593</v>
      </c>
      <c r="D1796" s="2" t="str">
        <f t="shared" si="27"/>
        <v>Error?</v>
      </c>
    </row>
    <row r="1797" spans="1:4" x14ac:dyDescent="0.2">
      <c r="A1797" s="5">
        <v>1736</v>
      </c>
      <c r="B1797" s="138">
        <f>'Tax Sched 23'!F10</f>
        <v>54272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490514</v>
      </c>
      <c r="C1800" s="2" t="s">
        <v>593</v>
      </c>
      <c r="D1800" s="2" t="str">
        <f t="shared" si="27"/>
        <v>Error?</v>
      </c>
    </row>
    <row r="1801" spans="1:4" x14ac:dyDescent="0.2">
      <c r="A1801" s="5">
        <v>1740</v>
      </c>
      <c r="B1801" s="138">
        <f>'Tax Sched 23'!F12</f>
        <v>54272</v>
      </c>
      <c r="C1801" s="2" t="s">
        <v>593</v>
      </c>
      <c r="D1801" s="2" t="str">
        <f t="shared" si="27"/>
        <v>Error?</v>
      </c>
    </row>
    <row r="1802" spans="1:4" x14ac:dyDescent="0.2">
      <c r="A1802" s="5">
        <v>1741</v>
      </c>
      <c r="B1802" s="138">
        <f>'Tax Sched 23'!F14</f>
        <v>21709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3611723</v>
      </c>
      <c r="C1807" s="2" t="s">
        <v>593</v>
      </c>
      <c r="D1807" s="2" t="str">
        <f t="shared" si="27"/>
        <v>Error?</v>
      </c>
    </row>
    <row r="1808" spans="1:4" x14ac:dyDescent="0.2">
      <c r="A1808" s="5">
        <v>1747</v>
      </c>
      <c r="B1808" s="138">
        <f>'Tax Sched 23'!E4</f>
        <v>1803894</v>
      </c>
      <c r="D1808" s="2" t="str">
        <f t="shared" si="27"/>
        <v>Error?</v>
      </c>
    </row>
    <row r="1809" spans="1:4" x14ac:dyDescent="0.2">
      <c r="A1809" s="5">
        <v>1748</v>
      </c>
      <c r="B1809" s="138">
        <f>'Tax Sched 23'!E5</f>
        <v>276671</v>
      </c>
      <c r="D1809" s="2" t="str">
        <f t="shared" si="27"/>
        <v>Error?</v>
      </c>
    </row>
    <row r="1810" spans="1:4" x14ac:dyDescent="0.2">
      <c r="A1810" s="5">
        <v>1749</v>
      </c>
      <c r="B1810" s="138">
        <f>'Tax Sched 23'!E6</f>
        <v>480633</v>
      </c>
      <c r="D1810" s="2" t="str">
        <f t="shared" si="27"/>
        <v>Error?</v>
      </c>
    </row>
    <row r="1811" spans="1:4" x14ac:dyDescent="0.2">
      <c r="A1811" s="5">
        <v>1750</v>
      </c>
      <c r="B1811" s="138">
        <f>'Tax Sched 23'!E7</f>
        <v>132801</v>
      </c>
      <c r="D1811" s="2" t="str">
        <f t="shared" si="27"/>
        <v>Error?</v>
      </c>
    </row>
    <row r="1812" spans="1:4" x14ac:dyDescent="0.2">
      <c r="A1812" s="5">
        <v>1751</v>
      </c>
      <c r="B1812" s="138">
        <f>'Tax Sched 23'!E8</f>
        <v>150066</v>
      </c>
      <c r="D1812" s="2" t="str">
        <f t="shared" si="27"/>
        <v>Error?</v>
      </c>
    </row>
    <row r="1813" spans="1:4" x14ac:dyDescent="0.2">
      <c r="A1813" s="5">
        <v>1752</v>
      </c>
      <c r="B1813" s="138">
        <f>'Tax Sched 23'!E10</f>
        <v>55334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500110</v>
      </c>
      <c r="D1816" s="2" t="str">
        <f t="shared" si="27"/>
        <v>Error?</v>
      </c>
    </row>
    <row r="1817" spans="1:4" x14ac:dyDescent="0.2">
      <c r="A1817" s="5">
        <v>1756</v>
      </c>
      <c r="B1817" s="138">
        <f>'Tax Sched 23'!E12</f>
        <v>55334</v>
      </c>
      <c r="D1817" s="2" t="str">
        <f t="shared" si="27"/>
        <v>Error?</v>
      </c>
    </row>
    <row r="1818" spans="1:4" x14ac:dyDescent="0.2">
      <c r="A1818" s="5">
        <v>1757</v>
      </c>
      <c r="B1818" s="138">
        <f>'Tax Sched 23'!E14</f>
        <v>22134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3682377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4959328</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46030</v>
      </c>
      <c r="D1971" s="2" t="str">
        <f t="shared" si="29"/>
        <v>Error?</v>
      </c>
    </row>
    <row r="1972" spans="1:5" x14ac:dyDescent="0.2">
      <c r="A1972" s="5">
        <v>1911</v>
      </c>
      <c r="B1972" s="138">
        <f>'Rest Tax Levies-Tort Im 25'!H5</f>
        <v>20495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20495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20932</v>
      </c>
      <c r="C1982" s="2" t="s">
        <v>593</v>
      </c>
      <c r="D1982" s="2" t="str">
        <f t="shared" si="29"/>
        <v>Error?</v>
      </c>
    </row>
    <row r="1983" spans="1:5" x14ac:dyDescent="0.2">
      <c r="A1983" s="5">
        <v>1922</v>
      </c>
      <c r="B1983" s="138">
        <f>'Rest Tax Levies-Tort Im 25'!H24</f>
        <v>45593</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26346</v>
      </c>
      <c r="D2008" s="2" t="str">
        <f t="shared" si="30"/>
        <v>Error?</v>
      </c>
    </row>
    <row r="2009" spans="1:4" x14ac:dyDescent="0.2">
      <c r="A2009" s="5">
        <v>1948</v>
      </c>
      <c r="B2009" s="138">
        <f>'Cap Outlay Deprec 26'!C8</f>
        <v>11792428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3755501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15574275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2522323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262673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2784996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26346</v>
      </c>
      <c r="C2026" s="2" t="s">
        <v>593</v>
      </c>
      <c r="D2026" s="2" t="str">
        <f t="shared" si="30"/>
        <v>Error?</v>
      </c>
    </row>
    <row r="2027" spans="1:4" x14ac:dyDescent="0.2">
      <c r="A2027" s="5">
        <v>1966</v>
      </c>
      <c r="B2027" s="138">
        <f>'Cap Outlay Deprec 26'!F8</f>
        <v>14314751</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4018174</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18359271</v>
      </c>
      <c r="C2031" s="2" t="s">
        <v>593</v>
      </c>
      <c r="D2031" s="2" t="str">
        <f t="shared" si="30"/>
        <v>Error?</v>
      </c>
    </row>
    <row r="2032" spans="1:4" x14ac:dyDescent="0.2">
      <c r="A2032" s="10">
        <v>1971</v>
      </c>
      <c r="D2032" s="2" t="str">
        <f t="shared" si="30"/>
        <v>OK</v>
      </c>
    </row>
    <row r="2033" spans="1:4" x14ac:dyDescent="0.2">
      <c r="A2033" s="5">
        <v>1972</v>
      </c>
      <c r="B2033" s="138">
        <f>'Cap Outlay Deprec 26'!H8</f>
        <v>7579005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3466100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11045105</v>
      </c>
      <c r="C2037" s="2" t="s">
        <v>593</v>
      </c>
      <c r="D2037" s="2" t="str">
        <f t="shared" si="30"/>
        <v>Error?</v>
      </c>
    </row>
    <row r="2038" spans="1:4" x14ac:dyDescent="0.2">
      <c r="A2038" s="10">
        <v>1977</v>
      </c>
      <c r="D2038" s="2" t="str">
        <f t="shared" si="30"/>
        <v>OK</v>
      </c>
    </row>
    <row r="2039" spans="1:4" x14ac:dyDescent="0.2">
      <c r="A2039" s="5">
        <v>1978</v>
      </c>
      <c r="B2039" s="138">
        <f>'Cap Outlay Deprec 26'!I8</f>
        <v>182559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161708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344267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7761564</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3627808</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11389372</v>
      </c>
      <c r="C2055" s="2" t="s">
        <v>593</v>
      </c>
      <c r="D2055" s="2" t="str">
        <f t="shared" si="31"/>
        <v>Error?</v>
      </c>
    </row>
    <row r="2056" spans="1:4" x14ac:dyDescent="0.2">
      <c r="A2056" s="5">
        <v>1995</v>
      </c>
      <c r="B2056" s="138">
        <f>'Cap Outlay Deprec 26'!L5</f>
        <v>26346</v>
      </c>
      <c r="C2056" s="2" t="s">
        <v>593</v>
      </c>
      <c r="D2056" s="2" t="str">
        <f t="shared" si="31"/>
        <v>Error?</v>
      </c>
    </row>
    <row r="2057" spans="1:4" x14ac:dyDescent="0.2">
      <c r="A2057" s="5">
        <v>1996</v>
      </c>
      <c r="B2057" s="138">
        <f>'Cap Outlay Deprec 26'!L8</f>
        <v>6553187</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390366</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6969899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101732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211936</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45593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2576379</v>
      </c>
      <c r="C2551" s="2" t="s">
        <v>593</v>
      </c>
      <c r="D2551" s="2" t="str">
        <f t="shared" si="38"/>
        <v>Error?</v>
      </c>
    </row>
    <row r="2552" spans="1:4" x14ac:dyDescent="0.2">
      <c r="A2552" s="10">
        <v>2491</v>
      </c>
      <c r="D2552" s="2" t="str">
        <f t="shared" si="38"/>
        <v>OK</v>
      </c>
    </row>
    <row r="2553" spans="1:4" x14ac:dyDescent="0.2">
      <c r="A2553" s="5">
        <v>2492</v>
      </c>
      <c r="B2553" s="138">
        <f>'Acct Summary 7-8'!C6</f>
        <v>2610523</v>
      </c>
      <c r="C2553" s="2" t="s">
        <v>593</v>
      </c>
      <c r="D2553" s="2" t="str">
        <f t="shared" si="38"/>
        <v>Error?</v>
      </c>
    </row>
    <row r="2554" spans="1:4" x14ac:dyDescent="0.2">
      <c r="A2554" s="5">
        <v>2493</v>
      </c>
      <c r="B2554" s="138">
        <f>'Acct Summary 7-8'!C7</f>
        <v>932959</v>
      </c>
      <c r="C2554" s="2" t="s">
        <v>593</v>
      </c>
      <c r="D2554" s="2" t="str">
        <f t="shared" si="38"/>
        <v>Error?</v>
      </c>
    </row>
    <row r="2555" spans="1:4" x14ac:dyDescent="0.2">
      <c r="A2555" s="5">
        <v>2494</v>
      </c>
      <c r="B2555" s="138">
        <f>'Acct Summary 7-8'!C8</f>
        <v>6119861</v>
      </c>
      <c r="C2555" s="2" t="s">
        <v>593</v>
      </c>
      <c r="D2555" s="2" t="str">
        <f t="shared" si="38"/>
        <v>Error?</v>
      </c>
    </row>
    <row r="2556" spans="1:4" x14ac:dyDescent="0.2">
      <c r="A2556" s="5">
        <v>2495</v>
      </c>
      <c r="B2556" s="138">
        <f>'Acct Summary 7-8'!C12</f>
        <v>3528842</v>
      </c>
      <c r="C2556" s="2" t="s">
        <v>593</v>
      </c>
      <c r="D2556" s="2" t="str">
        <f t="shared" si="38"/>
        <v>Error?</v>
      </c>
    </row>
    <row r="2557" spans="1:4" x14ac:dyDescent="0.2">
      <c r="A2557" s="5">
        <v>2496</v>
      </c>
      <c r="B2557" s="138">
        <f>'Acct Summary 7-8'!C13</f>
        <v>1631624</v>
      </c>
      <c r="C2557" s="2" t="s">
        <v>593</v>
      </c>
      <c r="D2557" s="2" t="str">
        <f t="shared" si="38"/>
        <v>Error?</v>
      </c>
    </row>
    <row r="2558" spans="1:4" x14ac:dyDescent="0.2">
      <c r="A2558" s="5">
        <v>2497</v>
      </c>
      <c r="B2558" s="138">
        <f>'Acct Summary 7-8'!C14</f>
        <v>67033</v>
      </c>
      <c r="C2558" s="2" t="s">
        <v>593</v>
      </c>
      <c r="D2558" s="2" t="str">
        <f t="shared" si="38"/>
        <v>Error?</v>
      </c>
    </row>
    <row r="2559" spans="1:4" x14ac:dyDescent="0.2">
      <c r="A2559" s="5">
        <v>2498</v>
      </c>
      <c r="B2559" s="138">
        <f>'Acct Summary 7-8'!C15</f>
        <v>211936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5439435</v>
      </c>
      <c r="C2561" s="2" t="s">
        <v>593</v>
      </c>
      <c r="D2561" s="2" t="str">
        <f t="shared" si="39"/>
        <v>Error?</v>
      </c>
    </row>
    <row r="2562" spans="1:4" x14ac:dyDescent="0.2">
      <c r="A2562" s="5">
        <v>2501</v>
      </c>
      <c r="B2562" s="138">
        <f>'Acct Summary 7-8'!C20</f>
        <v>680426</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499283</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499283</v>
      </c>
      <c r="C2568" s="2" t="s">
        <v>593</v>
      </c>
      <c r="D2568" s="2" t="str">
        <f t="shared" si="39"/>
        <v>Error?</v>
      </c>
    </row>
    <row r="2569" spans="1:4" x14ac:dyDescent="0.2">
      <c r="A2569" s="5">
        <v>2508</v>
      </c>
      <c r="B2569" s="138">
        <f>'Acct Summary 7-8'!D13</f>
        <v>529683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529683</v>
      </c>
      <c r="C2573" s="2" t="s">
        <v>593</v>
      </c>
      <c r="D2573" s="2" t="str">
        <f t="shared" si="39"/>
        <v>Error?</v>
      </c>
    </row>
    <row r="2574" spans="1:4" x14ac:dyDescent="0.2">
      <c r="A2574" s="5">
        <v>2513</v>
      </c>
      <c r="B2574" s="138">
        <f>'Acct Summary 7-8'!D20</f>
        <v>-30400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118962</v>
      </c>
      <c r="C2591" s="2" t="s">
        <v>593</v>
      </c>
      <c r="D2591" s="2" t="str">
        <f t="shared" si="39"/>
        <v>Error?</v>
      </c>
    </row>
    <row r="2592" spans="1:4" x14ac:dyDescent="0.2">
      <c r="A2592" s="10">
        <v>2531</v>
      </c>
      <c r="D2592" s="2" t="str">
        <f t="shared" si="39"/>
        <v>OK</v>
      </c>
    </row>
    <row r="2593" spans="1:4" x14ac:dyDescent="0.2">
      <c r="A2593" s="5">
        <v>2532</v>
      </c>
      <c r="B2593" s="138">
        <f>'Acct Summary 7-8'!F6</f>
        <v>58495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177457</v>
      </c>
      <c r="C2595" s="2" t="s">
        <v>593</v>
      </c>
      <c r="D2595" s="2" t="str">
        <f t="shared" si="39"/>
        <v>Error?</v>
      </c>
    </row>
    <row r="2596" spans="1:4" x14ac:dyDescent="0.2">
      <c r="A2596" s="5">
        <v>2535</v>
      </c>
      <c r="B2596" s="138">
        <f>'Acct Summary 7-8'!F13</f>
        <v>143672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214</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143886</v>
      </c>
      <c r="C2600" s="2" t="s">
        <v>593</v>
      </c>
      <c r="D2600" s="2" t="str">
        <f t="shared" si="39"/>
        <v>Error?</v>
      </c>
    </row>
    <row r="2601" spans="1:4" x14ac:dyDescent="0.2">
      <c r="A2601" s="5">
        <v>2540</v>
      </c>
      <c r="B2601" s="138">
        <f>'Acct Summary 7-8'!F20</f>
        <v>33571</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291790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291790</v>
      </c>
      <c r="C2606" s="2" t="s">
        <v>593</v>
      </c>
      <c r="D2606" s="2" t="str">
        <f t="shared" si="39"/>
        <v>Error?</v>
      </c>
    </row>
    <row r="2607" spans="1:4" x14ac:dyDescent="0.2">
      <c r="A2607" s="5">
        <v>2546</v>
      </c>
      <c r="B2607" s="138">
        <f>'Acct Summary 7-8'!G12</f>
        <v>119163</v>
      </c>
      <c r="C2607" s="2" t="s">
        <v>593</v>
      </c>
      <c r="D2607" s="2" t="str">
        <f t="shared" si="39"/>
        <v>Error?</v>
      </c>
    </row>
    <row r="2608" spans="1:4" x14ac:dyDescent="0.2">
      <c r="A2608" s="5">
        <v>2547</v>
      </c>
      <c r="B2608" s="138">
        <f>'Acct Summary 7-8'!G13</f>
        <v>167969</v>
      </c>
      <c r="C2608" s="2" t="s">
        <v>593</v>
      </c>
      <c r="D2608" s="2" t="str">
        <f t="shared" si="39"/>
        <v>Error?</v>
      </c>
    </row>
    <row r="2609" spans="1:4" x14ac:dyDescent="0.2">
      <c r="A2609" s="5">
        <v>2548</v>
      </c>
      <c r="B2609" s="138">
        <f>'Acct Summary 7-8'!G14</f>
        <v>9559</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296691</v>
      </c>
      <c r="C2612" s="2" t="s">
        <v>593</v>
      </c>
      <c r="D2612" s="2" t="str">
        <f t="shared" si="39"/>
        <v>Error?</v>
      </c>
    </row>
    <row r="2613" spans="1:4" x14ac:dyDescent="0.2">
      <c r="A2613" s="5">
        <v>2552</v>
      </c>
      <c r="B2613" s="138">
        <f>'Acct Summary 7-8'!G20</f>
        <v>-4901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436806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436806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574328</v>
      </c>
      <c r="C2634" s="2" t="s">
        <v>593</v>
      </c>
      <c r="D2634" s="2" t="str">
        <f t="shared" si="40"/>
        <v>Error?</v>
      </c>
    </row>
    <row r="2635" spans="1:4" x14ac:dyDescent="0.2">
      <c r="A2635" s="5">
        <v>2574</v>
      </c>
      <c r="B2635" s="138">
        <f>'Acct Summary 7-8'!E17</f>
        <v>574328</v>
      </c>
      <c r="C2635" s="2" t="s">
        <v>593</v>
      </c>
      <c r="D2635" s="2" t="str">
        <f t="shared" si="40"/>
        <v>Error?</v>
      </c>
    </row>
    <row r="2636" spans="1:4" x14ac:dyDescent="0.2">
      <c r="A2636" s="5">
        <v>2575</v>
      </c>
      <c r="B2636" s="138">
        <f>'Acct Summary 7-8'!E20</f>
        <v>-137522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26208</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3458</v>
      </c>
      <c r="D2720" s="2" t="str">
        <f t="shared" si="41"/>
        <v>Error?</v>
      </c>
    </row>
    <row r="2721" spans="1:4" x14ac:dyDescent="0.2">
      <c r="A2721" s="5">
        <v>2660</v>
      </c>
      <c r="B2721" s="138">
        <f>'Expenditures 15-22'!F51</f>
        <v>268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29934</v>
      </c>
      <c r="C2724" s="2" t="s">
        <v>593</v>
      </c>
      <c r="D2724" s="2" t="str">
        <f t="shared" si="41"/>
        <v>Error?</v>
      </c>
    </row>
    <row r="2725" spans="1:4" x14ac:dyDescent="0.2">
      <c r="A2725" s="5">
        <v>2664</v>
      </c>
      <c r="B2725" s="138">
        <f>'Expenditures 15-22'!D247</f>
        <v>2005</v>
      </c>
      <c r="D2725" s="2" t="str">
        <f t="shared" si="41"/>
        <v>Error?</v>
      </c>
    </row>
    <row r="2726" spans="1:4" x14ac:dyDescent="0.2">
      <c r="A2726" s="5">
        <v>2665</v>
      </c>
      <c r="B2726" s="138">
        <f>'Expenditures 15-22'!K247</f>
        <v>2005</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110204</v>
      </c>
      <c r="C2789" s="2" t="s">
        <v>593</v>
      </c>
      <c r="D2789" s="2" t="str">
        <f t="shared" si="42"/>
        <v>Error?</v>
      </c>
    </row>
    <row r="2790" spans="1:4" x14ac:dyDescent="0.2">
      <c r="A2790" s="5">
        <v>2729</v>
      </c>
      <c r="B2790" s="138">
        <f>'Expenditures 15-22'!E102</f>
        <v>110204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214</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214</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1146200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1434100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33916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1434100</v>
      </c>
      <c r="D2912" s="2" t="str">
        <f t="shared" si="44"/>
        <v>Error?</v>
      </c>
    </row>
    <row r="2913" spans="1:4" x14ac:dyDescent="0.2">
      <c r="A2913" s="5">
        <v>2852</v>
      </c>
      <c r="B2913" s="138">
        <f>'Assets-Liab 5-6'!I41</f>
        <v>1434100</v>
      </c>
      <c r="C2913" s="2" t="s">
        <v>593</v>
      </c>
      <c r="D2913" s="2" t="str">
        <f t="shared" si="44"/>
        <v>Error?</v>
      </c>
    </row>
    <row r="2914" spans="1:4" x14ac:dyDescent="0.2">
      <c r="A2914" s="5">
        <v>2853</v>
      </c>
      <c r="B2914" s="138">
        <f>'Assets-Liab 5-6'!L33</f>
        <v>33916</v>
      </c>
      <c r="D2914" s="2" t="str">
        <f t="shared" si="44"/>
        <v>Error?</v>
      </c>
    </row>
    <row r="2915" spans="1:4" x14ac:dyDescent="0.2">
      <c r="A2915" s="10">
        <v>2854</v>
      </c>
      <c r="D2915" s="2" t="str">
        <f t="shared" si="44"/>
        <v>OK</v>
      </c>
    </row>
    <row r="2916" spans="1:4" x14ac:dyDescent="0.2">
      <c r="A2916" s="5">
        <v>2855</v>
      </c>
      <c r="B2916" s="138">
        <f>'Assets-Liab 5-6'!L34</f>
        <v>33916</v>
      </c>
      <c r="C2916" s="2" t="s">
        <v>593</v>
      </c>
      <c r="D2916" s="2" t="str">
        <f t="shared" si="44"/>
        <v>Error?</v>
      </c>
    </row>
    <row r="2917" spans="1:4" x14ac:dyDescent="0.2">
      <c r="A2917" s="5">
        <v>2856</v>
      </c>
      <c r="B2917" s="138">
        <f>'Assets-Liab 5-6'!L41</f>
        <v>33916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187</v>
      </c>
      <c r="D2949" s="2" t="str">
        <f t="shared" si="45"/>
        <v>Error?</v>
      </c>
    </row>
    <row r="2950" spans="1:4" x14ac:dyDescent="0.2">
      <c r="A2950" s="5">
        <v>2889</v>
      </c>
      <c r="B2950" s="138">
        <f>'Expenditures 15-22'!E79</f>
        <v>110017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101732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187</v>
      </c>
      <c r="C2973" s="2" t="s">
        <v>593</v>
      </c>
      <c r="D2973" s="2" t="str">
        <f t="shared" si="45"/>
        <v>Error?</v>
      </c>
    </row>
    <row r="2974" spans="1:4" x14ac:dyDescent="0.2">
      <c r="A2974" s="5">
        <v>2913</v>
      </c>
      <c r="B2974" s="138">
        <f>'Expenditures 15-22'!K79</f>
        <v>211749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214</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214</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119917</v>
      </c>
      <c r="D3055" s="2" t="str">
        <f t="shared" si="46"/>
        <v>Error?</v>
      </c>
    </row>
    <row r="3056" spans="1:4" x14ac:dyDescent="0.2">
      <c r="A3056" s="5">
        <v>2995</v>
      </c>
      <c r="B3056" s="138">
        <f>'Expenditures 15-22'!D10</f>
        <v>30518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151029</v>
      </c>
      <c r="C3062" s="2" t="s">
        <v>593</v>
      </c>
      <c r="D3062" s="2" t="str">
        <f t="shared" si="46"/>
        <v>Error?</v>
      </c>
    </row>
    <row r="3063" spans="1:4" x14ac:dyDescent="0.2">
      <c r="A3063" s="10">
        <v>3002</v>
      </c>
      <c r="D3063" s="2" t="str">
        <f t="shared" si="46"/>
        <v>OK</v>
      </c>
    </row>
    <row r="3064" spans="1:4" x14ac:dyDescent="0.2">
      <c r="A3064" s="5">
        <v>3003</v>
      </c>
      <c r="B3064" s="138">
        <f>'Expenditures 15-22'!D219</f>
        <v>14304</v>
      </c>
      <c r="D3064" s="2" t="str">
        <f t="shared" si="46"/>
        <v>Error?</v>
      </c>
    </row>
    <row r="3065" spans="1:4" x14ac:dyDescent="0.2">
      <c r="A3065" s="5">
        <v>3004</v>
      </c>
      <c r="B3065" s="138">
        <f>'Expenditures 15-22'!K219</f>
        <v>14304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81168</v>
      </c>
      <c r="C3225" s="2" t="s">
        <v>593</v>
      </c>
      <c r="D3225" s="2" t="str">
        <f t="shared" si="49"/>
        <v>Error?</v>
      </c>
    </row>
    <row r="3226" spans="1:4" x14ac:dyDescent="0.2">
      <c r="A3226" s="5">
        <v>3165</v>
      </c>
      <c r="B3226" s="138">
        <f>'Acct Summary 7-8'!I8</f>
        <v>81168</v>
      </c>
      <c r="C3226" s="2" t="s">
        <v>593</v>
      </c>
      <c r="D3226" s="2" t="str">
        <f t="shared" si="49"/>
        <v>Error?</v>
      </c>
    </row>
    <row r="3227" spans="1:4" x14ac:dyDescent="0.2">
      <c r="A3227" s="5">
        <v>3166</v>
      </c>
      <c r="B3227" s="138">
        <f>'Acct Summary 7-8'!I20</f>
        <v>81168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94432</v>
      </c>
      <c r="C3231" s="2" t="s">
        <v>593</v>
      </c>
      <c r="D3231" s="2" t="str">
        <f t="shared" si="49"/>
        <v>Error?</v>
      </c>
    </row>
    <row r="3232" spans="1:4" x14ac:dyDescent="0.2">
      <c r="A3232" s="5">
        <v>3171</v>
      </c>
      <c r="B3232" s="138">
        <f>'Acct Summary 7-8'!C77</f>
        <v>-94432</v>
      </c>
      <c r="C3232" s="2" t="s">
        <v>593</v>
      </c>
      <c r="D3232" s="2" t="str">
        <f t="shared" si="49"/>
        <v>Error?</v>
      </c>
    </row>
    <row r="3233" spans="1:4" x14ac:dyDescent="0.2">
      <c r="A3233" s="5">
        <v>3172</v>
      </c>
      <c r="B3233" s="138">
        <f>'Acct Summary 7-8'!C78</f>
        <v>585994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-30400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33571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-4901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94432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94432</v>
      </c>
      <c r="C3277" s="2" t="s">
        <v>593</v>
      </c>
      <c r="D3277" s="2" t="str">
        <f t="shared" si="50"/>
        <v>Error?</v>
      </c>
    </row>
    <row r="3278" spans="1:4" x14ac:dyDescent="0.2">
      <c r="A3278" s="5">
        <v>3217</v>
      </c>
      <c r="B3278" s="138">
        <f>'Acct Summary 7-8'!E78</f>
        <v>-43090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81168</v>
      </c>
      <c r="C3320" s="2" t="s">
        <v>593</v>
      </c>
      <c r="D3320" s="2" t="str">
        <f t="shared" si="50"/>
        <v>Error?</v>
      </c>
    </row>
    <row r="3321" spans="1:4" x14ac:dyDescent="0.2">
      <c r="A3321" s="5">
        <v>3260</v>
      </c>
      <c r="B3321" s="138">
        <f>'Acct Summary 7-8'!I79</f>
        <v>1352932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1434100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575623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113673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693346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29700</v>
      </c>
      <c r="D3387" s="2" t="str">
        <f t="shared" si="51"/>
        <v>Error?</v>
      </c>
    </row>
    <row r="3388" spans="1:4" x14ac:dyDescent="0.2">
      <c r="A3388" s="5">
        <v>3327</v>
      </c>
      <c r="B3388" s="138">
        <f>'Expenditures 15-22'!D217</f>
        <v>51644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29700</v>
      </c>
      <c r="C3390" s="2" t="s">
        <v>593</v>
      </c>
      <c r="D3390" s="2" t="str">
        <f t="shared" si="51"/>
        <v>Error?</v>
      </c>
    </row>
    <row r="3391" spans="1:4" x14ac:dyDescent="0.2">
      <c r="A3391" s="5">
        <v>3330</v>
      </c>
      <c r="B3391" s="138">
        <f>'Expenditures 15-22'!K217</f>
        <v>51644</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1747126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93988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18907</v>
      </c>
      <c r="D3417" s="2" t="str">
        <f t="shared" si="52"/>
        <v>Error?</v>
      </c>
    </row>
    <row r="3418" spans="1:4" x14ac:dyDescent="0.2">
      <c r="A3418" s="10">
        <v>3357</v>
      </c>
      <c r="D3418" s="2" t="str">
        <f t="shared" si="52"/>
        <v>OK</v>
      </c>
    </row>
    <row r="3419" spans="1:4" x14ac:dyDescent="0.2">
      <c r="A3419" s="5">
        <v>3358</v>
      </c>
      <c r="B3419" s="138">
        <f>'Assets-Liab 5-6'!F4</f>
        <v>266813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210886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267900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33916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145720</v>
      </c>
      <c r="C3446" s="2" t="s">
        <v>593</v>
      </c>
      <c r="D3446" s="2" t="str">
        <f t="shared" si="52"/>
        <v>Error?</v>
      </c>
    </row>
    <row r="3447" spans="1:4" x14ac:dyDescent="0.2">
      <c r="A3447" s="5">
        <v>3386</v>
      </c>
      <c r="B3447" s="138">
        <f>'Tax Sched 23'!D16</f>
        <v>142841</v>
      </c>
      <c r="C3447" s="2" t="s">
        <v>593</v>
      </c>
      <c r="D3447" s="2" t="str">
        <f t="shared" si="52"/>
        <v>Error?</v>
      </c>
    </row>
    <row r="3448" spans="1:4" x14ac:dyDescent="0.2">
      <c r="A3448" s="5">
        <v>3387</v>
      </c>
      <c r="B3448" s="138">
        <f>'Tax Sched 23'!C16</f>
        <v>2879</v>
      </c>
      <c r="D3448" s="2" t="str">
        <f t="shared" si="52"/>
        <v>Error?</v>
      </c>
    </row>
    <row r="3449" spans="1:4" x14ac:dyDescent="0.2">
      <c r="A3449" s="5">
        <v>3388</v>
      </c>
      <c r="B3449" s="138">
        <f>'Tax Sched 23'!F16</f>
        <v>147187</v>
      </c>
      <c r="C3449" s="2" t="s">
        <v>593</v>
      </c>
      <c r="D3449" s="2" t="str">
        <f t="shared" si="52"/>
        <v>Error?</v>
      </c>
    </row>
    <row r="3450" spans="1:4" x14ac:dyDescent="0.2">
      <c r="A3450" s="5">
        <v>3389</v>
      </c>
      <c r="B3450" s="138">
        <f>'Tax Sched 23'!E16</f>
        <v>150066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362705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362705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362705</v>
      </c>
      <c r="D3567" s="2" t="str">
        <f t="shared" si="54"/>
        <v>Error?</v>
      </c>
    </row>
    <row r="3568" spans="1:4" x14ac:dyDescent="0.2">
      <c r="A3568" s="5">
        <v>3507</v>
      </c>
      <c r="B3568" s="138">
        <f>'Assets-Liab 5-6'!K41</f>
        <v>362705</v>
      </c>
      <c r="C3568" s="2" t="s">
        <v>593</v>
      </c>
      <c r="D3568" s="2" t="str">
        <f t="shared" si="54"/>
        <v>Error?</v>
      </c>
    </row>
    <row r="3569" spans="1:4" x14ac:dyDescent="0.2">
      <c r="A3569" s="5">
        <v>3508</v>
      </c>
      <c r="B3569" s="138">
        <f>'Acct Summary 7-8'!K4</f>
        <v>56362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56362</v>
      </c>
      <c r="C3571" s="2" t="s">
        <v>593</v>
      </c>
      <c r="D3571" s="2" t="str">
        <f t="shared" si="54"/>
        <v>Error?</v>
      </c>
    </row>
    <row r="3572" spans="1:4" x14ac:dyDescent="0.2">
      <c r="A3572" s="5">
        <v>3511</v>
      </c>
      <c r="B3572" s="138">
        <f>'Acct Summary 7-8'!K13</f>
        <v>2522323</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2522323</v>
      </c>
      <c r="C3575" s="2" t="s">
        <v>593</v>
      </c>
      <c r="D3575" s="2" t="str">
        <f t="shared" si="54"/>
        <v>Error?</v>
      </c>
    </row>
    <row r="3576" spans="1:4" x14ac:dyDescent="0.2">
      <c r="A3576" s="5">
        <v>3515</v>
      </c>
      <c r="B3576" s="138">
        <f>'Acct Summary 7-8'!K20</f>
        <v>-2465961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-2465961</v>
      </c>
      <c r="C3588" s="2" t="s">
        <v>593</v>
      </c>
      <c r="D3588" s="2" t="str">
        <f t="shared" si="55"/>
        <v>Error?</v>
      </c>
    </row>
    <row r="3589" spans="1:4" x14ac:dyDescent="0.2">
      <c r="A3589" s="5">
        <v>3528</v>
      </c>
      <c r="B3589" s="138">
        <f>'Acct Summary 7-8'!K79</f>
        <v>2828666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362705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2522323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2522323</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2522323</v>
      </c>
      <c r="C3649" s="2" t="s">
        <v>593</v>
      </c>
      <c r="D3649" s="2" t="str">
        <f t="shared" si="56"/>
        <v>Error?</v>
      </c>
    </row>
    <row r="3650" spans="1:4" x14ac:dyDescent="0.2">
      <c r="A3650" s="5">
        <v>3589</v>
      </c>
      <c r="B3650" s="138">
        <f>'Expenditures 15-22'!G367</f>
        <v>2522323</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2522323</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2522323</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2522323</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2522323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-2465961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48862</v>
      </c>
      <c r="C3725" s="2" t="s">
        <v>593</v>
      </c>
      <c r="D3725" s="2" t="str">
        <f t="shared" si="57"/>
        <v>Error?</v>
      </c>
    </row>
    <row r="3726" spans="1:4" x14ac:dyDescent="0.2">
      <c r="A3726" s="5">
        <v>3665</v>
      </c>
      <c r="B3726" s="138">
        <f>'Tax Sched 23'!D13</f>
        <v>47800</v>
      </c>
      <c r="C3726" s="2" t="s">
        <v>593</v>
      </c>
      <c r="D3726" s="2" t="str">
        <f t="shared" si="57"/>
        <v>Error?</v>
      </c>
    </row>
    <row r="3727" spans="1:4" x14ac:dyDescent="0.2">
      <c r="A3727" s="5">
        <v>3666</v>
      </c>
      <c r="B3727" s="138">
        <f>'Tax Sched 23'!C13</f>
        <v>1062</v>
      </c>
      <c r="D3727" s="2" t="str">
        <f t="shared" si="57"/>
        <v>Error?</v>
      </c>
    </row>
    <row r="3728" spans="1:4" x14ac:dyDescent="0.2">
      <c r="A3728" s="5">
        <v>3667</v>
      </c>
      <c r="B3728" s="138">
        <f>'Tax Sched 23'!F13</f>
        <v>54272</v>
      </c>
      <c r="C3728" s="2" t="s">
        <v>593</v>
      </c>
      <c r="D3728" s="2" t="str">
        <f t="shared" si="57"/>
        <v>Error?</v>
      </c>
    </row>
    <row r="3729" spans="1:4" x14ac:dyDescent="0.2">
      <c r="A3729" s="5">
        <v>3668</v>
      </c>
      <c r="B3729" s="138">
        <f>'Tax Sched 23'!E13</f>
        <v>55334</v>
      </c>
      <c r="D3729" s="2" t="str">
        <f t="shared" si="57"/>
        <v>Error?</v>
      </c>
    </row>
    <row r="3730" spans="1:4" x14ac:dyDescent="0.2">
      <c r="A3730" s="5">
        <v>3669</v>
      </c>
      <c r="B3730" s="138">
        <f>'ICR Computation 30'!E10</f>
        <v>222612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2483696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8603557</v>
      </c>
      <c r="C4122" s="2" t="s">
        <v>593</v>
      </c>
      <c r="D4122" s="2" t="str">
        <f t="shared" si="63"/>
        <v>Error?</v>
      </c>
    </row>
    <row r="4123" spans="1:4" x14ac:dyDescent="0.2">
      <c r="A4123" s="5">
        <v>4062</v>
      </c>
      <c r="B4123" s="138">
        <f>'Acct Summary 7-8'!D10</f>
        <v>499283</v>
      </c>
      <c r="C4123" s="2" t="s">
        <v>593</v>
      </c>
      <c r="D4123" s="2" t="str">
        <f t="shared" si="63"/>
        <v>Error?</v>
      </c>
    </row>
    <row r="4124" spans="1:4" x14ac:dyDescent="0.2">
      <c r="A4124" s="5">
        <v>4063</v>
      </c>
      <c r="B4124" s="138">
        <f>'Acct Summary 7-8'!E10</f>
        <v>436806</v>
      </c>
      <c r="C4124" s="2" t="s">
        <v>593</v>
      </c>
      <c r="D4124" s="2" t="str">
        <f t="shared" si="63"/>
        <v>Error?</v>
      </c>
    </row>
    <row r="4125" spans="1:4" x14ac:dyDescent="0.2">
      <c r="A4125" s="5">
        <v>4064</v>
      </c>
      <c r="B4125" s="138">
        <f>'Acct Summary 7-8'!F10</f>
        <v>177457</v>
      </c>
      <c r="C4125" s="2" t="s">
        <v>593</v>
      </c>
      <c r="D4125" s="2" t="str">
        <f t="shared" si="63"/>
        <v>Error?</v>
      </c>
    </row>
    <row r="4126" spans="1:4" x14ac:dyDescent="0.2">
      <c r="A4126" s="5">
        <v>4065</v>
      </c>
      <c r="B4126" s="138">
        <f>'Acct Summary 7-8'!G10</f>
        <v>291790</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81168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56362</v>
      </c>
      <c r="C4130" s="2" t="s">
        <v>593</v>
      </c>
      <c r="D4130" s="2" t="str">
        <f t="shared" si="63"/>
        <v>Error?</v>
      </c>
    </row>
    <row r="4131" spans="1:4" x14ac:dyDescent="0.2">
      <c r="A4131" s="5">
        <v>4070</v>
      </c>
      <c r="B4131" s="138">
        <f>'Acct Summary 7-8'!C18</f>
        <v>2483696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7923131</v>
      </c>
      <c r="C4136" s="2" t="s">
        <v>593</v>
      </c>
      <c r="D4136" s="2" t="str">
        <f t="shared" si="63"/>
        <v>Error?</v>
      </c>
    </row>
    <row r="4137" spans="1:4" x14ac:dyDescent="0.2">
      <c r="A4137" s="5">
        <v>4076</v>
      </c>
      <c r="B4137" s="138">
        <f>'Acct Summary 7-8'!D19</f>
        <v>529683</v>
      </c>
      <c r="C4137" s="2" t="s">
        <v>593</v>
      </c>
      <c r="D4137" s="2" t="str">
        <f t="shared" si="63"/>
        <v>Error?</v>
      </c>
    </row>
    <row r="4138" spans="1:4" x14ac:dyDescent="0.2">
      <c r="A4138" s="5">
        <v>4077</v>
      </c>
      <c r="B4138" s="138">
        <f>'Acct Summary 7-8'!E19</f>
        <v>574328</v>
      </c>
      <c r="C4138" s="2" t="s">
        <v>593</v>
      </c>
      <c r="D4138" s="2" t="str">
        <f t="shared" si="63"/>
        <v>Error?</v>
      </c>
    </row>
    <row r="4139" spans="1:4" x14ac:dyDescent="0.2">
      <c r="A4139" s="5">
        <v>4078</v>
      </c>
      <c r="B4139" s="138">
        <f>'Acct Summary 7-8'!F19</f>
        <v>143886</v>
      </c>
      <c r="C4139" s="2" t="s">
        <v>593</v>
      </c>
      <c r="D4139" s="2" t="str">
        <f t="shared" si="63"/>
        <v>Error?</v>
      </c>
    </row>
    <row r="4140" spans="1:4" x14ac:dyDescent="0.2">
      <c r="A4140" s="5">
        <v>4079</v>
      </c>
      <c r="B4140" s="138">
        <f>'Acct Summary 7-8'!G19</f>
        <v>296691</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2522323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4775440</v>
      </c>
      <c r="C4171" s="2" t="s">
        <v>593</v>
      </c>
      <c r="D4171" s="2" t="str">
        <f t="shared" si="64"/>
        <v>Error?</v>
      </c>
    </row>
    <row r="4172" spans="1:4" x14ac:dyDescent="0.2">
      <c r="A4172" s="5">
        <v>4111</v>
      </c>
      <c r="B4172" s="138">
        <f>'Short-Term Long-Term Debt 24'!J49</f>
        <v>4756533</v>
      </c>
      <c r="C4172" s="2" t="s">
        <v>593</v>
      </c>
      <c r="D4172" s="2" t="str">
        <f t="shared" si="64"/>
        <v>Error?</v>
      </c>
    </row>
    <row r="4173" spans="1:4" x14ac:dyDescent="0.2">
      <c r="A4173" s="5">
        <v>4112</v>
      </c>
      <c r="B4173" s="138">
        <f>'Short-Term Long-Term Debt 24'!H49</f>
        <v>416683</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232795</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1629.9999999999998</v>
      </c>
      <c r="C4265" s="2" t="s">
        <v>593</v>
      </c>
      <c r="D4265" s="2" t="str">
        <f t="shared" si="65"/>
        <v>Error?</v>
      </c>
      <c r="E4265" s="128"/>
    </row>
    <row r="4266" spans="1:5" x14ac:dyDescent="0.2">
      <c r="A4266" s="12">
        <v>4205</v>
      </c>
      <c r="B4266" s="138">
        <f>('FP Info 3'!F10)*100000</f>
        <v>250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2000</v>
      </c>
      <c r="C4268" s="2" t="s">
        <v>593</v>
      </c>
      <c r="D4268" s="2" t="str">
        <f t="shared" si="65"/>
        <v>Error?</v>
      </c>
    </row>
    <row r="4269" spans="1:5" x14ac:dyDescent="0.2">
      <c r="A4269" s="12">
        <v>4208</v>
      </c>
      <c r="B4269" s="138">
        <f>'FP Info 3'!J16</f>
        <v>3517161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13558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35473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24353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110668321</v>
      </c>
      <c r="D4995" s="2" t="str">
        <f t="shared" si="77"/>
        <v>Error?</v>
      </c>
    </row>
    <row r="4996" spans="1:4" x14ac:dyDescent="0.2">
      <c r="A4996" s="12">
        <v>4935</v>
      </c>
      <c r="B4996" s="138">
        <f>'FP Info 3'!H31</f>
        <v>7636114.1490000002</v>
      </c>
      <c r="D4996" s="2" t="str">
        <f t="shared" si="77"/>
        <v>Error?</v>
      </c>
    </row>
    <row r="4997" spans="1:4" x14ac:dyDescent="0.2">
      <c r="A4997" s="12">
        <v>4936</v>
      </c>
      <c r="B4997" s="138">
        <f>'FP Info 3'!H37</f>
        <v>4775440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48862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1642561</v>
      </c>
      <c r="D5061" s="2" t="str">
        <f t="shared" si="78"/>
        <v>Error?</v>
      </c>
    </row>
    <row r="5062" spans="1:4" x14ac:dyDescent="0.2">
      <c r="A5062" s="10">
        <v>5001</v>
      </c>
      <c r="D5062" s="2" t="str">
        <f t="shared" si="78"/>
        <v>OK</v>
      </c>
    </row>
    <row r="5063" spans="1:4" x14ac:dyDescent="0.2">
      <c r="A5063" s="5">
        <v>5002</v>
      </c>
      <c r="B5063" s="138">
        <f>'Revenues 9-14'!C7</f>
        <v>20495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1711918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650806</v>
      </c>
      <c r="D5069" s="2" t="str">
        <f t="shared" si="78"/>
        <v>Error?</v>
      </c>
    </row>
    <row r="5070" spans="1:4" x14ac:dyDescent="0.2">
      <c r="A5070" s="5">
        <v>5009</v>
      </c>
      <c r="B5070" s="138">
        <f>'Revenues 9-14'!C17</f>
        <v>146657</v>
      </c>
      <c r="D5070" s="2" t="str">
        <f t="shared" si="78"/>
        <v>Error?</v>
      </c>
    </row>
    <row r="5071" spans="1:4" x14ac:dyDescent="0.2">
      <c r="A5071" s="5">
        <v>5010</v>
      </c>
      <c r="B5071" s="138">
        <f>'Revenues 9-14'!C18</f>
        <v>797463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22206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22206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1072</v>
      </c>
      <c r="D5094" s="2" t="str">
        <f t="shared" si="78"/>
        <v>Error?</v>
      </c>
    </row>
    <row r="5095" spans="1:4" x14ac:dyDescent="0.2">
      <c r="A5095" s="5">
        <v>5034</v>
      </c>
      <c r="B5095" s="138">
        <f>'Revenues 9-14'!C74</f>
        <v>4000</v>
      </c>
      <c r="D5095" s="2" t="str">
        <f t="shared" si="78"/>
        <v>Error?</v>
      </c>
    </row>
    <row r="5096" spans="1:4" x14ac:dyDescent="0.2">
      <c r="A5096" s="5">
        <v>5035</v>
      </c>
      <c r="B5096" s="138">
        <f>'Revenues 9-14'!C75</f>
        <v>5566</v>
      </c>
      <c r="C5096" s="2" t="s">
        <v>593</v>
      </c>
      <c r="D5096" s="2" t="str">
        <f t="shared" si="78"/>
        <v>Error?</v>
      </c>
    </row>
    <row r="5097" spans="1:4" x14ac:dyDescent="0.2">
      <c r="A5097" s="5">
        <v>5036</v>
      </c>
      <c r="B5097" s="138">
        <f>'Revenues 9-14'!C77</f>
        <v>4859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4859</v>
      </c>
      <c r="C5102" s="2" t="s">
        <v>593</v>
      </c>
      <c r="D5102" s="2" t="str">
        <f t="shared" si="78"/>
        <v>Error?</v>
      </c>
    </row>
    <row r="5103" spans="1:4" x14ac:dyDescent="0.2">
      <c r="A5103" s="5">
        <v>5042</v>
      </c>
      <c r="B5103" s="138">
        <f>'Revenues 9-14'!C84</f>
        <v>12677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12677</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19864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826</v>
      </c>
      <c r="D5119" s="2" t="str">
        <f t="shared" ref="D5119:D5182" si="79">IF(ISBLANK(B5119),"OK",IF(A5119-B5119=0,"OK","Error?"))</f>
        <v>Error?</v>
      </c>
    </row>
    <row r="5120" spans="1:4" x14ac:dyDescent="0.2">
      <c r="A5120" s="5">
        <v>5059</v>
      </c>
      <c r="B5120" s="138">
        <f>'Revenues 9-14'!C108</f>
        <v>21690</v>
      </c>
      <c r="C5120" s="2" t="s">
        <v>593</v>
      </c>
      <c r="D5120" s="2" t="str">
        <f t="shared" si="79"/>
        <v>Error?</v>
      </c>
    </row>
    <row r="5121" spans="1:4" x14ac:dyDescent="0.2">
      <c r="A5121" s="5">
        <v>5060</v>
      </c>
      <c r="B5121" s="138">
        <f>'Revenues 9-14'!C109</f>
        <v>2576379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1864681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1864681</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50101</v>
      </c>
      <c r="D5134" s="2" t="str">
        <f t="shared" si="79"/>
        <v>Error?</v>
      </c>
    </row>
    <row r="5135" spans="1:4" x14ac:dyDescent="0.2">
      <c r="A5135" s="5">
        <v>5074</v>
      </c>
      <c r="B5135" s="138">
        <f>'Revenues 9-14'!C126</f>
        <v>76274</v>
      </c>
      <c r="D5135" s="2" t="str">
        <f t="shared" si="79"/>
        <v>Error?</v>
      </c>
    </row>
    <row r="5136" spans="1:4" x14ac:dyDescent="0.2">
      <c r="A5136" s="10">
        <v>5075</v>
      </c>
      <c r="D5136" s="2" t="str">
        <f t="shared" si="79"/>
        <v>OK</v>
      </c>
    </row>
    <row r="5137" spans="1:4" x14ac:dyDescent="0.2">
      <c r="A5137" s="5">
        <v>5076</v>
      </c>
      <c r="B5137" s="138">
        <f>'Revenues 9-14'!C127</f>
        <v>14126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278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140779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192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192</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7826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597045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745842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2610523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271370</v>
      </c>
      <c r="D5239" s="2" t="str">
        <f t="shared" si="80"/>
        <v>Error?</v>
      </c>
    </row>
    <row r="5240" spans="1:4" x14ac:dyDescent="0.2">
      <c r="A5240" s="5">
        <v>5179</v>
      </c>
      <c r="B5240" s="138">
        <f>'Revenues 9-14'!C195</f>
        <v>204637</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476007</v>
      </c>
      <c r="C5246" s="2" t="s">
        <v>593</v>
      </c>
      <c r="D5246" s="2" t="str">
        <f t="shared" si="80"/>
        <v>Error?</v>
      </c>
    </row>
    <row r="5247" spans="1:4" x14ac:dyDescent="0.2">
      <c r="A5247" s="5">
        <v>5186</v>
      </c>
      <c r="B5247" s="138">
        <f>'Revenues 9-14'!C203</f>
        <v>164871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164871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20041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197656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217697</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1000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932959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932959</v>
      </c>
      <c r="C5326" s="2" t="s">
        <v>593</v>
      </c>
      <c r="D5326" s="2" t="str">
        <f t="shared" si="82"/>
        <v>Error?</v>
      </c>
    </row>
    <row r="5327" spans="1:4" x14ac:dyDescent="0.2">
      <c r="A5327" s="5">
        <v>5266</v>
      </c>
      <c r="B5327" s="138">
        <f>'Revenues 9-14'!C275</f>
        <v>6119861</v>
      </c>
      <c r="C5327" s="2" t="s">
        <v>593</v>
      </c>
      <c r="D5327" s="2" t="str">
        <f t="shared" si="82"/>
        <v>Error?</v>
      </c>
    </row>
    <row r="5328" spans="1:4" x14ac:dyDescent="0.2">
      <c r="A5328" s="5">
        <v>5267</v>
      </c>
      <c r="B5328" s="138">
        <f>'Revenues 9-14'!D5</f>
        <v>247290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247290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225000</v>
      </c>
      <c r="D5337" s="2" t="str">
        <f t="shared" si="82"/>
        <v>Error?</v>
      </c>
    </row>
    <row r="5338" spans="1:4" x14ac:dyDescent="0.2">
      <c r="A5338" s="5">
        <v>5277</v>
      </c>
      <c r="B5338" s="138">
        <f>'Revenues 9-14'!D17</f>
        <v>15000</v>
      </c>
      <c r="D5338" s="2" t="str">
        <f t="shared" si="82"/>
        <v>Error?</v>
      </c>
    </row>
    <row r="5339" spans="1:4" x14ac:dyDescent="0.2">
      <c r="A5339" s="5">
        <v>5278</v>
      </c>
      <c r="B5339" s="138">
        <f>'Revenues 9-14'!D18</f>
        <v>240000</v>
      </c>
      <c r="C5339" s="2" t="s">
        <v>593</v>
      </c>
      <c r="D5339" s="2" t="str">
        <f t="shared" si="82"/>
        <v>Error?</v>
      </c>
    </row>
    <row r="5340" spans="1:4" x14ac:dyDescent="0.2">
      <c r="A5340" s="5">
        <v>5279</v>
      </c>
      <c r="B5340" s="138">
        <f>'Revenues 9-14'!D65</f>
        <v>163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163</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11830</v>
      </c>
      <c r="D5354" s="2" t="str">
        <f t="shared" si="82"/>
        <v>Error?</v>
      </c>
    </row>
    <row r="5355" spans="1:4" x14ac:dyDescent="0.2">
      <c r="A5355" s="5">
        <v>5294</v>
      </c>
      <c r="B5355" s="138">
        <f>'Revenues 9-14'!D108</f>
        <v>11830</v>
      </c>
      <c r="C5355" s="2" t="s">
        <v>593</v>
      </c>
      <c r="D5355" s="2" t="str">
        <f t="shared" si="82"/>
        <v>Error?</v>
      </c>
    </row>
    <row r="5356" spans="1:4" x14ac:dyDescent="0.2">
      <c r="A5356" s="5">
        <v>5295</v>
      </c>
      <c r="B5356" s="138">
        <f>'Revenues 9-14'!D109</f>
        <v>499283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499283</v>
      </c>
      <c r="C5508" s="2" t="s">
        <v>593</v>
      </c>
      <c r="D5508" s="2" t="str">
        <f t="shared" si="85"/>
        <v>Error?</v>
      </c>
    </row>
    <row r="5509" spans="1:4" x14ac:dyDescent="0.2">
      <c r="A5509" s="5">
        <v>5448</v>
      </c>
      <c r="B5509" s="138">
        <f>'Revenues 9-14'!E5</f>
        <v>436662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436662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436806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436806</v>
      </c>
      <c r="C5552" s="2" t="s">
        <v>593</v>
      </c>
      <c r="D5552" s="2" t="str">
        <f t="shared" si="85"/>
        <v>Error?</v>
      </c>
    </row>
    <row r="5553" spans="1:4" x14ac:dyDescent="0.2">
      <c r="A5553" s="5">
        <v>5492</v>
      </c>
      <c r="B5553" s="138">
        <f>'Revenues 9-14'!F5</f>
        <v>118657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118657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305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118962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3134</v>
      </c>
      <c r="D5615" s="2" t="str">
        <f t="shared" si="86"/>
        <v>Error?</v>
      </c>
    </row>
    <row r="5616" spans="1:4" x14ac:dyDescent="0.2">
      <c r="A5616" s="10">
        <v>5555</v>
      </c>
      <c r="D5616" s="2" t="str">
        <f t="shared" si="86"/>
        <v>OK</v>
      </c>
    </row>
    <row r="5617" spans="1:4" x14ac:dyDescent="0.2">
      <c r="A5617" s="5">
        <v>5556</v>
      </c>
      <c r="B5617" s="138">
        <f>'Revenues 9-14'!F152</f>
        <v>55361</v>
      </c>
      <c r="D5617" s="2" t="str">
        <f t="shared" si="86"/>
        <v>Error?</v>
      </c>
    </row>
    <row r="5618" spans="1:4" x14ac:dyDescent="0.2">
      <c r="A5618" s="5">
        <v>5557</v>
      </c>
      <c r="B5618" s="138">
        <f>'Revenues 9-14'!F154</f>
        <v>58495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58495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58495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177457</v>
      </c>
      <c r="C5720" s="2" t="s">
        <v>593</v>
      </c>
      <c r="D5720" s="2" t="str">
        <f t="shared" si="88"/>
        <v>Error?</v>
      </c>
    </row>
    <row r="5721" spans="1:4" x14ac:dyDescent="0.2">
      <c r="A5721" s="5">
        <v>5660</v>
      </c>
      <c r="B5721" s="138">
        <f>'Revenues 9-14'!G5</f>
        <v>145720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145720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291440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350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291790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49499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49499</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31669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31669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81168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49499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49499</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6863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6863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56362</v>
      </c>
      <c r="C6023" s="2" t="s">
        <v>593</v>
      </c>
      <c r="D6023" s="2" t="str">
        <f t="shared" si="93"/>
        <v>Error?</v>
      </c>
    </row>
    <row r="6024" spans="1:5" x14ac:dyDescent="0.2">
      <c r="A6024" s="5">
        <v>5963</v>
      </c>
      <c r="B6024" s="138">
        <f>'Revenues 9-14'!G109</f>
        <v>291790</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81168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56362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630.24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92633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20000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92633</v>
      </c>
      <c r="D6215" s="2" t="str">
        <f t="shared" si="96"/>
        <v>Error?</v>
      </c>
      <c r="E6215" s="2" t="s">
        <v>199</v>
      </c>
    </row>
    <row r="6216" spans="1:5" x14ac:dyDescent="0.2">
      <c r="A6216">
        <v>6155</v>
      </c>
      <c r="B6216" s="138">
        <f>'Assets-Liab 5-6'!J41</f>
        <v>92633</v>
      </c>
      <c r="D6216" s="2" t="str">
        <f t="shared" si="96"/>
        <v>Error?</v>
      </c>
      <c r="E6216" s="2" t="s">
        <v>199</v>
      </c>
    </row>
    <row r="6217" spans="1:5" x14ac:dyDescent="0.2">
      <c r="A6217">
        <v>6156</v>
      </c>
      <c r="B6217" s="138">
        <f>'Assets-Liab 5-6'!J4</f>
        <v>92633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326322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326322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326322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328321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328321</v>
      </c>
      <c r="D6229" s="2" t="str">
        <f t="shared" si="96"/>
        <v>Error?</v>
      </c>
      <c r="E6229" s="2" t="s">
        <v>199</v>
      </c>
    </row>
    <row r="6230" spans="1:5" x14ac:dyDescent="0.2">
      <c r="A6230">
        <v>6169</v>
      </c>
      <c r="B6230" s="138">
        <f>'Acct Summary 7-8'!J20</f>
        <v>-1999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86683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7749</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-1999</v>
      </c>
      <c r="D6263" s="2" t="str">
        <f t="shared" si="96"/>
        <v>Error?</v>
      </c>
      <c r="E6263" s="2" t="s">
        <v>199</v>
      </c>
    </row>
    <row r="6264" spans="1:5" x14ac:dyDescent="0.2">
      <c r="A6264">
        <v>6203</v>
      </c>
      <c r="B6264" s="138">
        <f>'Acct Summary 7-8'!J79</f>
        <v>94632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92633</v>
      </c>
      <c r="D6266" s="2" t="str">
        <f t="shared" si="96"/>
        <v>Error?</v>
      </c>
      <c r="E6266" s="2" t="s">
        <v>199</v>
      </c>
    </row>
    <row r="6267" spans="1:5" x14ac:dyDescent="0.2">
      <c r="A6267">
        <v>6206</v>
      </c>
      <c r="B6267" s="138">
        <f>'Acct Summary 7-8'!C82</f>
        <v>585994</v>
      </c>
      <c r="D6267" s="2" t="str">
        <f t="shared" si="96"/>
        <v>Error?</v>
      </c>
      <c r="E6267" s="2" t="s">
        <v>199</v>
      </c>
    </row>
    <row r="6268" spans="1:5" x14ac:dyDescent="0.2">
      <c r="A6268">
        <v>6207</v>
      </c>
      <c r="B6268" s="138">
        <f>'Acct Summary 7-8'!D82</f>
        <v>-30400</v>
      </c>
      <c r="D6268" s="2" t="str">
        <f t="shared" si="96"/>
        <v>Error?</v>
      </c>
      <c r="E6268" s="2" t="s">
        <v>199</v>
      </c>
    </row>
    <row r="6269" spans="1:5" x14ac:dyDescent="0.2">
      <c r="A6269">
        <v>6208</v>
      </c>
      <c r="B6269" s="138">
        <f>'Acct Summary 7-8'!E82</f>
        <v>-43090</v>
      </c>
      <c r="D6269" s="2" t="str">
        <f t="shared" si="96"/>
        <v>Error?</v>
      </c>
      <c r="E6269" s="2" t="s">
        <v>199</v>
      </c>
    </row>
    <row r="6270" spans="1:5" x14ac:dyDescent="0.2">
      <c r="A6270">
        <v>6209</v>
      </c>
      <c r="B6270" s="138">
        <f>'Acct Summary 7-8'!F82</f>
        <v>33571</v>
      </c>
      <c r="D6270" s="2" t="str">
        <f t="shared" si="96"/>
        <v>Error?</v>
      </c>
      <c r="E6270" s="2" t="s">
        <v>199</v>
      </c>
    </row>
    <row r="6271" spans="1:5" x14ac:dyDescent="0.2">
      <c r="A6271">
        <v>6210</v>
      </c>
      <c r="B6271" s="138">
        <f>'Acct Summary 7-8'!G82</f>
        <v>-4901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81168</v>
      </c>
      <c r="D6273" s="2" t="str">
        <f t="shared" si="97"/>
        <v>Error?</v>
      </c>
      <c r="E6273" s="2" t="s">
        <v>199</v>
      </c>
    </row>
    <row r="6274" spans="1:5" x14ac:dyDescent="0.2">
      <c r="A6274">
        <v>6213</v>
      </c>
      <c r="B6274" s="138">
        <f>'Acct Summary 7-8'!J82</f>
        <v>-1999</v>
      </c>
      <c r="D6274" s="2" t="str">
        <f t="shared" si="97"/>
        <v>Error?</v>
      </c>
      <c r="E6274" s="2" t="s">
        <v>199</v>
      </c>
    </row>
    <row r="6275" spans="1:5" x14ac:dyDescent="0.2">
      <c r="A6275">
        <v>6214</v>
      </c>
      <c r="B6275" s="138">
        <f>'Acct Summary 7-8'!K82</f>
        <v>-2465961</v>
      </c>
      <c r="D6275" s="2" t="str">
        <f t="shared" si="97"/>
        <v>Error?</v>
      </c>
      <c r="E6275" s="2" t="s">
        <v>199</v>
      </c>
    </row>
    <row r="6276" spans="1:5" x14ac:dyDescent="0.2">
      <c r="A6276">
        <v>6215</v>
      </c>
      <c r="B6276" s="138">
        <f>'Acct Summary 7-8'!C83</f>
        <v>0.34024711716001066</v>
      </c>
      <c r="D6276" s="2" t="str">
        <f t="shared" si="97"/>
        <v>Error?</v>
      </c>
      <c r="E6276" s="2" t="s">
        <v>199</v>
      </c>
    </row>
    <row r="6277" spans="1:5" x14ac:dyDescent="0.2">
      <c r="A6277">
        <v>6216</v>
      </c>
      <c r="B6277" s="138">
        <f>'Acct Summary 7-8'!D83</f>
        <v>-0.32344554623994554</v>
      </c>
      <c r="D6277" s="2" t="str">
        <f t="shared" si="97"/>
        <v>Error?</v>
      </c>
      <c r="E6277" s="2" t="s">
        <v>199</v>
      </c>
    </row>
    <row r="6278" spans="1:5" x14ac:dyDescent="0.2">
      <c r="A6278">
        <v>6217</v>
      </c>
      <c r="B6278" s="138">
        <f>'Acct Summary 7-8'!E83</f>
        <v>39.423604757548034</v>
      </c>
      <c r="D6278" s="2" t="str">
        <f t="shared" si="97"/>
        <v>Error?</v>
      </c>
      <c r="E6278" s="2" t="s">
        <v>199</v>
      </c>
    </row>
    <row r="6279" spans="1:5" x14ac:dyDescent="0.2">
      <c r="A6279">
        <v>6218</v>
      </c>
      <c r="B6279" s="138">
        <f>'Acct Summary 7-8'!F83</f>
        <v>0.1258222050649706</v>
      </c>
      <c r="D6279" s="2" t="str">
        <f t="shared" si="97"/>
        <v>Error?</v>
      </c>
      <c r="E6279" s="2" t="s">
        <v>199</v>
      </c>
    </row>
    <row r="6280" spans="1:5" x14ac:dyDescent="0.2">
      <c r="A6280">
        <v>6219</v>
      </c>
      <c r="B6280" s="138">
        <f>'Acct Summary 7-8'!G83</f>
        <v>-2.3240044384169645E-2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5.6598563559026566E-2</v>
      </c>
      <c r="D6282" s="2" t="str">
        <f t="shared" si="97"/>
        <v>Error?</v>
      </c>
      <c r="E6282" s="2" t="s">
        <v>199</v>
      </c>
    </row>
    <row r="6283" spans="1:5" x14ac:dyDescent="0.2">
      <c r="A6283">
        <v>6222</v>
      </c>
      <c r="B6283" s="138">
        <f>'Acct Summary 7-8'!J83</f>
        <v>-2.1579782582880829E-2</v>
      </c>
      <c r="D6283" s="2" t="str">
        <f t="shared" si="97"/>
        <v>Error?</v>
      </c>
      <c r="E6283" s="2" t="s">
        <v>199</v>
      </c>
    </row>
    <row r="6284" spans="1:5" x14ac:dyDescent="0.2">
      <c r="A6284">
        <v>6223</v>
      </c>
      <c r="B6284" s="138">
        <f>'Acct Summary 7-8'!K83</f>
        <v>-6.7988061923601828</v>
      </c>
      <c r="D6284" s="2" t="str">
        <f t="shared" si="97"/>
        <v>Error?</v>
      </c>
      <c r="E6284" s="2" t="s">
        <v>199</v>
      </c>
    </row>
    <row r="6285" spans="1:5" x14ac:dyDescent="0.2">
      <c r="A6285">
        <v>6224</v>
      </c>
      <c r="B6285" s="138">
        <f>'Acct Summary 7-8'!E37</f>
        <v>86683</v>
      </c>
      <c r="D6285" s="2" t="str">
        <f t="shared" si="97"/>
        <v>Error?</v>
      </c>
      <c r="E6285" s="2" t="s">
        <v>199</v>
      </c>
    </row>
    <row r="6286" spans="1:5" x14ac:dyDescent="0.2">
      <c r="A6286">
        <v>6225</v>
      </c>
      <c r="B6286" s="138">
        <f>'Acct Summary 7-8'!E38</f>
        <v>7749</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326154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326154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326322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193783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241244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88720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758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758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758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328321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758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326322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14864</v>
      </c>
      <c r="D7073" s="2" t="str">
        <f t="shared" si="109"/>
        <v>Error?</v>
      </c>
    </row>
    <row r="7074" spans="1:4" x14ac:dyDescent="0.2">
      <c r="A7074">
        <v>7013</v>
      </c>
      <c r="B7074" s="138">
        <f>'Expenditures 15-22'!K216</f>
        <v>14864</v>
      </c>
      <c r="D7074" s="2" t="str">
        <f t="shared" si="109"/>
        <v>Error?</v>
      </c>
    </row>
    <row r="7075" spans="1:4" x14ac:dyDescent="0.2">
      <c r="A7075">
        <v>7014</v>
      </c>
      <c r="B7075" s="138">
        <f>'Expenditures 15-22'!D218</f>
        <v>6526</v>
      </c>
      <c r="D7075" s="2" t="str">
        <f t="shared" si="109"/>
        <v>Error?</v>
      </c>
    </row>
    <row r="7076" spans="1:4" x14ac:dyDescent="0.2">
      <c r="A7076">
        <v>7015</v>
      </c>
      <c r="B7076" s="138">
        <f>'Expenditures 15-22'!K218</f>
        <v>6526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36120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36120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5794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5794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4007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4007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175192</v>
      </c>
      <c r="D7172" s="2" t="str">
        <f t="shared" si="111"/>
        <v>Error?</v>
      </c>
    </row>
    <row r="7173" spans="1:4" x14ac:dyDescent="0.2">
      <c r="A7173">
        <v>7112</v>
      </c>
      <c r="B7173" s="138">
        <f>'Expenditures 15-22'!D325</f>
        <v>13246</v>
      </c>
      <c r="D7173" s="2" t="str">
        <f t="shared" si="111"/>
        <v>Error?</v>
      </c>
    </row>
    <row r="7174" spans="1:4" x14ac:dyDescent="0.2">
      <c r="A7174">
        <v>7113</v>
      </c>
      <c r="B7174" s="138">
        <f>'Expenditures 15-22'!E325</f>
        <v>22436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210874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175192</v>
      </c>
      <c r="D7199" s="2" t="str">
        <f t="shared" si="111"/>
        <v>Error?</v>
      </c>
    </row>
    <row r="7200" spans="1:4" x14ac:dyDescent="0.2">
      <c r="A7200">
        <v>7139</v>
      </c>
      <c r="B7200" s="138">
        <f>'Expenditures 15-22'!D330</f>
        <v>13246</v>
      </c>
      <c r="D7200" s="2" t="str">
        <f t="shared" si="111"/>
        <v>Error?</v>
      </c>
    </row>
    <row r="7201" spans="1:4" x14ac:dyDescent="0.2">
      <c r="A7201">
        <v>7140</v>
      </c>
      <c r="B7201" s="138">
        <f>'Expenditures 15-22'!E330</f>
        <v>139883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328321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175192</v>
      </c>
      <c r="D7216" s="2" t="str">
        <f t="shared" si="111"/>
        <v>Error?</v>
      </c>
    </row>
    <row r="7217" spans="1:4" x14ac:dyDescent="0.2">
      <c r="A7217">
        <v>7156</v>
      </c>
      <c r="B7217" s="138">
        <f>'Expenditures 15-22'!D342</f>
        <v>13246</v>
      </c>
      <c r="D7217" s="2" t="str">
        <f t="shared" si="111"/>
        <v>Error?</v>
      </c>
    </row>
    <row r="7218" spans="1:4" x14ac:dyDescent="0.2">
      <c r="A7218">
        <v>7157</v>
      </c>
      <c r="B7218" s="138">
        <f>'Expenditures 15-22'!E342</f>
        <v>139883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328321</v>
      </c>
      <c r="D7224" s="2" t="str">
        <f t="shared" si="111"/>
        <v>Error?</v>
      </c>
    </row>
    <row r="7225" spans="1:4" x14ac:dyDescent="0.2">
      <c r="A7225">
        <v>7164</v>
      </c>
      <c r="B7225" s="138">
        <f>'Expenditures 15-22'!K343</f>
        <v>-1999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43376</v>
      </c>
      <c r="D7246" s="2" t="str">
        <f t="shared" si="112"/>
        <v>Error?</v>
      </c>
    </row>
    <row r="7247" spans="1:4" x14ac:dyDescent="0.2">
      <c r="A7247">
        <f t="shared" si="113"/>
        <v>7186</v>
      </c>
      <c r="B7247" s="138">
        <f>'Expenditures 15-22'!E7</f>
        <v>1864</v>
      </c>
      <c r="D7247" s="2" t="str">
        <f t="shared" si="112"/>
        <v>Error?</v>
      </c>
    </row>
    <row r="7248" spans="1:4" x14ac:dyDescent="0.2">
      <c r="A7248">
        <f t="shared" si="113"/>
        <v>7187</v>
      </c>
      <c r="B7248" s="138">
        <f>'Expenditures 15-22'!F7</f>
        <v>1548</v>
      </c>
      <c r="D7248" s="2" t="str">
        <f t="shared" si="112"/>
        <v>Error?</v>
      </c>
    </row>
    <row r="7249" spans="1:4" x14ac:dyDescent="0.2">
      <c r="A7249">
        <f t="shared" si="113"/>
        <v>7188</v>
      </c>
      <c r="B7249" s="138">
        <f>'Expenditures 15-22'!G7</f>
        <v>673</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71764</v>
      </c>
      <c r="D7251" s="2" t="str">
        <f t="shared" si="112"/>
        <v>Error?</v>
      </c>
    </row>
    <row r="7252" spans="1:4" x14ac:dyDescent="0.2">
      <c r="A7252">
        <f t="shared" si="113"/>
        <v>7191</v>
      </c>
      <c r="B7252" s="138">
        <f>'Expenditures 15-22'!D9</f>
        <v>16757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199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758</v>
      </c>
      <c r="D7624" s="2" t="str">
        <f t="shared" si="124"/>
        <v>Error?</v>
      </c>
      <c r="E7624" s="2" t="s">
        <v>19</v>
      </c>
    </row>
    <row r="7625" spans="1:5" x14ac:dyDescent="0.2">
      <c r="A7625">
        <f t="shared" si="123"/>
        <v>7564</v>
      </c>
      <c r="B7625" s="138">
        <f>'Cap Outlay Deprec 26'!I17</f>
        <v>75.8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344342.8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71526</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71526</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20932</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45593</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29'!D22</f>
        <v>127625</v>
      </c>
      <c r="D7797" s="2" t="str">
        <f t="shared" si="127"/>
        <v>Error?</v>
      </c>
      <c r="E7797" s="4" t="s">
        <v>2016</v>
      </c>
    </row>
    <row r="7798" spans="1:5" x14ac:dyDescent="0.2">
      <c r="A7798">
        <v>7737</v>
      </c>
      <c r="B7798" s="138">
        <f>'Contracts Paid in CY 29'!F22</f>
        <v>17608</v>
      </c>
      <c r="D7798" s="2" t="str">
        <f t="shared" si="127"/>
        <v>Error?</v>
      </c>
      <c r="E7798" s="4" t="s">
        <v>2016</v>
      </c>
    </row>
    <row r="7799" spans="1:5" x14ac:dyDescent="0.2">
      <c r="A7799">
        <v>7738</v>
      </c>
      <c r="B7799" s="138">
        <f>'Contracts Paid in CY 29'!G22</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1252</v>
      </c>
      <c r="B2" s="2424"/>
      <c r="C2" s="2424"/>
      <c r="D2" s="2424"/>
      <c r="E2" s="2424"/>
      <c r="F2" s="2424"/>
      <c r="G2" s="2424"/>
      <c r="H2" s="2424"/>
      <c r="I2" s="2424"/>
      <c r="J2" s="2424"/>
      <c r="K2" s="2424"/>
      <c r="L2" s="2424"/>
    </row>
    <row r="3" spans="1:29" ht="13.5" customHeight="1" x14ac:dyDescent="0.2">
      <c r="A3" s="2410" t="s">
        <v>1251</v>
      </c>
      <c r="B3" s="2410"/>
      <c r="C3" s="2410"/>
      <c r="D3" s="2410"/>
      <c r="E3" s="2410"/>
      <c r="F3" s="2410"/>
      <c r="G3" s="2410"/>
      <c r="H3" s="2410"/>
      <c r="I3" s="2410"/>
      <c r="J3" s="2410"/>
      <c r="K3" s="2410"/>
      <c r="L3" s="2410"/>
    </row>
    <row r="4" spans="1:29" ht="13.5" customHeight="1" x14ac:dyDescent="0.2">
      <c r="A4" s="2424" t="s">
        <v>1798</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4" t="str">
        <f>COVER!A17</f>
        <v>Wood River-Hartford ESD 15</v>
      </c>
      <c r="B7" s="2405"/>
      <c r="C7" s="2405"/>
      <c r="D7" s="2442"/>
      <c r="E7" s="2443">
        <f>COVER!A13</f>
        <v>41057015003</v>
      </c>
      <c r="F7" s="2444"/>
      <c r="G7" s="2411" t="str">
        <f>COVER!T23</f>
        <v>060-009547</v>
      </c>
      <c r="H7" s="2412"/>
      <c r="I7" s="2412"/>
      <c r="J7" s="2412"/>
      <c r="K7" s="2412"/>
      <c r="L7" s="2413"/>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4"/>
      <c r="B9" s="2415"/>
      <c r="C9" s="2415"/>
      <c r="D9" s="2415"/>
      <c r="E9" s="2415"/>
      <c r="F9" s="2416"/>
      <c r="G9" s="2417" t="str">
        <f>COVER!T13</f>
        <v>Greg M. McCalley &amp; Associates, P.C.</v>
      </c>
      <c r="H9" s="2418"/>
      <c r="I9" s="2418"/>
      <c r="J9" s="2418"/>
      <c r="K9" s="2418"/>
      <c r="L9" s="2419"/>
    </row>
    <row r="10" spans="1:29" ht="13.5" customHeight="1" x14ac:dyDescent="0.2">
      <c r="A10" s="2401" t="str">
        <f>COVER!A38</f>
        <v>Dr. Patrick Anderson</v>
      </c>
      <c r="B10" s="2402"/>
      <c r="C10" s="2402"/>
      <c r="D10" s="2402"/>
      <c r="E10" s="2402"/>
      <c r="F10" s="2403"/>
      <c r="G10" s="2417" t="str">
        <f>COVER!T17</f>
        <v>855 East Ferguson Ave.</v>
      </c>
      <c r="H10" s="2430"/>
      <c r="I10" s="2430"/>
      <c r="J10" s="2430"/>
      <c r="K10" s="2430"/>
      <c r="L10" s="2431"/>
    </row>
    <row r="11" spans="1:29" ht="13.5" customHeight="1" x14ac:dyDescent="0.2">
      <c r="A11" s="1185" t="s">
        <v>1598</v>
      </c>
      <c r="B11" s="1186"/>
      <c r="C11" s="1187"/>
      <c r="D11" s="1192"/>
      <c r="E11" s="1187"/>
      <c r="F11" s="1191"/>
      <c r="G11" s="2417" t="str">
        <f>COVER!T19</f>
        <v>Wood River</v>
      </c>
      <c r="H11" s="2430"/>
      <c r="I11" s="2430"/>
      <c r="J11" s="2430"/>
      <c r="K11" s="2430"/>
      <c r="L11" s="2431"/>
    </row>
    <row r="12" spans="1:29" ht="13.5" customHeight="1" x14ac:dyDescent="0.2">
      <c r="A12" s="2435" t="s">
        <v>1597</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1599</v>
      </c>
      <c r="H13" s="2426"/>
      <c r="I13" s="2438" t="str">
        <f>COVER!T25</f>
        <v>Greg@dmacpa.com</v>
      </c>
      <c r="J13" s="2439"/>
      <c r="K13" s="2439"/>
      <c r="L13" s="2440"/>
    </row>
    <row r="14" spans="1:29" ht="13.5" customHeight="1" x14ac:dyDescent="0.2">
      <c r="A14" s="2417" t="str">
        <f>COVER!A19</f>
        <v>501 East Lorena</v>
      </c>
      <c r="B14" s="2430"/>
      <c r="C14" s="2430"/>
      <c r="D14" s="2430"/>
      <c r="E14" s="2430"/>
      <c r="F14" s="2431"/>
      <c r="G14" s="1196" t="s">
        <v>1246</v>
      </c>
      <c r="H14" s="1194"/>
      <c r="I14" s="1194"/>
      <c r="J14" s="1194"/>
      <c r="K14" s="1194"/>
      <c r="L14" s="1195"/>
    </row>
    <row r="15" spans="1:29" ht="13.5" customHeight="1" x14ac:dyDescent="0.2">
      <c r="A15" s="2417" t="str">
        <f>COVER!A21</f>
        <v xml:space="preserve">Wood River </v>
      </c>
      <c r="B15" s="2430"/>
      <c r="C15" s="2430"/>
      <c r="D15" s="2430"/>
      <c r="E15" s="2430"/>
      <c r="F15" s="2431"/>
      <c r="G15" s="2427" t="str">
        <f>COVER!T15</f>
        <v xml:space="preserve">Greg M. McCalley  </v>
      </c>
      <c r="H15" s="2428"/>
      <c r="I15" s="2428"/>
      <c r="J15" s="2428"/>
      <c r="K15" s="2428"/>
      <c r="L15" s="2429"/>
    </row>
    <row r="16" spans="1:29" ht="12.2" customHeight="1" x14ac:dyDescent="0.2">
      <c r="A16" s="2407">
        <f>COVER!A25</f>
        <v>62095</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1245</v>
      </c>
      <c r="H17" s="1194"/>
      <c r="I17" s="1194"/>
      <c r="J17" s="1194"/>
      <c r="K17" s="1198" t="s">
        <v>1244</v>
      </c>
      <c r="L17" s="1191"/>
      <c r="M17" s="1184"/>
    </row>
    <row r="18" spans="1:13" ht="12.2" customHeight="1" x14ac:dyDescent="0.2">
      <c r="A18" s="2401"/>
      <c r="B18" s="2402"/>
      <c r="C18" s="2402"/>
      <c r="D18" s="2402"/>
      <c r="E18" s="2402"/>
      <c r="F18" s="2403"/>
      <c r="G18" s="2404" t="str">
        <f>COVER!T21</f>
        <v>(618)254-8188</v>
      </c>
      <c r="H18" s="2405"/>
      <c r="I18" s="2405"/>
      <c r="J18" s="2405"/>
      <c r="K18" s="2404" t="str">
        <f>COVER!X21</f>
        <v>(618)254-8680</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79" fitToHeight="0" orientation="portrait" useFirstPageNumber="1" r:id="rId1"/>
  <headerFooter alignWithMargins="0">
    <oddHeader>&amp;L&amp;8Page 7979&amp;R&amp;8Page 79</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Wood River-Hartford ESD 15</v>
      </c>
      <c r="B1" s="2441"/>
      <c r="C1" s="2441"/>
      <c r="D1" s="2441"/>
    </row>
    <row r="2" spans="1:11" s="1215" customFormat="1" ht="12.75" x14ac:dyDescent="0.2">
      <c r="A2" s="2446">
        <f>'Single Audit Cover'!E7</f>
        <v>41057015003</v>
      </c>
      <c r="B2" s="2447"/>
      <c r="C2" s="2447"/>
      <c r="D2" s="2447"/>
    </row>
    <row r="3" spans="1:11" s="1215" customFormat="1" ht="12.75" x14ac:dyDescent="0.2">
      <c r="A3" s="2445" t="s">
        <v>1592</v>
      </c>
      <c r="B3" s="2441"/>
      <c r="C3" s="2441"/>
      <c r="D3" s="244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Wood River-Hartford ESD 15</v>
      </c>
      <c r="B1" s="2449"/>
      <c r="C1" s="2449"/>
      <c r="D1" s="2449"/>
      <c r="E1" s="2449"/>
    </row>
    <row r="2" spans="1:5" x14ac:dyDescent="0.2">
      <c r="A2" s="2450">
        <f>'Single Audit Cover'!E7</f>
        <v>41057015003</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60" t="s">
        <v>1304</v>
      </c>
    </row>
    <row r="10" spans="1:5" x14ac:dyDescent="0.2">
      <c r="A10" s="1261" t="s">
        <v>1303</v>
      </c>
      <c r="B10" s="1262" t="s">
        <v>1302</v>
      </c>
      <c r="C10" s="1262"/>
      <c r="D10" s="1263">
        <f>SUM('Acct Summary 7-8'!C7:K7)</f>
        <v>932959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v>42092</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-35473</v>
      </c>
    </row>
    <row r="19" spans="1:4" ht="13.5" thickBot="1" x14ac:dyDescent="0.25">
      <c r="A19" s="1265" t="s">
        <v>1296</v>
      </c>
      <c r="D19" s="1266">
        <f>SUM(D10:D17)</f>
        <v>939578</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1294</v>
      </c>
      <c r="D32" s="1263">
        <v>939578</v>
      </c>
    </row>
    <row r="33" spans="1:4" x14ac:dyDescent="0.2">
      <c r="D33" s="1269"/>
    </row>
    <row r="34" spans="1:4" x14ac:dyDescent="0.2">
      <c r="A34" s="317" t="s">
        <v>1293</v>
      </c>
    </row>
    <row r="35" spans="1:4" x14ac:dyDescent="0.2">
      <c r="A35" s="317" t="s">
        <v>1292</v>
      </c>
      <c r="B35" s="1258" t="s">
        <v>1291</v>
      </c>
      <c r="D35" s="1270">
        <v>939578</v>
      </c>
    </row>
    <row r="37" spans="1:4" x14ac:dyDescent="0.2">
      <c r="A37" s="1260" t="s">
        <v>1290</v>
      </c>
    </row>
    <row r="39" spans="1:4" ht="13.35" customHeight="1" x14ac:dyDescent="0.2">
      <c r="A39" s="1267" t="s">
        <v>1289</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1288</v>
      </c>
      <c r="C47" s="1272"/>
      <c r="D47" s="1273">
        <f>SUM(D35:D45)</f>
        <v>939578</v>
      </c>
    </row>
    <row r="49" spans="2:4" x14ac:dyDescent="0.2">
      <c r="B49" s="1272" t="s">
        <v>1287</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86&amp;R&amp;8Page 86</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9" sqref="D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Wood River-Hartford ESD 15</v>
      </c>
      <c r="B1" s="2454"/>
      <c r="C1" s="2454"/>
      <c r="D1" s="2454"/>
      <c r="E1" s="2454"/>
      <c r="F1" s="2454"/>
    </row>
    <row r="2" spans="1:7" ht="13.5" customHeight="1" x14ac:dyDescent="0.2">
      <c r="A2" s="2455">
        <f>'Single Audit Cover'!E7</f>
        <v>41057015003</v>
      </c>
      <c r="B2" s="2455"/>
      <c r="C2" s="2455"/>
      <c r="D2" s="2455"/>
      <c r="E2" s="2455"/>
      <c r="F2" s="2455"/>
      <c r="G2" s="1275"/>
    </row>
    <row r="3" spans="1:7" ht="15.75" customHeight="1" x14ac:dyDescent="0.2">
      <c r="A3" s="2456" t="s">
        <v>1332</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1830</v>
      </c>
      <c r="C6" s="317"/>
      <c r="D6" s="317"/>
    </row>
    <row r="7" spans="1:7" ht="60.95" customHeight="1" x14ac:dyDescent="0.2">
      <c r="A7" s="2453" t="s">
        <v>2171</v>
      </c>
      <c r="B7" s="2453"/>
      <c r="C7" s="2453"/>
      <c r="D7" s="2453"/>
      <c r="E7" s="2453"/>
      <c r="F7" s="2453"/>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2074</v>
      </c>
      <c r="F10" s="1280" t="s">
        <v>101</v>
      </c>
      <c r="G10" s="1278"/>
    </row>
    <row r="11" spans="1:7" ht="12" customHeight="1" x14ac:dyDescent="0.2">
      <c r="A11" s="1279"/>
      <c r="B11" s="1280"/>
      <c r="C11" s="1914"/>
      <c r="D11" s="1280"/>
      <c r="E11" s="1914"/>
      <c r="F11" s="1280"/>
      <c r="G11" s="1278"/>
    </row>
    <row r="12" spans="1:7" x14ac:dyDescent="0.2">
      <c r="A12" s="1276" t="s">
        <v>1668</v>
      </c>
      <c r="C12" s="1260"/>
      <c r="D12" s="1260"/>
    </row>
    <row r="13" spans="1:7" ht="21.75" customHeight="1" x14ac:dyDescent="0.2">
      <c r="A13" s="2453" t="s">
        <v>2113</v>
      </c>
      <c r="B13" s="2453"/>
      <c r="C13" s="2453"/>
      <c r="D13" s="2453"/>
      <c r="E13" s="2453"/>
      <c r="F13" s="2453"/>
    </row>
    <row r="14" spans="1:7" ht="9.75" customHeight="1" x14ac:dyDescent="0.2">
      <c r="C14" s="1260"/>
      <c r="D14" s="1260"/>
    </row>
    <row r="15" spans="1:7" ht="13.5" customHeight="1" x14ac:dyDescent="0.2">
      <c r="C15" s="1858" t="s">
        <v>1331</v>
      </c>
      <c r="D15" s="2459" t="s">
        <v>1330</v>
      </c>
      <c r="E15" s="2459"/>
      <c r="F15" s="2459"/>
    </row>
    <row r="16" spans="1:7" ht="13.5" customHeight="1" x14ac:dyDescent="0.2">
      <c r="A16" s="1282"/>
      <c r="B16" s="1276" t="s">
        <v>1329</v>
      </c>
      <c r="C16" s="1858" t="s">
        <v>1328</v>
      </c>
      <c r="D16" s="2460" t="s">
        <v>1669</v>
      </c>
      <c r="E16" s="2460"/>
      <c r="F16" s="2460"/>
    </row>
    <row r="17" spans="1:6" ht="20.45" customHeight="1" x14ac:dyDescent="0.2">
      <c r="A17" s="1283"/>
      <c r="B17" s="1284" t="s">
        <v>2114</v>
      </c>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1"/>
      <c r="D30" s="1915"/>
      <c r="E30" s="1286"/>
    </row>
    <row r="31" spans="1:6" ht="12" customHeight="1" x14ac:dyDescent="0.2">
      <c r="A31" s="1287" t="s">
        <v>1629</v>
      </c>
      <c r="B31" s="328"/>
      <c r="C31" s="1471"/>
      <c r="D31" s="1915"/>
      <c r="E31" s="1286"/>
    </row>
    <row r="32" spans="1:6" ht="30" customHeight="1" x14ac:dyDescent="0.2">
      <c r="A32" s="2462" t="s">
        <v>1832</v>
      </c>
      <c r="B32" s="2462"/>
      <c r="C32" s="2462"/>
      <c r="D32" s="2462"/>
      <c r="E32" s="2462"/>
      <c r="F32" s="2462"/>
    </row>
    <row r="33" spans="1:6" ht="13.5" customHeight="1" x14ac:dyDescent="0.2">
      <c r="A33" s="328" t="s">
        <v>1508</v>
      </c>
      <c r="B33" s="328"/>
      <c r="C33" s="1288">
        <v>42092</v>
      </c>
      <c r="D33" s="1915"/>
      <c r="E33" s="1286"/>
    </row>
    <row r="34" spans="1:6" ht="13.5" customHeight="1" x14ac:dyDescent="0.2">
      <c r="A34" s="328" t="s">
        <v>1945</v>
      </c>
      <c r="B34" s="328"/>
      <c r="C34" s="1289">
        <v>0</v>
      </c>
      <c r="D34" s="1915" t="s">
        <v>1670</v>
      </c>
      <c r="E34" s="2463">
        <f>+C33+C34</f>
        <v>42092</v>
      </c>
      <c r="F34" s="2464"/>
    </row>
    <row r="35" spans="1:6" ht="12" customHeight="1" x14ac:dyDescent="0.2">
      <c r="A35" s="328"/>
      <c r="B35" s="328"/>
      <c r="C35" s="1916"/>
      <c r="D35" s="1915"/>
      <c r="E35" s="1290"/>
      <c r="F35" s="1291"/>
    </row>
    <row r="36" spans="1:6" ht="13.5" customHeight="1" x14ac:dyDescent="0.2">
      <c r="A36" s="1287" t="s">
        <v>1630</v>
      </c>
      <c r="B36" s="328"/>
      <c r="C36" s="1471"/>
      <c r="D36" s="1915"/>
      <c r="E36" s="1286"/>
    </row>
    <row r="37" spans="1:6" ht="14.25" customHeight="1" x14ac:dyDescent="0.2">
      <c r="A37" s="328" t="s">
        <v>1562</v>
      </c>
      <c r="B37" s="328"/>
      <c r="C37" s="1917"/>
      <c r="D37" s="1915"/>
      <c r="E37" s="1286"/>
    </row>
    <row r="38" spans="1:6" ht="14.25" customHeight="1" x14ac:dyDescent="0.2">
      <c r="A38" s="328"/>
      <c r="B38" s="328" t="s">
        <v>1509</v>
      </c>
      <c r="C38" s="1292" t="s">
        <v>101</v>
      </c>
      <c r="D38" s="1915"/>
      <c r="E38" s="1286"/>
    </row>
    <row r="39" spans="1:6" ht="14.25" customHeight="1" x14ac:dyDescent="0.2">
      <c r="A39" s="328"/>
      <c r="B39" s="328" t="s">
        <v>1510</v>
      </c>
      <c r="C39" s="1292" t="s">
        <v>101</v>
      </c>
      <c r="D39" s="1915"/>
      <c r="E39" s="1286"/>
    </row>
    <row r="40" spans="1:6" ht="14.25" customHeight="1" x14ac:dyDescent="0.2">
      <c r="A40" s="328"/>
      <c r="B40" s="328" t="s">
        <v>1511</v>
      </c>
      <c r="C40" s="1292" t="s">
        <v>101</v>
      </c>
      <c r="D40" s="1915"/>
      <c r="E40" s="1286"/>
    </row>
    <row r="41" spans="1:6" ht="14.25" customHeight="1" x14ac:dyDescent="0.2">
      <c r="A41" s="328"/>
      <c r="B41" s="328" t="s">
        <v>1512</v>
      </c>
      <c r="C41" s="1292" t="s">
        <v>101</v>
      </c>
      <c r="D41" s="1915"/>
      <c r="E41" s="1286"/>
    </row>
    <row r="42" spans="1:6" ht="14.25" customHeight="1" x14ac:dyDescent="0.2">
      <c r="A42" s="328" t="s">
        <v>1513</v>
      </c>
      <c r="B42" s="328"/>
      <c r="C42" s="1913" t="s">
        <v>101</v>
      </c>
      <c r="D42" s="1915"/>
      <c r="E42" s="1286"/>
    </row>
    <row r="43" spans="1:6" ht="14.25" customHeight="1" x14ac:dyDescent="0.2">
      <c r="A43" s="328" t="s">
        <v>1514</v>
      </c>
      <c r="B43" s="328"/>
      <c r="C43" s="1293" t="s">
        <v>101</v>
      </c>
      <c r="D43" s="1915"/>
      <c r="E43" s="1286"/>
    </row>
    <row r="44" spans="1:6" ht="14.25" customHeight="1" x14ac:dyDescent="0.2">
      <c r="A44" s="328"/>
      <c r="B44" s="328"/>
      <c r="C44" s="1917" t="s">
        <v>1515</v>
      </c>
      <c r="D44" s="1915"/>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1671</v>
      </c>
      <c r="C49" s="2465"/>
      <c r="D49" s="2465"/>
      <c r="E49" s="1392"/>
    </row>
    <row r="50" spans="1:5" s="1300" customFormat="1" ht="3.75" customHeight="1" x14ac:dyDescent="0.2">
      <c r="A50" s="1299"/>
      <c r="B50" s="1857"/>
      <c r="C50" s="1857"/>
      <c r="D50" s="1857"/>
      <c r="E50" s="1392"/>
    </row>
    <row r="51" spans="1:5" s="1300" customFormat="1" ht="20.25" customHeight="1" x14ac:dyDescent="0.2">
      <c r="A51" s="1301">
        <v>6</v>
      </c>
      <c r="B51" s="2461" t="s">
        <v>1631</v>
      </c>
      <c r="C51" s="2461"/>
      <c r="D51" s="2461"/>
    </row>
    <row r="52" spans="1:5" ht="14.25" customHeight="1" x14ac:dyDescent="0.2">
      <c r="A52" s="1301"/>
      <c r="B52" s="2461"/>
      <c r="C52" s="2461"/>
      <c r="D52" s="246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87&amp;R&amp;8Page 87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2"/>
  <sheetViews>
    <sheetView showGridLines="0" topLeftCell="A25" zoomScaleNormal="100" workbookViewId="0">
      <selection activeCell="D30" sqref="D30"/>
    </sheetView>
  </sheetViews>
  <sheetFormatPr defaultColWidth="33.5703125" defaultRowHeight="12.75" x14ac:dyDescent="0.2"/>
  <cols>
    <col min="1" max="1" width="0.140625" style="317" customWidth="1"/>
    <col min="2" max="2" width="37.4257812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Wood River-Hartford ESD 15</v>
      </c>
      <c r="C1" s="2466"/>
      <c r="D1" s="2466"/>
      <c r="E1" s="2466"/>
      <c r="F1" s="2466"/>
      <c r="G1" s="2466"/>
      <c r="H1" s="2466"/>
      <c r="I1" s="2466"/>
      <c r="J1" s="2466"/>
      <c r="K1" s="2466"/>
      <c r="L1" s="2466"/>
      <c r="M1" s="2466"/>
    </row>
    <row r="2" spans="2:14" ht="15" x14ac:dyDescent="0.2">
      <c r="B2" s="2455">
        <f>'Single Audit Cover'!E7</f>
        <v>41057015003</v>
      </c>
      <c r="C2" s="2455"/>
      <c r="D2" s="2455"/>
      <c r="E2" s="2455"/>
      <c r="F2" s="2455"/>
      <c r="G2" s="2455"/>
      <c r="H2" s="2455"/>
      <c r="I2" s="2455"/>
      <c r="J2" s="2455"/>
      <c r="K2" s="2455"/>
      <c r="L2" s="2455"/>
      <c r="M2" s="2455"/>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78"/>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5">
      <c r="B11" s="1948" t="s">
        <v>2115</v>
      </c>
      <c r="C11" s="1949"/>
      <c r="D11" s="1950"/>
      <c r="E11" s="1951"/>
      <c r="F11" s="1951"/>
      <c r="G11" s="1951"/>
      <c r="H11" s="1951"/>
      <c r="I11" s="1951"/>
      <c r="J11" s="1951"/>
      <c r="K11" s="1951"/>
      <c r="L11" s="1951">
        <f>+G11+I11+K11</f>
        <v>0</v>
      </c>
      <c r="M11" s="1951"/>
    </row>
    <row r="12" spans="2:14" ht="20.100000000000001" customHeight="1" x14ac:dyDescent="0.25">
      <c r="B12" s="1948" t="s">
        <v>2116</v>
      </c>
      <c r="C12" s="1952"/>
      <c r="D12" s="1953"/>
      <c r="E12" s="1954"/>
      <c r="F12" s="1954"/>
      <c r="G12" s="1954"/>
      <c r="H12" s="1954"/>
      <c r="I12" s="1954"/>
      <c r="J12" s="1954"/>
      <c r="K12" s="1954"/>
      <c r="L12" s="1951">
        <f t="shared" ref="L12:L57" si="0">+G12+I12+K12</f>
        <v>0</v>
      </c>
      <c r="M12" s="1954"/>
    </row>
    <row r="13" spans="2:14" ht="20.100000000000001" customHeight="1" x14ac:dyDescent="0.25">
      <c r="B13" s="1948" t="s">
        <v>2117</v>
      </c>
      <c r="C13" s="1952">
        <v>84.01</v>
      </c>
      <c r="D13" s="1953" t="s">
        <v>2118</v>
      </c>
      <c r="E13" s="1954">
        <v>107481</v>
      </c>
      <c r="F13" s="1954">
        <v>71308</v>
      </c>
      <c r="G13" s="1954">
        <v>153270</v>
      </c>
      <c r="H13" s="1954"/>
      <c r="I13" s="1954">
        <v>25519</v>
      </c>
      <c r="J13" s="1954"/>
      <c r="K13" s="1954"/>
      <c r="L13" s="1951">
        <f t="shared" si="0"/>
        <v>178789</v>
      </c>
      <c r="M13" s="1954">
        <v>187942</v>
      </c>
    </row>
    <row r="14" spans="2:14" ht="20.100000000000001" customHeight="1" x14ac:dyDescent="0.25">
      <c r="B14" s="1948" t="s">
        <v>2117</v>
      </c>
      <c r="C14" s="1952">
        <v>84.01</v>
      </c>
      <c r="D14" s="1953" t="s">
        <v>2119</v>
      </c>
      <c r="E14" s="1954"/>
      <c r="F14" s="1954">
        <v>93563</v>
      </c>
      <c r="G14" s="1954"/>
      <c r="H14" s="1954"/>
      <c r="I14" s="1954">
        <v>132764</v>
      </c>
      <c r="J14" s="1954"/>
      <c r="K14" s="1954"/>
      <c r="L14" s="1951">
        <f t="shared" si="0"/>
        <v>132764</v>
      </c>
      <c r="M14" s="1954">
        <v>194856</v>
      </c>
    </row>
    <row r="15" spans="2:14" ht="20.100000000000001" customHeight="1" x14ac:dyDescent="0.25">
      <c r="B15" s="1948" t="s">
        <v>2120</v>
      </c>
      <c r="C15" s="1952">
        <v>84.367000000000004</v>
      </c>
      <c r="D15" s="1953" t="s">
        <v>2121</v>
      </c>
      <c r="E15" s="1954">
        <v>12970</v>
      </c>
      <c r="F15" s="1954">
        <v>7704</v>
      </c>
      <c r="G15" s="1954">
        <v>20674</v>
      </c>
      <c r="H15" s="1954"/>
      <c r="I15" s="1954">
        <v>0</v>
      </c>
      <c r="J15" s="1954"/>
      <c r="K15" s="1954"/>
      <c r="L15" s="1951">
        <f t="shared" si="0"/>
        <v>20674</v>
      </c>
      <c r="M15" s="1954">
        <v>25657</v>
      </c>
    </row>
    <row r="16" spans="2:14" ht="20.100000000000001" customHeight="1" x14ac:dyDescent="0.25">
      <c r="B16" s="1948" t="s">
        <v>2120</v>
      </c>
      <c r="C16" s="1952">
        <v>84.367000000000004</v>
      </c>
      <c r="D16" s="1953" t="s">
        <v>2122</v>
      </c>
      <c r="E16" s="1955"/>
      <c r="F16" s="1955">
        <v>16649</v>
      </c>
      <c r="G16" s="1955"/>
      <c r="H16" s="1955"/>
      <c r="I16" s="1955">
        <v>23822</v>
      </c>
      <c r="J16" s="1955"/>
      <c r="K16" s="1955"/>
      <c r="L16" s="1955">
        <f t="shared" si="0"/>
        <v>23822</v>
      </c>
      <c r="M16" s="1955">
        <v>32581</v>
      </c>
    </row>
    <row r="17" spans="2:13" ht="20.100000000000001" customHeight="1" x14ac:dyDescent="0.25">
      <c r="B17" s="1948" t="s">
        <v>2123</v>
      </c>
      <c r="C17" s="1952"/>
      <c r="D17" s="1953"/>
      <c r="E17" s="1951"/>
      <c r="F17" s="1951"/>
      <c r="G17" s="1951"/>
      <c r="H17" s="1951"/>
      <c r="I17" s="1951"/>
      <c r="J17" s="1951"/>
      <c r="K17" s="1951"/>
      <c r="L17" s="1951"/>
      <c r="M17" s="1951"/>
    </row>
    <row r="18" spans="2:13" ht="20.100000000000001" customHeight="1" x14ac:dyDescent="0.25">
      <c r="B18" s="1948" t="s">
        <v>2124</v>
      </c>
      <c r="C18" s="1952"/>
      <c r="D18" s="1953"/>
      <c r="E18" s="1955">
        <f>SUM(E13:E17)</f>
        <v>120451</v>
      </c>
      <c r="F18" s="1955">
        <f t="shared" ref="F18:G18" si="1">SUM(F13:F17)</f>
        <v>189224</v>
      </c>
      <c r="G18" s="1955">
        <f t="shared" si="1"/>
        <v>173944</v>
      </c>
      <c r="H18" s="1955"/>
      <c r="I18" s="1955">
        <f>SUM(I13:I17)</f>
        <v>182105</v>
      </c>
      <c r="J18" s="1955"/>
      <c r="K18" s="1955"/>
      <c r="L18" s="1955">
        <f>SUM(L13:L17)</f>
        <v>356049</v>
      </c>
      <c r="M18" s="1955">
        <f>SUM(M13:M17)</f>
        <v>441036</v>
      </c>
    </row>
    <row r="19" spans="2:13" ht="20.100000000000001" customHeight="1" x14ac:dyDescent="0.25">
      <c r="B19" s="1948"/>
      <c r="C19" s="1952"/>
      <c r="D19" s="1953"/>
      <c r="E19" s="1951"/>
      <c r="F19" s="1951"/>
      <c r="G19" s="1951"/>
      <c r="H19" s="1951"/>
      <c r="I19" s="1951"/>
      <c r="J19" s="1951"/>
      <c r="K19" s="1951"/>
      <c r="L19" s="1951"/>
      <c r="M19" s="1951"/>
    </row>
    <row r="20" spans="2:13" ht="20.100000000000001" customHeight="1" x14ac:dyDescent="0.25">
      <c r="B20" s="1948" t="s">
        <v>2115</v>
      </c>
      <c r="C20" s="1952"/>
      <c r="D20" s="1953"/>
      <c r="E20" s="1954"/>
      <c r="F20" s="1954"/>
      <c r="G20" s="1954"/>
      <c r="H20" s="1954"/>
      <c r="I20" s="1954"/>
      <c r="J20" s="1954"/>
      <c r="K20" s="1954"/>
      <c r="L20" s="1951"/>
      <c r="M20" s="1954"/>
    </row>
    <row r="21" spans="2:13" ht="20.100000000000001" customHeight="1" x14ac:dyDescent="0.25">
      <c r="B21" s="1948" t="s">
        <v>2125</v>
      </c>
      <c r="C21" s="1952"/>
      <c r="D21" s="1953"/>
      <c r="E21" s="1954"/>
      <c r="F21" s="1954"/>
      <c r="G21" s="1954"/>
      <c r="H21" s="1954"/>
      <c r="I21" s="1954"/>
      <c r="J21" s="1954"/>
      <c r="K21" s="1954"/>
      <c r="L21" s="1951"/>
      <c r="M21" s="1954"/>
    </row>
    <row r="22" spans="2:13" ht="20.100000000000001" customHeight="1" x14ac:dyDescent="0.25">
      <c r="B22" s="1948" t="s">
        <v>2126</v>
      </c>
      <c r="C22" s="1952">
        <v>84.027000000000001</v>
      </c>
      <c r="D22" s="1953" t="s">
        <v>2127</v>
      </c>
      <c r="E22" s="1954">
        <v>11399</v>
      </c>
      <c r="F22" s="1954">
        <v>8086</v>
      </c>
      <c r="G22" s="1954">
        <v>11399</v>
      </c>
      <c r="H22" s="1954"/>
      <c r="I22" s="1954">
        <v>8086</v>
      </c>
      <c r="J22" s="1954"/>
      <c r="K22" s="1954"/>
      <c r="L22" s="1951">
        <f t="shared" si="0"/>
        <v>19485</v>
      </c>
      <c r="M22" s="1954">
        <v>19485</v>
      </c>
    </row>
    <row r="23" spans="2:13" ht="20.100000000000001" customHeight="1" x14ac:dyDescent="0.25">
      <c r="B23" s="1948" t="s">
        <v>2126</v>
      </c>
      <c r="C23" s="1952">
        <v>84.027000000000001</v>
      </c>
      <c r="D23" s="1953" t="s">
        <v>2128</v>
      </c>
      <c r="E23" s="1954"/>
      <c r="F23" s="1954">
        <v>11955</v>
      </c>
      <c r="G23" s="1954"/>
      <c r="H23" s="1954"/>
      <c r="I23" s="1954">
        <v>11955</v>
      </c>
      <c r="J23" s="1954"/>
      <c r="K23" s="1954"/>
      <c r="L23" s="1951">
        <f t="shared" si="0"/>
        <v>11955</v>
      </c>
      <c r="M23" s="1954">
        <v>11955</v>
      </c>
    </row>
    <row r="24" spans="2:13" ht="20.100000000000001" customHeight="1" x14ac:dyDescent="0.25">
      <c r="B24" s="1948" t="s">
        <v>2129</v>
      </c>
      <c r="C24" s="1952">
        <v>84.027000000000001</v>
      </c>
      <c r="D24" s="1953" t="s">
        <v>2130</v>
      </c>
      <c r="E24" s="1954">
        <v>121102</v>
      </c>
      <c r="F24" s="1954">
        <v>81432</v>
      </c>
      <c r="G24" s="1954">
        <v>121102</v>
      </c>
      <c r="H24" s="1954"/>
      <c r="I24" s="1954">
        <v>81432</v>
      </c>
      <c r="J24" s="1954"/>
      <c r="K24" s="1954"/>
      <c r="L24" s="1951">
        <f t="shared" si="0"/>
        <v>202534</v>
      </c>
      <c r="M24" s="1954">
        <v>202534</v>
      </c>
    </row>
    <row r="25" spans="2:13" ht="20.100000000000001" customHeight="1" x14ac:dyDescent="0.25">
      <c r="B25" s="1948" t="s">
        <v>2129</v>
      </c>
      <c r="C25" s="1952">
        <v>84.027000000000001</v>
      </c>
      <c r="D25" s="1953" t="s">
        <v>2131</v>
      </c>
      <c r="E25" s="1955"/>
      <c r="F25" s="1955">
        <v>116224</v>
      </c>
      <c r="G25" s="1955"/>
      <c r="H25" s="1955"/>
      <c r="I25" s="1955">
        <v>116224</v>
      </c>
      <c r="J25" s="1955"/>
      <c r="K25" s="1955"/>
      <c r="L25" s="1955">
        <f t="shared" si="0"/>
        <v>116224</v>
      </c>
      <c r="M25" s="1955">
        <v>116224</v>
      </c>
    </row>
    <row r="26" spans="2:13" ht="20.100000000000001" customHeight="1" x14ac:dyDescent="0.25">
      <c r="B26" s="1948" t="s">
        <v>2132</v>
      </c>
      <c r="C26" s="1952"/>
      <c r="D26" s="1953"/>
      <c r="E26" s="1951"/>
      <c r="F26" s="1951"/>
      <c r="G26" s="1951"/>
      <c r="H26" s="1951"/>
      <c r="I26" s="1951"/>
      <c r="J26" s="1951"/>
      <c r="K26" s="1951"/>
      <c r="L26" s="1951"/>
      <c r="M26" s="1951"/>
    </row>
    <row r="27" spans="2:13" ht="20.100000000000001" customHeight="1" x14ac:dyDescent="0.25">
      <c r="B27" s="1948" t="s">
        <v>2133</v>
      </c>
      <c r="C27" s="1952"/>
      <c r="D27" s="1953"/>
      <c r="E27" s="1955">
        <f>SUM(E22:E26)</f>
        <v>132501</v>
      </c>
      <c r="F27" s="1955">
        <f t="shared" ref="F27:G27" si="2">SUM(F22:F26)</f>
        <v>217697</v>
      </c>
      <c r="G27" s="1955">
        <f t="shared" si="2"/>
        <v>132501</v>
      </c>
      <c r="H27" s="1955"/>
      <c r="I27" s="1955">
        <f>SUM(I22:I26)</f>
        <v>217697</v>
      </c>
      <c r="J27" s="1955"/>
      <c r="K27" s="1955"/>
      <c r="L27" s="1955">
        <f>SUM(L22:L26)</f>
        <v>350198</v>
      </c>
      <c r="M27" s="1955">
        <f>SUM(M22:M26)</f>
        <v>350198</v>
      </c>
    </row>
    <row r="28" spans="2:13" ht="20.100000000000001" customHeight="1" x14ac:dyDescent="0.25">
      <c r="B28" s="1948"/>
      <c r="C28" s="1952"/>
      <c r="D28" s="1953"/>
      <c r="E28" s="1951"/>
      <c r="F28" s="1951"/>
      <c r="G28" s="1951"/>
      <c r="H28" s="1951"/>
      <c r="I28" s="1951"/>
      <c r="J28" s="1951"/>
      <c r="K28" s="1951"/>
      <c r="L28" s="1951"/>
      <c r="M28" s="1951"/>
    </row>
    <row r="29" spans="2:13" ht="20.100000000000001" customHeight="1" x14ac:dyDescent="0.25">
      <c r="B29" s="1948" t="s">
        <v>2134</v>
      </c>
      <c r="C29" s="1952"/>
      <c r="D29" s="1953"/>
      <c r="E29" s="1954"/>
      <c r="F29" s="1954"/>
      <c r="G29" s="1954"/>
      <c r="H29" s="1954"/>
      <c r="I29" s="1954"/>
      <c r="J29" s="1954"/>
      <c r="K29" s="1954"/>
      <c r="L29" s="1951"/>
      <c r="M29" s="1954"/>
    </row>
    <row r="30" spans="2:13" ht="20.100000000000001" customHeight="1" x14ac:dyDescent="0.25">
      <c r="B30" s="1948" t="s">
        <v>2135</v>
      </c>
      <c r="C30" s="1952"/>
      <c r="D30" s="1953"/>
      <c r="E30" s="1954"/>
      <c r="F30" s="1954"/>
      <c r="G30" s="1954"/>
      <c r="H30" s="1954"/>
      <c r="I30" s="1954"/>
      <c r="J30" s="1954"/>
      <c r="K30" s="1954"/>
      <c r="L30" s="1951"/>
      <c r="M30" s="1954"/>
    </row>
    <row r="31" spans="2:13" ht="20.100000000000001" customHeight="1" x14ac:dyDescent="0.25">
      <c r="B31" s="1948" t="s">
        <v>2136</v>
      </c>
      <c r="C31" s="1952"/>
      <c r="D31" s="1953"/>
      <c r="E31" s="1954"/>
      <c r="F31" s="1954"/>
      <c r="G31" s="1954"/>
      <c r="H31" s="1954"/>
      <c r="I31" s="1954"/>
      <c r="J31" s="1954"/>
      <c r="K31" s="1954"/>
      <c r="L31" s="1951"/>
      <c r="M31" s="1954"/>
    </row>
    <row r="32" spans="2:13" ht="20.100000000000001" customHeight="1" x14ac:dyDescent="0.25">
      <c r="B32" s="1948" t="s">
        <v>2137</v>
      </c>
      <c r="C32" s="1952">
        <v>84.195999999999998</v>
      </c>
      <c r="D32" s="1953" t="s">
        <v>2138</v>
      </c>
      <c r="E32" s="1955"/>
      <c r="F32" s="1955">
        <v>1000</v>
      </c>
      <c r="G32" s="1955"/>
      <c r="H32" s="1955"/>
      <c r="I32" s="1955">
        <v>0</v>
      </c>
      <c r="J32" s="1955"/>
      <c r="K32" s="1955"/>
      <c r="L32" s="1955">
        <f t="shared" si="0"/>
        <v>0</v>
      </c>
      <c r="M32" s="1955" t="s">
        <v>2139</v>
      </c>
    </row>
    <row r="33" spans="2:13" ht="20.100000000000001" customHeight="1" x14ac:dyDescent="0.25">
      <c r="B33" s="1948"/>
      <c r="C33" s="1952"/>
      <c r="D33" s="1953"/>
      <c r="E33" s="1951"/>
      <c r="F33" s="1951"/>
      <c r="G33" s="1951"/>
      <c r="H33" s="1951"/>
      <c r="I33" s="1951"/>
      <c r="J33" s="1951"/>
      <c r="K33" s="1951"/>
      <c r="L33" s="1951"/>
      <c r="M33" s="1951"/>
    </row>
    <row r="34" spans="2:13" ht="20.100000000000001" customHeight="1" x14ac:dyDescent="0.25">
      <c r="B34" s="1948" t="s">
        <v>2140</v>
      </c>
      <c r="C34" s="1952"/>
      <c r="D34" s="1953"/>
      <c r="E34" s="1955">
        <f>+E18+E27+E32</f>
        <v>252952</v>
      </c>
      <c r="F34" s="1955">
        <f t="shared" ref="F34:I34" si="3">+F18+F27+F32</f>
        <v>407921</v>
      </c>
      <c r="G34" s="1955">
        <f t="shared" si="3"/>
        <v>306445</v>
      </c>
      <c r="H34" s="1955"/>
      <c r="I34" s="1955">
        <f t="shared" si="3"/>
        <v>399802</v>
      </c>
      <c r="J34" s="1955"/>
      <c r="K34" s="1955"/>
      <c r="L34" s="1955">
        <f t="shared" ref="L34" si="4">+L18+L27+L32</f>
        <v>706247</v>
      </c>
      <c r="M34" s="1955" t="s">
        <v>2139</v>
      </c>
    </row>
    <row r="35" spans="2:13" ht="20.100000000000001" customHeight="1" x14ac:dyDescent="0.25">
      <c r="B35" s="1948"/>
      <c r="C35" s="1952"/>
      <c r="D35" s="1953"/>
      <c r="E35" s="1951"/>
      <c r="F35" s="1951"/>
      <c r="G35" s="1951"/>
      <c r="H35" s="1951"/>
      <c r="I35" s="1951"/>
      <c r="J35" s="1951"/>
      <c r="K35" s="1951"/>
      <c r="L35" s="1951"/>
      <c r="M35" s="1951"/>
    </row>
    <row r="36" spans="2:13" ht="20.100000000000001" customHeight="1" x14ac:dyDescent="0.25">
      <c r="B36" s="1948" t="s">
        <v>2141</v>
      </c>
      <c r="C36" s="1952"/>
      <c r="D36" s="1953"/>
      <c r="E36" s="1954"/>
      <c r="F36" s="1954"/>
      <c r="G36" s="1954"/>
      <c r="H36" s="1954"/>
      <c r="I36" s="1954"/>
      <c r="J36" s="1954"/>
      <c r="K36" s="1954"/>
      <c r="L36" s="1951"/>
      <c r="M36" s="1954"/>
    </row>
    <row r="37" spans="2:13" ht="20.100000000000001" customHeight="1" x14ac:dyDescent="0.25">
      <c r="B37" s="1948" t="s">
        <v>2142</v>
      </c>
      <c r="C37" s="1952"/>
      <c r="D37" s="1953"/>
      <c r="E37" s="1954"/>
      <c r="F37" s="1954"/>
      <c r="G37" s="1954"/>
      <c r="H37" s="1954"/>
      <c r="I37" s="1954"/>
      <c r="J37" s="1954"/>
      <c r="K37" s="1954"/>
      <c r="L37" s="1951"/>
      <c r="M37" s="1954"/>
    </row>
    <row r="38" spans="2:13" ht="20.100000000000001" customHeight="1" x14ac:dyDescent="0.25">
      <c r="B38" s="1948" t="s">
        <v>2143</v>
      </c>
      <c r="C38" s="1952"/>
      <c r="D38" s="1953"/>
      <c r="E38" s="1954"/>
      <c r="F38" s="1954"/>
      <c r="G38" s="1954"/>
      <c r="H38" s="1954"/>
      <c r="I38" s="1954"/>
      <c r="J38" s="1954"/>
      <c r="K38" s="1954"/>
      <c r="L38" s="1951"/>
      <c r="M38" s="1954"/>
    </row>
    <row r="39" spans="2:13" ht="20.100000000000001" customHeight="1" x14ac:dyDescent="0.25">
      <c r="B39" s="1948" t="s">
        <v>2170</v>
      </c>
      <c r="C39" s="1952">
        <v>93.771000000000001</v>
      </c>
      <c r="D39" s="1953" t="s">
        <v>2144</v>
      </c>
      <c r="E39" s="1954">
        <v>7935</v>
      </c>
      <c r="F39" s="1954">
        <v>2489</v>
      </c>
      <c r="G39" s="1954">
        <v>7935</v>
      </c>
      <c r="H39" s="1954"/>
      <c r="I39" s="1954">
        <v>2489</v>
      </c>
      <c r="J39" s="1954"/>
      <c r="K39" s="1954"/>
      <c r="L39" s="1951">
        <f t="shared" si="0"/>
        <v>10424</v>
      </c>
      <c r="M39" s="1954" t="s">
        <v>2139</v>
      </c>
    </row>
    <row r="40" spans="2:13" ht="20.100000000000001" customHeight="1" x14ac:dyDescent="0.25">
      <c r="B40" s="1948" t="s">
        <v>2170</v>
      </c>
      <c r="C40" s="1952">
        <v>93.778000000000006</v>
      </c>
      <c r="D40" s="1953" t="s">
        <v>2145</v>
      </c>
      <c r="E40" s="1955"/>
      <c r="F40" s="1955">
        <v>11069</v>
      </c>
      <c r="G40" s="1955"/>
      <c r="H40" s="1955"/>
      <c r="I40" s="1955">
        <v>11069</v>
      </c>
      <c r="J40" s="1955"/>
      <c r="K40" s="1955"/>
      <c r="L40" s="1955">
        <f t="shared" si="0"/>
        <v>11069</v>
      </c>
      <c r="M40" s="1955" t="s">
        <v>2139</v>
      </c>
    </row>
    <row r="41" spans="2:13" ht="20.100000000000001" customHeight="1" x14ac:dyDescent="0.25">
      <c r="B41" s="1948" t="s">
        <v>2146</v>
      </c>
      <c r="C41" s="1952"/>
      <c r="D41" s="1953"/>
      <c r="E41" s="1951"/>
      <c r="F41" s="1951"/>
      <c r="G41" s="1951"/>
      <c r="H41" s="1951"/>
      <c r="I41" s="1951"/>
      <c r="J41" s="1951"/>
      <c r="K41" s="1951"/>
      <c r="L41" s="1951"/>
      <c r="M41" s="1951"/>
    </row>
    <row r="42" spans="2:13" ht="20.100000000000001" customHeight="1" x14ac:dyDescent="0.25">
      <c r="B42" s="1948" t="s">
        <v>2147</v>
      </c>
      <c r="C42" s="1952"/>
      <c r="D42" s="1953"/>
      <c r="E42" s="1955">
        <f>SUM(E39:E41)</f>
        <v>7935</v>
      </c>
      <c r="F42" s="1955">
        <f t="shared" ref="F42:G42" si="5">SUM(F39:F41)</f>
        <v>13558</v>
      </c>
      <c r="G42" s="1955">
        <f t="shared" si="5"/>
        <v>7935</v>
      </c>
      <c r="H42" s="1955"/>
      <c r="I42" s="1955">
        <f>SUM(I39:I41)</f>
        <v>13558</v>
      </c>
      <c r="J42" s="1955"/>
      <c r="K42" s="1955"/>
      <c r="L42" s="1955">
        <f>SUM(L39:L41)</f>
        <v>21493</v>
      </c>
      <c r="M42" s="1955" t="s">
        <v>2139</v>
      </c>
    </row>
    <row r="43" spans="2:13" ht="20.100000000000001" customHeight="1" x14ac:dyDescent="0.25">
      <c r="B43" s="1948"/>
      <c r="C43" s="1952"/>
      <c r="D43" s="1953"/>
      <c r="E43" s="1951"/>
      <c r="F43" s="1951"/>
      <c r="G43" s="1951"/>
      <c r="H43" s="1951"/>
      <c r="I43" s="1951"/>
      <c r="J43" s="1951"/>
      <c r="K43" s="1951"/>
      <c r="L43" s="1951">
        <f t="shared" si="0"/>
        <v>0</v>
      </c>
      <c r="M43" s="1951"/>
    </row>
    <row r="44" spans="2:13" ht="20.100000000000001" customHeight="1" x14ac:dyDescent="0.25">
      <c r="B44" s="1948" t="s">
        <v>2148</v>
      </c>
      <c r="C44" s="1952"/>
      <c r="D44" s="1953"/>
      <c r="E44" s="1954"/>
      <c r="F44" s="1954"/>
      <c r="G44" s="1954"/>
      <c r="H44" s="1954"/>
      <c r="I44" s="1954"/>
      <c r="J44" s="1954"/>
      <c r="K44" s="1954"/>
      <c r="L44" s="1951">
        <f t="shared" si="0"/>
        <v>0</v>
      </c>
      <c r="M44" s="1954"/>
    </row>
    <row r="45" spans="2:13" ht="20.100000000000001" customHeight="1" x14ac:dyDescent="0.25">
      <c r="B45" s="1948" t="s">
        <v>2149</v>
      </c>
      <c r="C45" s="1952"/>
      <c r="D45" s="1953"/>
      <c r="E45" s="1954"/>
      <c r="F45" s="1954"/>
      <c r="G45" s="1954"/>
      <c r="H45" s="1954"/>
      <c r="I45" s="1954"/>
      <c r="J45" s="1954"/>
      <c r="K45" s="1954"/>
      <c r="L45" s="1951">
        <f t="shared" si="0"/>
        <v>0</v>
      </c>
      <c r="M45" s="1954"/>
    </row>
    <row r="46" spans="2:13" ht="20.100000000000001" customHeight="1" x14ac:dyDescent="0.25">
      <c r="B46" s="1948" t="s">
        <v>2150</v>
      </c>
      <c r="C46" s="1952" t="s">
        <v>2151</v>
      </c>
      <c r="D46" s="1953" t="s">
        <v>2152</v>
      </c>
      <c r="E46" s="1954">
        <v>236622</v>
      </c>
      <c r="F46" s="1954">
        <v>41079</v>
      </c>
      <c r="G46" s="1954">
        <v>236622</v>
      </c>
      <c r="H46" s="1954"/>
      <c r="I46" s="1954">
        <v>41079</v>
      </c>
      <c r="J46" s="1954"/>
      <c r="K46" s="1954"/>
      <c r="L46" s="1951">
        <f t="shared" si="0"/>
        <v>277701</v>
      </c>
      <c r="M46" s="1954" t="s">
        <v>2139</v>
      </c>
    </row>
    <row r="47" spans="2:13" ht="20.100000000000001" customHeight="1" x14ac:dyDescent="0.25">
      <c r="B47" s="1948" t="s">
        <v>2150</v>
      </c>
      <c r="C47" s="1952">
        <v>10.555</v>
      </c>
      <c r="D47" s="1953" t="s">
        <v>2153</v>
      </c>
      <c r="E47" s="1954"/>
      <c r="F47" s="1954">
        <v>230291</v>
      </c>
      <c r="G47" s="1954"/>
      <c r="H47" s="1954"/>
      <c r="I47" s="1954">
        <v>230291</v>
      </c>
      <c r="J47" s="1954"/>
      <c r="K47" s="1954"/>
      <c r="L47" s="1951">
        <f t="shared" si="0"/>
        <v>230291</v>
      </c>
      <c r="M47" s="1954" t="s">
        <v>2139</v>
      </c>
    </row>
    <row r="48" spans="2:13" ht="20.100000000000001" customHeight="1" x14ac:dyDescent="0.25">
      <c r="B48" s="1948" t="s">
        <v>2154</v>
      </c>
      <c r="C48" s="1952">
        <v>10.553000000000001</v>
      </c>
      <c r="D48" s="1953" t="s">
        <v>2155</v>
      </c>
      <c r="E48" s="1954">
        <v>92394</v>
      </c>
      <c r="F48" s="1954">
        <v>31287</v>
      </c>
      <c r="G48" s="1954">
        <v>92394</v>
      </c>
      <c r="H48" s="1954"/>
      <c r="I48" s="1954">
        <v>31287</v>
      </c>
      <c r="J48" s="1954"/>
      <c r="K48" s="1954"/>
      <c r="L48" s="1951">
        <f t="shared" si="0"/>
        <v>123681</v>
      </c>
      <c r="M48" s="1954" t="s">
        <v>2139</v>
      </c>
    </row>
    <row r="49" spans="2:14" ht="20.100000000000001" customHeight="1" x14ac:dyDescent="0.25">
      <c r="B49" s="1948" t="s">
        <v>2154</v>
      </c>
      <c r="C49" s="1952">
        <v>10.553000000000001</v>
      </c>
      <c r="D49" s="1953" t="s">
        <v>2156</v>
      </c>
      <c r="E49" s="1954"/>
      <c r="F49" s="1954">
        <v>173350</v>
      </c>
      <c r="G49" s="1954"/>
      <c r="H49" s="1954"/>
      <c r="I49" s="1954">
        <v>173350</v>
      </c>
      <c r="J49" s="1954"/>
      <c r="K49" s="1954"/>
      <c r="L49" s="1951">
        <f t="shared" si="0"/>
        <v>173350</v>
      </c>
      <c r="M49" s="1954" t="s">
        <v>2139</v>
      </c>
    </row>
    <row r="50" spans="2:14" ht="20.100000000000001" customHeight="1" x14ac:dyDescent="0.25">
      <c r="B50" s="1948" t="s">
        <v>2157</v>
      </c>
      <c r="C50" s="1952">
        <v>10.555</v>
      </c>
      <c r="D50" s="1953"/>
      <c r="E50" s="1954"/>
      <c r="F50" s="1954">
        <v>34918</v>
      </c>
      <c r="G50" s="1954"/>
      <c r="H50" s="1954"/>
      <c r="I50" s="1954">
        <v>34918</v>
      </c>
      <c r="J50" s="1954"/>
      <c r="K50" s="1954"/>
      <c r="L50" s="1951">
        <f t="shared" si="0"/>
        <v>34918</v>
      </c>
      <c r="M50" s="1954" t="s">
        <v>2139</v>
      </c>
    </row>
    <row r="51" spans="2:14" ht="20.100000000000001" customHeight="1" x14ac:dyDescent="0.25">
      <c r="B51" s="1948" t="s">
        <v>2158</v>
      </c>
      <c r="C51" s="1952"/>
      <c r="D51" s="1953"/>
      <c r="E51" s="1954"/>
      <c r="F51" s="1954"/>
      <c r="G51" s="1954"/>
      <c r="H51" s="1954"/>
      <c r="I51" s="1954"/>
      <c r="J51" s="1954"/>
      <c r="K51" s="1954"/>
      <c r="L51" s="1951">
        <f t="shared" si="0"/>
        <v>0</v>
      </c>
      <c r="M51" s="1954"/>
    </row>
    <row r="52" spans="2:14" ht="20.100000000000001" customHeight="1" x14ac:dyDescent="0.25">
      <c r="B52" s="1948" t="s">
        <v>2159</v>
      </c>
      <c r="C52" s="1952">
        <v>10.555</v>
      </c>
      <c r="D52" s="1953"/>
      <c r="E52" s="1955"/>
      <c r="F52" s="1955">
        <v>7174</v>
      </c>
      <c r="G52" s="1955"/>
      <c r="H52" s="1955"/>
      <c r="I52" s="1955">
        <v>7174</v>
      </c>
      <c r="J52" s="1955"/>
      <c r="K52" s="1955"/>
      <c r="L52" s="1955">
        <f t="shared" si="0"/>
        <v>7174</v>
      </c>
      <c r="M52" s="1955" t="s">
        <v>2139</v>
      </c>
    </row>
    <row r="53" spans="2:14" ht="20.100000000000001" customHeight="1" x14ac:dyDescent="0.25">
      <c r="B53" s="1948" t="s">
        <v>2160</v>
      </c>
      <c r="C53" s="1952"/>
      <c r="D53" s="1953"/>
      <c r="E53" s="1956">
        <f>SUM(E46:E52)</f>
        <v>329016</v>
      </c>
      <c r="F53" s="1956">
        <f t="shared" ref="F53:G53" si="6">SUM(F46:F52)</f>
        <v>518099</v>
      </c>
      <c r="G53" s="1956">
        <f t="shared" si="6"/>
        <v>329016</v>
      </c>
      <c r="H53" s="1956"/>
      <c r="I53" s="1956">
        <f>SUM(I46:I52)</f>
        <v>518099</v>
      </c>
      <c r="J53" s="1956"/>
      <c r="K53" s="1956"/>
      <c r="L53" s="1956">
        <f t="shared" si="0"/>
        <v>847115</v>
      </c>
      <c r="M53" s="1956"/>
    </row>
    <row r="54" spans="2:14" ht="20.100000000000001" customHeight="1" x14ac:dyDescent="0.25">
      <c r="B54" s="1948"/>
      <c r="C54" s="1952"/>
      <c r="D54" s="1953"/>
      <c r="E54" s="1951"/>
      <c r="F54" s="1951"/>
      <c r="G54" s="1951"/>
      <c r="H54" s="1951"/>
      <c r="I54" s="1951"/>
      <c r="J54" s="1951"/>
      <c r="K54" s="1951"/>
      <c r="L54" s="1951">
        <f t="shared" si="0"/>
        <v>0</v>
      </c>
      <c r="M54" s="1951"/>
    </row>
    <row r="55" spans="2:14" ht="20.100000000000001" customHeight="1" thickBot="1" x14ac:dyDescent="0.3">
      <c r="B55" s="1948" t="s">
        <v>2161</v>
      </c>
      <c r="C55" s="1952"/>
      <c r="D55" s="1953"/>
      <c r="E55" s="1957">
        <f>E34+E42+E53</f>
        <v>589903</v>
      </c>
      <c r="F55" s="1957">
        <f t="shared" ref="F55:I55" si="7">F34+F42+F53</f>
        <v>939578</v>
      </c>
      <c r="G55" s="1957">
        <f t="shared" si="7"/>
        <v>643396</v>
      </c>
      <c r="H55" s="1957"/>
      <c r="I55" s="1957">
        <f t="shared" si="7"/>
        <v>931459</v>
      </c>
      <c r="J55" s="1957"/>
      <c r="K55" s="1957"/>
      <c r="L55" s="1957">
        <f t="shared" si="0"/>
        <v>1574855</v>
      </c>
      <c r="M55" s="1957" t="s">
        <v>2139</v>
      </c>
    </row>
    <row r="56" spans="2:14" ht="20.100000000000001" customHeight="1" thickTop="1" x14ac:dyDescent="0.25">
      <c r="B56" s="1948"/>
      <c r="C56" s="1952"/>
      <c r="D56" s="1953"/>
      <c r="E56" s="1951"/>
      <c r="F56" s="1951"/>
      <c r="G56" s="1951"/>
      <c r="H56" s="1951"/>
      <c r="I56" s="1951"/>
      <c r="J56" s="1951"/>
      <c r="K56" s="1951"/>
      <c r="L56" s="1951">
        <f t="shared" si="0"/>
        <v>0</v>
      </c>
      <c r="M56" s="1951"/>
    </row>
    <row r="57" spans="2:14" ht="20.100000000000001" customHeight="1" x14ac:dyDescent="0.25">
      <c r="B57" s="1948"/>
      <c r="C57" s="1952"/>
      <c r="D57" s="1953"/>
      <c r="E57" s="1954"/>
      <c r="F57" s="1954"/>
      <c r="G57" s="1954"/>
      <c r="H57" s="1954"/>
      <c r="I57" s="1954"/>
      <c r="J57" s="1954"/>
      <c r="K57" s="1954"/>
      <c r="L57" s="1951">
        <f t="shared" si="0"/>
        <v>0</v>
      </c>
      <c r="M57" s="1954"/>
      <c r="N57" s="1337"/>
    </row>
    <row r="58" spans="2:14" ht="12.75" customHeight="1" x14ac:dyDescent="0.2">
      <c r="B58" s="1338"/>
      <c r="C58" s="1339"/>
      <c r="D58" s="1340"/>
      <c r="E58" s="1341"/>
      <c r="F58" s="1341"/>
      <c r="G58" s="1341"/>
      <c r="H58" s="1341"/>
      <c r="I58" s="1341"/>
      <c r="J58" s="1341"/>
      <c r="K58" s="1341"/>
      <c r="L58" s="1341"/>
      <c r="M58" s="1341"/>
      <c r="N58" s="1337"/>
    </row>
    <row r="59" spans="2:14" x14ac:dyDescent="0.2">
      <c r="B59" s="1257"/>
      <c r="C59" s="1342"/>
      <c r="D59" s="1343"/>
      <c r="E59" s="1257"/>
      <c r="F59" s="1257"/>
      <c r="G59" s="1250"/>
      <c r="H59" s="1250"/>
      <c r="I59" s="1250"/>
      <c r="J59" s="1250"/>
      <c r="K59" s="1250"/>
      <c r="L59" s="1250"/>
      <c r="M59" s="1257"/>
      <c r="N59" s="1337"/>
    </row>
    <row r="60" spans="2:14" ht="13.5" customHeight="1" x14ac:dyDescent="0.2">
      <c r="B60" s="1282" t="s">
        <v>1837</v>
      </c>
      <c r="C60" s="1342"/>
      <c r="D60" s="1343"/>
      <c r="E60" s="1257"/>
      <c r="F60" s="1257"/>
      <c r="G60" s="1250"/>
      <c r="H60" s="1250"/>
      <c r="I60" s="1250"/>
      <c r="J60" s="1250"/>
      <c r="K60" s="1250"/>
      <c r="L60" s="1250"/>
      <c r="M60" s="1257"/>
      <c r="N60" s="1337"/>
    </row>
    <row r="61" spans="2:14" ht="8.25" customHeight="1" x14ac:dyDescent="0.2">
      <c r="B61" s="1282"/>
      <c r="C61" s="1342"/>
      <c r="D61" s="1343"/>
      <c r="E61" s="1257"/>
      <c r="F61" s="1257"/>
      <c r="G61" s="1250"/>
      <c r="H61" s="1250"/>
      <c r="I61" s="1250"/>
      <c r="J61" s="1250"/>
      <c r="K61" s="1250"/>
      <c r="L61" s="1250"/>
      <c r="M61" s="1257"/>
      <c r="N61" s="1337"/>
    </row>
    <row r="62" spans="2:14" x14ac:dyDescent="0.2">
      <c r="B62" s="1344" t="s">
        <v>1947</v>
      </c>
      <c r="C62" s="1345"/>
      <c r="D62" s="1346"/>
      <c r="E62" s="1347"/>
      <c r="F62" s="1347"/>
      <c r="G62" s="1347"/>
      <c r="H62" s="1347"/>
      <c r="I62" s="317"/>
      <c r="J62" s="317"/>
    </row>
    <row r="63" spans="2:14" x14ac:dyDescent="0.2">
      <c r="B63" s="1277"/>
      <c r="C63" s="1348"/>
      <c r="D63" s="1349"/>
      <c r="E63" s="1278"/>
      <c r="F63" s="1278"/>
      <c r="G63" s="317"/>
      <c r="H63" s="317"/>
      <c r="I63" s="317"/>
      <c r="J63" s="317"/>
    </row>
    <row r="64" spans="2:14" ht="13.5" customHeight="1" x14ac:dyDescent="0.2">
      <c r="B64" s="1276" t="s">
        <v>1307</v>
      </c>
      <c r="G64" s="317"/>
      <c r="H64" s="317"/>
      <c r="I64" s="317"/>
      <c r="J64" s="317"/>
    </row>
    <row r="65" spans="2:13" ht="13.5" customHeight="1" x14ac:dyDescent="0.2">
      <c r="B65" s="1352"/>
      <c r="C65" s="1353"/>
      <c r="D65" s="1354"/>
      <c r="E65" s="1297"/>
      <c r="F65" s="1297"/>
      <c r="G65" s="1297"/>
      <c r="H65" s="1297"/>
      <c r="I65" s="1297"/>
      <c r="J65" s="1297"/>
      <c r="K65" s="1355"/>
      <c r="L65" s="1355"/>
      <c r="M65" s="1297"/>
    </row>
    <row r="66" spans="2:13" ht="9.6" customHeight="1" x14ac:dyDescent="0.2">
      <c r="B66" s="1356"/>
      <c r="G66" s="317"/>
      <c r="H66" s="317"/>
      <c r="I66" s="317"/>
      <c r="J66" s="317"/>
    </row>
    <row r="67" spans="2:13" ht="11.25" customHeight="1" x14ac:dyDescent="0.2">
      <c r="B67" s="1357" t="s">
        <v>1838</v>
      </c>
      <c r="C67" s="1358"/>
      <c r="D67" s="1358"/>
      <c r="E67" s="1358"/>
      <c r="F67" s="1358"/>
      <c r="G67" s="1358"/>
      <c r="H67" s="1358"/>
      <c r="I67" s="1359"/>
      <c r="J67" s="1359"/>
      <c r="K67" s="1359"/>
      <c r="L67" s="1359"/>
      <c r="M67" s="1359"/>
    </row>
    <row r="68" spans="2:13" ht="11.25" customHeight="1" x14ac:dyDescent="0.2">
      <c r="B68" s="1360" t="s">
        <v>1665</v>
      </c>
      <c r="C68" s="1359"/>
      <c r="D68" s="1359"/>
      <c r="E68" s="1359"/>
      <c r="F68" s="1359"/>
      <c r="G68" s="1359"/>
      <c r="H68" s="1359"/>
      <c r="I68" s="1359"/>
      <c r="J68" s="1359"/>
      <c r="K68" s="1359"/>
      <c r="L68" s="1359"/>
      <c r="M68" s="1359"/>
    </row>
    <row r="69" spans="2:13" ht="3.95" customHeight="1" x14ac:dyDescent="0.2">
      <c r="B69" s="1360"/>
      <c r="C69" s="1359"/>
      <c r="D69" s="1359"/>
      <c r="E69" s="1359"/>
      <c r="F69" s="1359"/>
      <c r="G69" s="1359"/>
      <c r="H69" s="1359"/>
      <c r="I69" s="1359"/>
      <c r="J69" s="1359"/>
      <c r="K69" s="1359"/>
      <c r="L69" s="1359"/>
      <c r="M69" s="1359"/>
    </row>
    <row r="70" spans="2:13" ht="11.25" customHeight="1" x14ac:dyDescent="0.2">
      <c r="B70" s="1357" t="s">
        <v>1839</v>
      </c>
      <c r="C70" s="1359"/>
      <c r="D70" s="1359"/>
      <c r="E70" s="1359"/>
      <c r="F70" s="1359"/>
      <c r="G70" s="1359"/>
      <c r="H70" s="1359"/>
      <c r="I70" s="1359"/>
      <c r="J70" s="1359"/>
      <c r="K70" s="1359"/>
      <c r="L70" s="1359"/>
      <c r="M70" s="1359"/>
    </row>
    <row r="71" spans="2:13" ht="11.25" customHeight="1" x14ac:dyDescent="0.2">
      <c r="B71" s="1300" t="s">
        <v>1666</v>
      </c>
      <c r="C71" s="1361"/>
      <c r="D71" s="1362"/>
      <c r="E71" s="1300"/>
      <c r="F71" s="1300"/>
      <c r="G71" s="1300"/>
      <c r="H71" s="1300"/>
      <c r="I71" s="1300"/>
      <c r="J71" s="1300"/>
      <c r="K71" s="1363"/>
      <c r="L71" s="1363"/>
      <c r="M71" s="1300"/>
    </row>
    <row r="72" spans="2:13" ht="3.95" customHeight="1" x14ac:dyDescent="0.2">
      <c r="B72" s="1300"/>
      <c r="C72" s="1361"/>
      <c r="D72" s="1362"/>
      <c r="E72" s="1300"/>
      <c r="F72" s="1300"/>
      <c r="G72" s="1300"/>
      <c r="H72" s="1300"/>
      <c r="I72" s="1300"/>
      <c r="J72" s="1300"/>
      <c r="K72" s="1363"/>
      <c r="L72" s="1363"/>
      <c r="M72" s="1300"/>
    </row>
    <row r="73" spans="2:13" ht="11.25" customHeight="1" x14ac:dyDescent="0.2">
      <c r="B73" s="1364" t="s">
        <v>1840</v>
      </c>
      <c r="C73" s="1361"/>
      <c r="D73" s="1362"/>
      <c r="E73" s="1300"/>
      <c r="F73" s="1300"/>
      <c r="G73" s="1300"/>
      <c r="H73" s="1300"/>
      <c r="I73" s="1300"/>
      <c r="J73" s="1300"/>
      <c r="K73" s="1363"/>
      <c r="L73" s="1363"/>
      <c r="M73" s="1300"/>
    </row>
    <row r="74" spans="2:13" ht="3.95" customHeight="1" x14ac:dyDescent="0.2">
      <c r="B74" s="1364"/>
      <c r="C74" s="1361"/>
      <c r="D74" s="1362"/>
      <c r="E74" s="1300"/>
      <c r="F74" s="1300"/>
      <c r="G74" s="1300"/>
      <c r="H74" s="1300"/>
      <c r="I74" s="1300"/>
      <c r="J74" s="1300"/>
      <c r="K74" s="1363"/>
      <c r="L74" s="1363"/>
      <c r="M74" s="1300"/>
    </row>
    <row r="75" spans="2:13" ht="11.25" customHeight="1" x14ac:dyDescent="0.2">
      <c r="B75" s="1365" t="s">
        <v>1841</v>
      </c>
      <c r="C75" s="1361"/>
      <c r="D75" s="1362"/>
      <c r="E75" s="1300"/>
      <c r="F75" s="1300"/>
      <c r="G75" s="1300"/>
      <c r="H75" s="1300"/>
      <c r="I75" s="1300"/>
      <c r="J75" s="1300"/>
      <c r="K75" s="1363"/>
      <c r="L75" s="1363"/>
      <c r="M75" s="1300"/>
    </row>
    <row r="76" spans="2:13" ht="11.25" customHeight="1" x14ac:dyDescent="0.2">
      <c r="B76" s="1300" t="s">
        <v>1667</v>
      </c>
      <c r="G76" s="317"/>
      <c r="H76" s="317"/>
      <c r="I76" s="317"/>
      <c r="J76" s="317"/>
    </row>
    <row r="77" spans="2:13" ht="11.1" customHeight="1" x14ac:dyDescent="0.2">
      <c r="B77" s="1300"/>
      <c r="G77" s="317"/>
      <c r="H77" s="317"/>
      <c r="I77" s="317"/>
      <c r="J77" s="317"/>
    </row>
    <row r="78" spans="2:13" ht="11.1" customHeight="1" x14ac:dyDescent="0.2">
      <c r="B78" s="1300"/>
      <c r="G78" s="317"/>
      <c r="H78" s="317"/>
      <c r="I78" s="317"/>
      <c r="J78" s="317"/>
    </row>
    <row r="79" spans="2:13" ht="13.5" customHeight="1" x14ac:dyDescent="0.2">
      <c r="M79" s="1366"/>
    </row>
    <row r="80" spans="2:13" ht="13.5" customHeight="1" x14ac:dyDescent="0.2">
      <c r="M80" s="1366"/>
    </row>
    <row r="81" spans="7:13" ht="13.5" customHeight="1" x14ac:dyDescent="0.2">
      <c r="M81" s="1366"/>
    </row>
    <row r="82" spans="7:13" ht="13.5" customHeight="1" x14ac:dyDescent="0.2">
      <c r="G82" s="317"/>
      <c r="H82" s="317"/>
      <c r="I82" s="317"/>
      <c r="J82" s="317"/>
    </row>
    <row r="83" spans="7:13" ht="13.5" customHeight="1" x14ac:dyDescent="0.2">
      <c r="G83" s="317"/>
      <c r="H83" s="317"/>
      <c r="I83" s="317"/>
      <c r="J83" s="317"/>
    </row>
    <row r="84" spans="7:13" ht="13.5" customHeight="1" x14ac:dyDescent="0.2">
      <c r="G84" s="317"/>
      <c r="H84" s="317"/>
      <c r="I84" s="317"/>
      <c r="J84" s="317"/>
    </row>
    <row r="85" spans="7:13" ht="13.5" customHeight="1" x14ac:dyDescent="0.2">
      <c r="G85" s="317"/>
      <c r="H85" s="317"/>
      <c r="I85" s="317"/>
      <c r="J85" s="317"/>
    </row>
    <row r="86" spans="7:13" ht="13.5" customHeight="1" x14ac:dyDescent="0.2">
      <c r="G86" s="317"/>
      <c r="H86" s="317"/>
      <c r="I86" s="317"/>
      <c r="J86" s="317"/>
    </row>
    <row r="87" spans="7:13" ht="13.5" customHeight="1" x14ac:dyDescent="0.2">
      <c r="G87" s="317"/>
      <c r="H87" s="317"/>
      <c r="I87" s="317"/>
      <c r="J87" s="317"/>
    </row>
    <row r="88" spans="7:13" ht="13.5" customHeight="1" x14ac:dyDescent="0.2">
      <c r="G88" s="317"/>
      <c r="H88" s="317"/>
      <c r="I88" s="317"/>
      <c r="J88" s="317"/>
    </row>
    <row r="89" spans="7:13" ht="13.5" customHeight="1" x14ac:dyDescent="0.2"/>
    <row r="90" spans="7:13" ht="13.5" customHeight="1" x14ac:dyDescent="0.2"/>
    <row r="91" spans="7:13" ht="13.5" customHeight="1" x14ac:dyDescent="0.2"/>
    <row r="92" spans="7:13" ht="25.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4.7" customHeight="1" x14ac:dyDescent="0.2"/>
    <row r="142" ht="12.2"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4.7" customHeight="1" x14ac:dyDescent="0.2"/>
    <row r="18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84&amp;R&amp;8Page 84</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5" zoomScale="110" zoomScaleNormal="110" workbookViewId="0">
      <selection activeCell="L39" sqref="L39"/>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Wood River-Hartford ESD 15</v>
      </c>
      <c r="C1" s="2474"/>
      <c r="D1" s="2474"/>
      <c r="E1" s="2474"/>
      <c r="F1" s="2474"/>
      <c r="G1" s="2474"/>
      <c r="H1" s="2474"/>
      <c r="I1" s="2474"/>
      <c r="J1" s="1415"/>
    </row>
    <row r="2" spans="2:10" s="317" customFormat="1" ht="12.75" customHeight="1" x14ac:dyDescent="0.2">
      <c r="B2" s="2475">
        <f>'Single Audit Cover'!E7</f>
        <v>41057015003</v>
      </c>
      <c r="C2" s="2476"/>
      <c r="D2" s="2476"/>
      <c r="E2" s="2476"/>
      <c r="F2" s="2476"/>
      <c r="G2" s="2476"/>
      <c r="H2" s="2476"/>
      <c r="I2" s="2476"/>
      <c r="J2" s="1415"/>
    </row>
    <row r="3" spans="2:10" s="317" customFormat="1" ht="12.75" customHeight="1" x14ac:dyDescent="0.2">
      <c r="B3" s="2477" t="s">
        <v>1346</v>
      </c>
      <c r="C3" s="2478"/>
      <c r="D3" s="2478"/>
      <c r="E3" s="2478"/>
      <c r="F3" s="2478"/>
      <c r="G3" s="2478"/>
      <c r="H3" s="2478"/>
      <c r="I3" s="2478"/>
      <c r="J3" s="1416"/>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17" t="s">
        <v>1230</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477" t="s">
        <v>1345</v>
      </c>
      <c r="C7" s="2478"/>
      <c r="D7" s="2478"/>
      <c r="E7" s="2478"/>
      <c r="F7" s="2478"/>
      <c r="G7" s="2478"/>
      <c r="H7" s="2478"/>
      <c r="I7" s="2478"/>
    </row>
    <row r="8" spans="2:10" s="317" customFormat="1" ht="6.2" customHeight="1" x14ac:dyDescent="0.2">
      <c r="B8" s="1419" t="s">
        <v>1230</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1344</v>
      </c>
      <c r="C10" s="1424"/>
      <c r="D10" s="1424"/>
      <c r="E10" s="1258"/>
    </row>
    <row r="11" spans="2:10" s="317" customFormat="1" ht="13.5" customHeight="1" x14ac:dyDescent="0.2">
      <c r="B11" s="1342" t="s">
        <v>1343</v>
      </c>
      <c r="C11" s="2479" t="s">
        <v>1225</v>
      </c>
      <c r="D11" s="2479"/>
      <c r="E11" s="1425"/>
      <c r="F11" s="1425"/>
      <c r="G11" s="1425"/>
    </row>
    <row r="12" spans="2:10" s="317" customFormat="1" ht="11.45" customHeight="1" x14ac:dyDescent="0.2">
      <c r="B12" s="1350"/>
      <c r="C12" s="1426" t="s">
        <v>1516</v>
      </c>
      <c r="D12" s="1427"/>
      <c r="E12" s="1258"/>
    </row>
    <row r="13" spans="2:10" s="317" customFormat="1" ht="12.75" customHeight="1" x14ac:dyDescent="0.2">
      <c r="B13" s="1428"/>
      <c r="C13" s="1380"/>
      <c r="D13" s="1380"/>
      <c r="E13" s="1258"/>
    </row>
    <row r="14" spans="2:10" s="317" customFormat="1" ht="12.75" customHeight="1" x14ac:dyDescent="0.2">
      <c r="B14" s="1361" t="s">
        <v>1342</v>
      </c>
      <c r="C14" s="1282"/>
      <c r="E14" s="1258"/>
    </row>
    <row r="15" spans="2:10" s="317" customFormat="1" ht="13.5" customHeight="1" x14ac:dyDescent="0.2">
      <c r="B15" s="1429" t="s">
        <v>1339</v>
      </c>
      <c r="C15" s="1430"/>
      <c r="D15" s="1391"/>
      <c r="E15" s="1431"/>
      <c r="F15" s="1300" t="s">
        <v>939</v>
      </c>
      <c r="G15" s="1431" t="s">
        <v>2074</v>
      </c>
      <c r="H15" s="1300" t="s">
        <v>1337</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1338</v>
      </c>
      <c r="C17" s="1430"/>
      <c r="D17" s="1391"/>
      <c r="E17" s="1432"/>
      <c r="F17" s="1257"/>
      <c r="G17" s="1432"/>
      <c r="H17" s="1300"/>
      <c r="I17" s="1300"/>
    </row>
    <row r="18" spans="2:9" s="317" customFormat="1" ht="12.75" customHeight="1" x14ac:dyDescent="0.2">
      <c r="B18" s="1429" t="s">
        <v>1517</v>
      </c>
      <c r="C18" s="1430"/>
      <c r="D18" s="1391"/>
      <c r="E18" s="1431"/>
      <c r="F18" s="1300" t="s">
        <v>939</v>
      </c>
      <c r="G18" s="1431" t="s">
        <v>2074</v>
      </c>
      <c r="H18" s="1300" t="s">
        <v>1337</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1672</v>
      </c>
      <c r="C20" s="1430"/>
      <c r="D20" s="1391"/>
      <c r="E20" s="1431"/>
      <c r="F20" s="1300" t="s">
        <v>939</v>
      </c>
      <c r="G20" s="1431" t="s">
        <v>2074</v>
      </c>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1341</v>
      </c>
      <c r="C22" s="1433"/>
      <c r="D22" s="1424"/>
      <c r="E22" s="1376"/>
      <c r="F22" s="1300"/>
      <c r="G22" s="322"/>
      <c r="H22" s="1300"/>
      <c r="I22" s="1300"/>
    </row>
    <row r="23" spans="2:9" s="317" customFormat="1" ht="12.75" customHeight="1" x14ac:dyDescent="0.2">
      <c r="B23" s="1361" t="s">
        <v>1340</v>
      </c>
      <c r="C23" s="1282"/>
      <c r="E23" s="1376"/>
      <c r="F23" s="1300"/>
      <c r="G23" s="322"/>
      <c r="H23" s="1300"/>
      <c r="I23" s="1300"/>
    </row>
    <row r="24" spans="2:9" s="317" customFormat="1" ht="13.5" customHeight="1" x14ac:dyDescent="0.2">
      <c r="B24" s="1429" t="s">
        <v>1339</v>
      </c>
      <c r="C24" s="1430"/>
      <c r="D24" s="1391"/>
      <c r="E24" s="1431"/>
      <c r="F24" s="1300" t="s">
        <v>939</v>
      </c>
      <c r="G24" s="1431" t="s">
        <v>2074</v>
      </c>
      <c r="H24" s="1300" t="s">
        <v>1337</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1338</v>
      </c>
      <c r="C26" s="1430"/>
      <c r="D26" s="1391"/>
      <c r="E26" s="1432"/>
      <c r="F26" s="1257"/>
      <c r="G26" s="1432"/>
      <c r="H26" s="1300"/>
      <c r="I26" s="1300"/>
    </row>
    <row r="27" spans="2:9" s="317" customFormat="1" ht="12.75" customHeight="1" x14ac:dyDescent="0.2">
      <c r="B27" s="1429" t="s">
        <v>1517</v>
      </c>
      <c r="C27" s="1430"/>
      <c r="D27" s="1391"/>
      <c r="E27" s="1431"/>
      <c r="F27" s="1300" t="s">
        <v>939</v>
      </c>
      <c r="G27" s="1431" t="s">
        <v>2074</v>
      </c>
      <c r="H27" s="1300" t="s">
        <v>1337</v>
      </c>
      <c r="I27" s="1300"/>
    </row>
    <row r="28" spans="2:9" s="317" customFormat="1" ht="12.75" customHeight="1" x14ac:dyDescent="0.2">
      <c r="B28" s="1361"/>
      <c r="C28" s="1282"/>
      <c r="E28" s="1258"/>
    </row>
    <row r="29" spans="2:9" s="317" customFormat="1" ht="12.75" customHeight="1" x14ac:dyDescent="0.2">
      <c r="B29" s="1361" t="s">
        <v>1336</v>
      </c>
      <c r="C29" s="1282"/>
      <c r="D29" s="2480" t="s">
        <v>2162</v>
      </c>
      <c r="E29" s="2480"/>
      <c r="F29" s="2480"/>
      <c r="G29" s="2480"/>
      <c r="H29" s="2480"/>
      <c r="I29" s="2480"/>
    </row>
    <row r="30" spans="2:9" s="317" customFormat="1" x14ac:dyDescent="0.2">
      <c r="B30" s="1361"/>
      <c r="C30" s="322"/>
      <c r="D30" s="1426" t="s">
        <v>1848</v>
      </c>
      <c r="E30" s="1427"/>
      <c r="F30" s="1427"/>
      <c r="G30" s="1427"/>
      <c r="H30" s="1427"/>
      <c r="I30" s="1427"/>
    </row>
    <row r="31" spans="2:9" s="317" customFormat="1" ht="9.9499999999999993" customHeight="1" x14ac:dyDescent="0.2">
      <c r="B31" s="1361"/>
      <c r="E31" s="1258"/>
    </row>
    <row r="32" spans="2:9" s="317" customFormat="1" x14ac:dyDescent="0.2">
      <c r="B32" s="1361" t="s">
        <v>1335</v>
      </c>
      <c r="C32" s="1282"/>
      <c r="E32" s="1258"/>
    </row>
    <row r="33" spans="2:9" ht="13.5" customHeight="1" x14ac:dyDescent="0.2">
      <c r="B33" s="1361" t="s">
        <v>1632</v>
      </c>
      <c r="C33" s="1282"/>
      <c r="E33" s="1431"/>
      <c r="F33" s="1300" t="s">
        <v>939</v>
      </c>
      <c r="G33" s="1431" t="s">
        <v>2074</v>
      </c>
      <c r="H33" s="1300" t="s">
        <v>101</v>
      </c>
    </row>
    <row r="35" spans="2:9" x14ac:dyDescent="0.2">
      <c r="B35" s="1434" t="s">
        <v>1849</v>
      </c>
      <c r="C35" s="1435"/>
      <c r="D35" s="1267"/>
    </row>
    <row r="36" spans="2:9" ht="6" customHeight="1" x14ac:dyDescent="0.2">
      <c r="B36" s="1434"/>
      <c r="C36" s="1435"/>
      <c r="D36" s="1267"/>
    </row>
    <row r="37" spans="2:9" ht="17.25" customHeight="1" x14ac:dyDescent="0.2">
      <c r="B37" s="1436" t="s">
        <v>1850</v>
      </c>
      <c r="C37" s="2481" t="s">
        <v>1851</v>
      </c>
      <c r="D37" s="2482"/>
      <c r="E37" s="2482"/>
      <c r="F37" s="2483"/>
      <c r="G37" s="2481" t="s">
        <v>1673</v>
      </c>
      <c r="H37" s="2482"/>
      <c r="I37" s="2483"/>
    </row>
    <row r="38" spans="2:9" ht="16.5" customHeight="1" x14ac:dyDescent="0.2">
      <c r="B38" s="1437" t="s">
        <v>2172</v>
      </c>
      <c r="C38" s="2469" t="s">
        <v>2163</v>
      </c>
      <c r="D38" s="2470"/>
      <c r="E38" s="2470"/>
      <c r="F38" s="2471"/>
      <c r="G38" s="2484">
        <v>518099</v>
      </c>
      <c r="H38" s="2485"/>
      <c r="I38" s="2486"/>
    </row>
    <row r="39" spans="2:9" ht="16.5" customHeight="1" x14ac:dyDescent="0.2">
      <c r="B39" s="1437"/>
      <c r="C39" s="2469"/>
      <c r="D39" s="2470"/>
      <c r="E39" s="2470"/>
      <c r="F39" s="2471"/>
      <c r="G39" s="2472"/>
      <c r="H39" s="2472"/>
      <c r="I39" s="2472"/>
    </row>
    <row r="40" spans="2:9" ht="16.5" customHeight="1" x14ac:dyDescent="0.2">
      <c r="B40" s="1437"/>
      <c r="C40" s="2469"/>
      <c r="D40" s="2470"/>
      <c r="E40" s="2470"/>
      <c r="F40" s="2471"/>
      <c r="G40" s="2472"/>
      <c r="H40" s="2472"/>
      <c r="I40" s="2472"/>
    </row>
    <row r="41" spans="2:9" ht="16.5" customHeight="1" x14ac:dyDescent="0.2">
      <c r="B41" s="1437"/>
      <c r="C41" s="2469"/>
      <c r="D41" s="2470"/>
      <c r="E41" s="2470"/>
      <c r="F41" s="2471"/>
      <c r="G41" s="2472"/>
      <c r="H41" s="2472"/>
      <c r="I41" s="2472"/>
    </row>
    <row r="42" spans="2:9" ht="16.5" customHeight="1" x14ac:dyDescent="0.2">
      <c r="B42" s="1437"/>
      <c r="C42" s="2469"/>
      <c r="D42" s="2470"/>
      <c r="E42" s="2470"/>
      <c r="F42" s="2471"/>
      <c r="G42" s="2472"/>
      <c r="H42" s="2472"/>
      <c r="I42" s="2472"/>
    </row>
    <row r="43" spans="2:9" ht="16.5" customHeight="1" x14ac:dyDescent="0.2">
      <c r="B43" s="1437"/>
      <c r="C43" s="2487" t="s">
        <v>1674</v>
      </c>
      <c r="D43" s="2488"/>
      <c r="E43" s="2488"/>
      <c r="F43" s="2489"/>
      <c r="G43" s="2490">
        <f>SUM(G38:I42)</f>
        <v>518099</v>
      </c>
      <c r="H43" s="2490"/>
      <c r="I43" s="2490"/>
    </row>
    <row r="44" spans="2:9" ht="12.75" customHeight="1" x14ac:dyDescent="0.2"/>
    <row r="45" spans="2:9" ht="12.75" customHeight="1" x14ac:dyDescent="0.2">
      <c r="B45" s="1428" t="s">
        <v>1948</v>
      </c>
      <c r="D45" s="2491">
        <v>931458</v>
      </c>
      <c r="E45" s="2492"/>
    </row>
    <row r="46" spans="2:9" ht="5.25" customHeight="1" x14ac:dyDescent="0.2">
      <c r="B46" s="1438"/>
      <c r="D46" s="1439"/>
      <c r="E46" s="1440"/>
    </row>
    <row r="47" spans="2:9" ht="12.75" customHeight="1" x14ac:dyDescent="0.2">
      <c r="B47" s="1300" t="s">
        <v>1675</v>
      </c>
      <c r="C47" s="1300"/>
      <c r="D47" s="1441">
        <f>+G43/D45</f>
        <v>0.55622368373023801</v>
      </c>
      <c r="E47" s="1442"/>
      <c r="F47" s="1443"/>
      <c r="I47" s="1444"/>
    </row>
    <row r="48" spans="2:9" ht="9.9499999999999993" customHeight="1" x14ac:dyDescent="0.2"/>
    <row r="49" spans="1:9" x14ac:dyDescent="0.2">
      <c r="B49" s="1361" t="s">
        <v>1334</v>
      </c>
      <c r="C49" s="1282"/>
      <c r="D49" s="1282"/>
      <c r="E49" s="2493">
        <v>750000</v>
      </c>
      <c r="F49" s="2493"/>
      <c r="G49" s="2493"/>
      <c r="H49" s="322"/>
    </row>
    <row r="51" spans="1:9" ht="13.5" customHeight="1" x14ac:dyDescent="0.2">
      <c r="B51" s="1361" t="s">
        <v>1333</v>
      </c>
      <c r="C51" s="1282"/>
      <c r="E51" s="1431"/>
      <c r="F51" s="1300" t="s">
        <v>939</v>
      </c>
      <c r="G51" s="1431" t="s">
        <v>2074</v>
      </c>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1852</v>
      </c>
      <c r="C54" s="1453"/>
      <c r="D54" s="1453"/>
    </row>
    <row r="55" spans="1:9" s="1454" customFormat="1" ht="12.75" customHeight="1" x14ac:dyDescent="0.2">
      <c r="A55" s="1451"/>
      <c r="B55" s="1455" t="s">
        <v>1676</v>
      </c>
      <c r="C55" s="1451"/>
      <c r="D55" s="1451"/>
    </row>
    <row r="56" spans="1:9" s="1454" customFormat="1" ht="12.75" customHeight="1" x14ac:dyDescent="0.2">
      <c r="A56" s="1451"/>
      <c r="B56" s="1455" t="s">
        <v>1677</v>
      </c>
      <c r="C56" s="1451"/>
      <c r="D56" s="1451"/>
    </row>
    <row r="57" spans="1:9" s="1454" customFormat="1" ht="3.95" customHeight="1" x14ac:dyDescent="0.2">
      <c r="A57" s="1451"/>
      <c r="B57" s="1455"/>
      <c r="C57" s="1451"/>
      <c r="D57" s="1451"/>
    </row>
    <row r="58" spans="1:9" s="1454" customFormat="1" ht="13.5" customHeight="1" x14ac:dyDescent="0.2">
      <c r="A58" s="1451"/>
      <c r="B58" s="1456" t="s">
        <v>1853</v>
      </c>
      <c r="C58" s="1457"/>
      <c r="D58" s="1457"/>
    </row>
    <row r="59" spans="1:9" s="1454" customFormat="1" ht="3.95" customHeight="1" x14ac:dyDescent="0.2">
      <c r="A59" s="1451"/>
      <c r="B59" s="1456"/>
      <c r="C59" s="1457"/>
      <c r="D59" s="1457"/>
    </row>
    <row r="60" spans="1:9" s="1454" customFormat="1" ht="13.5" customHeight="1" x14ac:dyDescent="0.2">
      <c r="A60" s="1451"/>
      <c r="B60" s="1456" t="s">
        <v>1854</v>
      </c>
      <c r="C60" s="1457"/>
      <c r="D60" s="1457"/>
    </row>
    <row r="61" spans="1:9" s="1454" customFormat="1" ht="3.95" customHeight="1" x14ac:dyDescent="0.2">
      <c r="A61" s="1451"/>
      <c r="B61" s="1456"/>
      <c r="C61" s="1457"/>
      <c r="D61" s="1457"/>
    </row>
    <row r="62" spans="1:9" s="1454" customFormat="1" ht="12.75" customHeight="1" x14ac:dyDescent="0.2">
      <c r="A62" s="1451"/>
      <c r="B62" s="1456" t="s">
        <v>1855</v>
      </c>
      <c r="C62" s="1457"/>
      <c r="D62" s="1457"/>
    </row>
    <row r="63" spans="1:9" s="1454" customFormat="1" ht="13.5" customHeight="1" x14ac:dyDescent="0.2">
      <c r="A63" s="1451"/>
      <c r="B63" s="1455" t="s">
        <v>1678</v>
      </c>
      <c r="C63" s="1451"/>
      <c r="D63" s="145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88&amp;R&amp;8Page 88</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Wood River-Hartford ESD 15</v>
      </c>
      <c r="C1" s="2473"/>
      <c r="D1" s="2473"/>
      <c r="E1" s="2473"/>
      <c r="F1" s="2473"/>
      <c r="G1" s="2473"/>
      <c r="H1" s="2473"/>
      <c r="I1" s="2473"/>
      <c r="J1" s="2473"/>
      <c r="K1" s="2473"/>
      <c r="L1" s="1367"/>
      <c r="M1" s="1367"/>
    </row>
    <row r="2" spans="1:13" ht="12" customHeight="1" x14ac:dyDescent="0.2">
      <c r="B2" s="2475">
        <f>'Single Audit Cover'!E7</f>
        <v>41057015003</v>
      </c>
      <c r="C2" s="2475"/>
      <c r="D2" s="2475"/>
      <c r="E2" s="2475"/>
      <c r="F2" s="2475"/>
      <c r="G2" s="2475"/>
      <c r="H2" s="2475"/>
      <c r="I2" s="2475"/>
      <c r="J2" s="2475"/>
      <c r="K2" s="2475"/>
      <c r="L2" s="1368"/>
      <c r="M2" s="1369"/>
    </row>
    <row r="3" spans="1:13" ht="10.35" customHeight="1" x14ac:dyDescent="0.2">
      <c r="B3" s="2496" t="s">
        <v>1346</v>
      </c>
      <c r="C3" s="2496"/>
      <c r="D3" s="2496"/>
      <c r="E3" s="2496"/>
      <c r="F3" s="2496"/>
      <c r="G3" s="2496"/>
      <c r="H3" s="2496"/>
      <c r="I3" s="2496"/>
      <c r="J3" s="2496"/>
      <c r="K3" s="2496"/>
      <c r="L3" s="1370"/>
      <c r="M3" s="1370"/>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497" t="s">
        <v>1362</v>
      </c>
      <c r="C7" s="2497"/>
      <c r="D7" s="2498"/>
      <c r="E7" s="2498"/>
      <c r="F7" s="2498"/>
      <c r="G7" s="2498"/>
      <c r="H7" s="2498"/>
      <c r="I7" s="2498"/>
      <c r="J7" s="2498"/>
      <c r="K7" s="2498"/>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1842</v>
      </c>
      <c r="C10" s="1378" t="s">
        <v>1949</v>
      </c>
      <c r="D10" s="1379" t="s">
        <v>2139</v>
      </c>
      <c r="E10" s="322"/>
      <c r="F10" s="1380" t="s">
        <v>1361</v>
      </c>
      <c r="G10" s="1381"/>
      <c r="H10" s="1382" t="s">
        <v>1360</v>
      </c>
      <c r="I10" s="1381"/>
      <c r="J10" s="1383" t="s">
        <v>1359</v>
      </c>
      <c r="K10" s="322"/>
      <c r="L10" s="1374"/>
    </row>
    <row r="11" spans="1:13" ht="13.5" customHeight="1" x14ac:dyDescent="0.2">
      <c r="B11" s="322"/>
      <c r="C11" s="322"/>
      <c r="D11" s="322"/>
      <c r="E11" s="322"/>
      <c r="F11" s="322"/>
      <c r="G11" s="1376"/>
      <c r="H11" s="322"/>
      <c r="I11" s="1384" t="s">
        <v>1358</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495"/>
      <c r="C14" s="2495"/>
      <c r="D14" s="2495"/>
      <c r="E14" s="2495"/>
      <c r="F14" s="2495"/>
      <c r="G14" s="2495"/>
      <c r="H14" s="2495"/>
      <c r="I14" s="2495"/>
      <c r="J14" s="2495"/>
      <c r="K14" s="2495"/>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495"/>
      <c r="C17" s="2495"/>
      <c r="D17" s="2495"/>
      <c r="E17" s="2495"/>
      <c r="F17" s="2495"/>
      <c r="G17" s="2495"/>
      <c r="H17" s="2495"/>
      <c r="I17" s="2495"/>
      <c r="J17" s="2495"/>
      <c r="K17" s="2495"/>
      <c r="L17" s="1374"/>
    </row>
    <row r="18" spans="2:12" ht="4.5" customHeight="1" x14ac:dyDescent="0.2">
      <c r="B18" s="1391"/>
      <c r="C18" s="1391"/>
      <c r="L18" s="1374"/>
    </row>
    <row r="19" spans="2:12" s="1282" customFormat="1" ht="13.5" customHeight="1" x14ac:dyDescent="0.2">
      <c r="B19" s="1386" t="s">
        <v>1843</v>
      </c>
      <c r="C19" s="1386"/>
      <c r="D19" s="1387"/>
      <c r="E19" s="1387"/>
      <c r="F19" s="1387"/>
      <c r="G19" s="1388"/>
      <c r="H19" s="1387"/>
      <c r="I19" s="1388"/>
      <c r="J19" s="1387"/>
      <c r="K19" s="1387"/>
      <c r="L19" s="1389"/>
    </row>
    <row r="20" spans="2:12" ht="45.75" customHeight="1" x14ac:dyDescent="0.2">
      <c r="B20" s="2499"/>
      <c r="C20" s="2499"/>
      <c r="D20" s="2495"/>
      <c r="E20" s="2495"/>
      <c r="F20" s="2495"/>
      <c r="G20" s="2495"/>
      <c r="H20" s="2495"/>
      <c r="I20" s="2495"/>
      <c r="J20" s="2495"/>
      <c r="K20" s="2495"/>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495"/>
      <c r="C23" s="2495"/>
      <c r="D23" s="2495"/>
      <c r="E23" s="2495"/>
      <c r="F23" s="2495"/>
      <c r="G23" s="2495"/>
      <c r="H23" s="2495"/>
      <c r="I23" s="2495"/>
      <c r="J23" s="2495"/>
      <c r="K23" s="2495"/>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495"/>
      <c r="C26" s="2495"/>
      <c r="D26" s="2495"/>
      <c r="E26" s="2495"/>
      <c r="F26" s="2495"/>
      <c r="G26" s="2495"/>
      <c r="H26" s="2495"/>
      <c r="I26" s="2495"/>
      <c r="J26" s="2495"/>
      <c r="K26" s="2495"/>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45.75" customHeight="1" x14ac:dyDescent="0.2">
      <c r="B29" s="2494"/>
      <c r="C29" s="2494"/>
      <c r="D29" s="2495"/>
      <c r="E29" s="2495"/>
      <c r="F29" s="2495"/>
      <c r="G29" s="2495"/>
      <c r="H29" s="2495"/>
      <c r="I29" s="2495"/>
      <c r="J29" s="2495"/>
      <c r="K29" s="2495"/>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1844</v>
      </c>
      <c r="C31" s="1396"/>
      <c r="D31" s="1371"/>
      <c r="E31" s="1372"/>
      <c r="F31" s="1372"/>
      <c r="G31" s="1373"/>
      <c r="H31" s="1372"/>
      <c r="I31" s="1373"/>
      <c r="J31" s="1372"/>
      <c r="K31" s="1372"/>
      <c r="L31" s="1374"/>
    </row>
    <row r="32" spans="2:12" s="322" customFormat="1" ht="44.25" customHeight="1" x14ac:dyDescent="0.2">
      <c r="B32" s="2494"/>
      <c r="C32" s="2494"/>
      <c r="D32" s="2495"/>
      <c r="E32" s="2495"/>
      <c r="F32" s="2495"/>
      <c r="G32" s="2495"/>
      <c r="H32" s="2495"/>
      <c r="I32" s="2495"/>
      <c r="J32" s="2495"/>
      <c r="K32" s="2495"/>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1845</v>
      </c>
      <c r="C35" s="1412"/>
      <c r="D35" s="322"/>
      <c r="E35" s="322"/>
      <c r="F35" s="322"/>
      <c r="L35" s="1374"/>
    </row>
    <row r="36" spans="1:13" ht="9.6" customHeight="1" x14ac:dyDescent="0.2">
      <c r="B36" s="1300" t="s">
        <v>1950</v>
      </c>
      <c r="C36" s="1300"/>
      <c r="L36" s="1374"/>
    </row>
    <row r="37" spans="1:13" ht="9.6" customHeight="1" x14ac:dyDescent="0.2">
      <c r="B37" s="1300" t="s">
        <v>1951</v>
      </c>
      <c r="C37" s="1300"/>
    </row>
    <row r="38" spans="1:13" ht="11.85" customHeight="1" x14ac:dyDescent="0.2">
      <c r="B38" s="1413" t="s">
        <v>1846</v>
      </c>
      <c r="C38" s="1413"/>
    </row>
    <row r="39" spans="1:13" ht="9.6" customHeight="1" x14ac:dyDescent="0.2">
      <c r="B39" s="1300" t="s">
        <v>1347</v>
      </c>
      <c r="C39" s="1300"/>
      <c r="M39" s="1414"/>
    </row>
    <row r="40" spans="1:13" ht="12.6" customHeight="1" x14ac:dyDescent="0.2">
      <c r="B40" s="1413" t="s">
        <v>1847</v>
      </c>
      <c r="C40" s="1413"/>
      <c r="M40" s="1414"/>
    </row>
    <row r="41" spans="1:13" ht="9.6" customHeight="1" x14ac:dyDescent="0.2">
      <c r="B41" s="1300"/>
      <c r="C41" s="1300"/>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89&amp;R&amp;8Page 89</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Wood River-Hartford ESD 15</v>
      </c>
      <c r="C1" s="2500"/>
      <c r="D1" s="2500"/>
      <c r="E1" s="2500"/>
      <c r="F1" s="2500"/>
      <c r="G1" s="2500"/>
      <c r="H1" s="2500"/>
      <c r="I1" s="2500"/>
      <c r="J1" s="2500"/>
      <c r="K1" s="2500"/>
      <c r="L1" s="1458"/>
    </row>
    <row r="2" spans="1:12" ht="12.75" customHeight="1" x14ac:dyDescent="0.2">
      <c r="B2" s="2501">
        <f>'Single Audit Cover'!E7</f>
        <v>41057015003</v>
      </c>
      <c r="C2" s="2501"/>
      <c r="D2" s="2501"/>
      <c r="E2" s="2501"/>
      <c r="F2" s="2501"/>
      <c r="G2" s="2501"/>
      <c r="H2" s="2501"/>
      <c r="I2" s="2501"/>
      <c r="J2" s="2501"/>
      <c r="K2" s="2501"/>
      <c r="L2" s="1459"/>
    </row>
    <row r="3" spans="1:12" ht="12.75" customHeight="1" x14ac:dyDescent="0.2">
      <c r="B3" s="2496" t="s">
        <v>1346</v>
      </c>
      <c r="C3" s="2496"/>
      <c r="D3" s="2496"/>
      <c r="E3" s="2496"/>
      <c r="F3" s="2496"/>
      <c r="G3" s="2496"/>
      <c r="H3" s="2496"/>
      <c r="I3" s="2496"/>
      <c r="J3" s="2496"/>
      <c r="K3" s="2496"/>
      <c r="L3" s="1370"/>
    </row>
    <row r="4" spans="1:12" ht="12.75" customHeight="1" x14ac:dyDescent="0.2">
      <c r="B4" s="2496" t="str">
        <f>'Single Audit Cover'!A4</f>
        <v>Year Ending June 30, 2018</v>
      </c>
      <c r="C4" s="2496"/>
      <c r="D4" s="2496"/>
      <c r="E4" s="2496"/>
      <c r="F4" s="2496"/>
      <c r="G4" s="2496"/>
      <c r="H4" s="2496"/>
      <c r="I4" s="2496"/>
      <c r="J4" s="2496"/>
      <c r="K4" s="2496"/>
      <c r="L4" s="1370"/>
    </row>
    <row r="5" spans="1:12" ht="5.25" customHeight="1" x14ac:dyDescent="0.2">
      <c r="B5" s="1260" t="s">
        <v>1230</v>
      </c>
      <c r="C5" s="1260"/>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2"/>
      <c r="C7" s="1372"/>
      <c r="D7" s="1372"/>
      <c r="E7" s="1372"/>
      <c r="F7" s="1372"/>
      <c r="G7" s="1373"/>
      <c r="H7" s="1372"/>
      <c r="I7" s="1373"/>
      <c r="J7" s="1372"/>
      <c r="K7" s="1372"/>
      <c r="L7" s="322"/>
    </row>
    <row r="8" spans="1:12" ht="13.5" customHeight="1" x14ac:dyDescent="0.2">
      <c r="B8" s="1380" t="s">
        <v>1856</v>
      </c>
      <c r="C8" s="1460" t="s">
        <v>1949</v>
      </c>
      <c r="D8" s="1461" t="s">
        <v>2139</v>
      </c>
      <c r="E8" s="322"/>
      <c r="F8" s="1377" t="s">
        <v>1361</v>
      </c>
      <c r="G8" s="1462"/>
      <c r="H8" s="1463" t="s">
        <v>1373</v>
      </c>
      <c r="I8" s="1462"/>
      <c r="J8" s="1464" t="s">
        <v>1372</v>
      </c>
      <c r="L8" s="322"/>
    </row>
    <row r="9" spans="1:12" ht="13.5" customHeight="1" x14ac:dyDescent="0.2">
      <c r="D9" s="322"/>
      <c r="E9" s="322"/>
      <c r="F9" s="322"/>
      <c r="G9" s="1376"/>
      <c r="H9" s="322"/>
      <c r="I9" s="1465" t="s">
        <v>1358</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480"/>
      <c r="G12" s="2480"/>
      <c r="H12" s="2480"/>
      <c r="I12" s="2480"/>
      <c r="J12" s="2480"/>
      <c r="K12" s="2480"/>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1370</v>
      </c>
      <c r="C14" s="1380"/>
      <c r="D14" s="2503"/>
      <c r="E14" s="2503"/>
      <c r="F14" s="2503"/>
      <c r="H14" s="1468" t="s">
        <v>1369</v>
      </c>
      <c r="I14" s="2504"/>
      <c r="J14" s="2504"/>
      <c r="K14" s="2504"/>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1368</v>
      </c>
      <c r="C16" s="1380"/>
      <c r="D16" s="2504"/>
      <c r="E16" s="2504"/>
      <c r="F16" s="2504"/>
      <c r="G16" s="2504"/>
      <c r="H16" s="2504"/>
      <c r="I16" s="2504"/>
      <c r="J16" s="2504"/>
      <c r="K16" s="2504"/>
      <c r="L16" s="322"/>
    </row>
    <row r="17" spans="2:12" ht="13.5" customHeight="1" x14ac:dyDescent="0.2">
      <c r="B17" s="1380" t="s">
        <v>1367</v>
      </c>
      <c r="C17" s="1380"/>
      <c r="D17" s="2505"/>
      <c r="E17" s="2505"/>
      <c r="F17" s="2505"/>
      <c r="G17" s="2505"/>
      <c r="H17" s="2505"/>
      <c r="I17" s="2505"/>
      <c r="J17" s="2505"/>
      <c r="K17" s="2505"/>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495"/>
      <c r="C20" s="2495"/>
      <c r="D20" s="2495"/>
      <c r="E20" s="2495"/>
      <c r="F20" s="2495"/>
      <c r="G20" s="2495"/>
      <c r="H20" s="2495"/>
      <c r="I20" s="2495"/>
      <c r="J20" s="2495"/>
      <c r="K20" s="2495"/>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1857</v>
      </c>
      <c r="C22" s="1470"/>
      <c r="D22" s="322"/>
      <c r="E22" s="322"/>
      <c r="F22" s="322"/>
      <c r="G22" s="1376"/>
      <c r="H22" s="322"/>
      <c r="I22" s="1376"/>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1858</v>
      </c>
      <c r="C25" s="1470"/>
      <c r="D25" s="322"/>
      <c r="E25" s="322"/>
      <c r="F25" s="322"/>
      <c r="G25" s="1376"/>
      <c r="H25" s="322"/>
      <c r="I25" s="1376"/>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1859</v>
      </c>
      <c r="C28" s="1470"/>
      <c r="D28" s="322"/>
      <c r="E28" s="322"/>
      <c r="F28" s="322"/>
      <c r="G28" s="1376"/>
      <c r="H28" s="322"/>
      <c r="I28" s="1376"/>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1860</v>
      </c>
      <c r="C40" s="1396"/>
      <c r="D40" s="1371"/>
      <c r="E40" s="1372"/>
      <c r="F40" s="1372"/>
      <c r="G40" s="1373"/>
      <c r="H40" s="1372"/>
      <c r="I40" s="1373"/>
      <c r="J40" s="1372"/>
      <c r="K40" s="1372"/>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1861</v>
      </c>
      <c r="C48" s="1412"/>
      <c r="D48" s="322"/>
      <c r="E48" s="322"/>
      <c r="F48" s="322"/>
    </row>
    <row r="49" spans="2:3" s="317" customFormat="1" ht="10.5" customHeight="1" x14ac:dyDescent="0.2">
      <c r="B49" s="1413" t="s">
        <v>1862</v>
      </c>
      <c r="C49" s="1413"/>
    </row>
    <row r="50" spans="2:3" s="317" customFormat="1" ht="11.1" customHeight="1" x14ac:dyDescent="0.2">
      <c r="B50" s="1413" t="s">
        <v>1863</v>
      </c>
      <c r="C50" s="1413"/>
    </row>
    <row r="51" spans="2:3" s="317" customFormat="1" ht="11.1" customHeight="1" x14ac:dyDescent="0.2">
      <c r="B51" s="1413" t="s">
        <v>1864</v>
      </c>
      <c r="C51" s="1413"/>
    </row>
    <row r="52" spans="2:3" s="317" customFormat="1" ht="11.1" customHeight="1" x14ac:dyDescent="0.2">
      <c r="B52" s="1413" t="s">
        <v>1865</v>
      </c>
      <c r="C52" s="141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90&amp;R&amp;8Page 90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Wood River-Hartford ESD 15</v>
      </c>
      <c r="C1" s="2473"/>
      <c r="D1" s="2473"/>
      <c r="E1" s="1484"/>
    </row>
    <row r="2" spans="2:5" s="1282" customFormat="1" ht="12.75" customHeight="1" x14ac:dyDescent="0.2">
      <c r="B2" s="2475">
        <f>'Single Audit Cover'!E7</f>
        <v>41057015003</v>
      </c>
      <c r="C2" s="2475"/>
      <c r="D2" s="2475"/>
      <c r="E2" s="1485"/>
    </row>
    <row r="3" spans="2:5" ht="12.75" customHeight="1" x14ac:dyDescent="0.2">
      <c r="B3" s="2496" t="s">
        <v>1866</v>
      </c>
      <c r="C3" s="2496"/>
      <c r="D3" s="2496"/>
      <c r="E3" s="1274"/>
    </row>
    <row r="4" spans="2:5" s="1282" customFormat="1" ht="12.75" customHeight="1" x14ac:dyDescent="0.2">
      <c r="B4" s="2506" t="str">
        <f>'Single Audit Cover'!A4</f>
        <v>Year Ending June 30, 2018</v>
      </c>
      <c r="C4" s="2506"/>
      <c r="D4" s="2506"/>
      <c r="E4" s="1486"/>
    </row>
    <row r="5" spans="2:5" s="1282" customFormat="1" ht="40.15" customHeight="1" x14ac:dyDescent="0.2">
      <c r="B5" s="1487" t="s">
        <v>1867</v>
      </c>
      <c r="C5" s="328"/>
      <c r="D5" s="328"/>
      <c r="E5" s="328"/>
    </row>
    <row r="6" spans="2:5" s="1282" customFormat="1" ht="13.5" customHeight="1" x14ac:dyDescent="0.2">
      <c r="B6" s="1488" t="s">
        <v>1381</v>
      </c>
      <c r="C6" s="1488" t="s">
        <v>1380</v>
      </c>
      <c r="D6" s="1488" t="s">
        <v>1868</v>
      </c>
    </row>
    <row r="7" spans="2:5" ht="13.5" customHeight="1" x14ac:dyDescent="0.2">
      <c r="B7" s="1489"/>
      <c r="C7" s="324"/>
      <c r="D7" s="324"/>
      <c r="E7" s="324"/>
    </row>
    <row r="8" spans="2:5" ht="13.5" customHeight="1" x14ac:dyDescent="0.2">
      <c r="B8" s="1489" t="s">
        <v>2114</v>
      </c>
      <c r="C8" s="324"/>
      <c r="D8" s="324"/>
      <c r="E8" s="324"/>
    </row>
    <row r="9" spans="2:5" ht="13.5" customHeight="1" x14ac:dyDescent="0.2">
      <c r="B9" s="1490"/>
      <c r="C9" s="323"/>
      <c r="D9" s="323"/>
      <c r="E9" s="323"/>
    </row>
    <row r="10" spans="2:5" ht="13.5" customHeight="1" x14ac:dyDescent="0.2">
      <c r="B10" s="1489"/>
      <c r="C10" s="323"/>
      <c r="D10" s="323"/>
      <c r="E10" s="323"/>
    </row>
    <row r="11" spans="2:5" ht="13.5" customHeight="1" x14ac:dyDescent="0.2">
      <c r="B11" s="1489"/>
      <c r="C11" s="323"/>
      <c r="D11" s="323"/>
      <c r="E11" s="323"/>
    </row>
    <row r="12" spans="2:5" ht="13.5" customHeight="1" x14ac:dyDescent="0.2">
      <c r="B12" s="1489"/>
      <c r="C12" s="323"/>
      <c r="D12" s="323"/>
      <c r="E12" s="323"/>
    </row>
    <row r="13" spans="2:5" ht="13.5" customHeight="1" x14ac:dyDescent="0.2">
      <c r="B13" s="1489"/>
      <c r="C13" s="323"/>
      <c r="D13" s="323"/>
      <c r="E13" s="323"/>
    </row>
    <row r="14" spans="2:5" ht="13.5" customHeight="1" x14ac:dyDescent="0.2">
      <c r="B14" s="1489"/>
      <c r="C14" s="323"/>
      <c r="D14" s="323"/>
      <c r="E14" s="323"/>
    </row>
    <row r="15" spans="2:5" ht="13.5" customHeight="1" x14ac:dyDescent="0.2">
      <c r="B15" s="1489"/>
      <c r="C15" s="323"/>
      <c r="D15" s="323"/>
      <c r="E15" s="323"/>
    </row>
    <row r="16" spans="2:5" ht="13.5" customHeight="1" x14ac:dyDescent="0.2">
      <c r="B16" s="1489"/>
      <c r="C16" s="323"/>
      <c r="D16" s="323"/>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1379</v>
      </c>
      <c r="C44" s="322"/>
    </row>
    <row r="45" spans="2:5" ht="12.2" customHeight="1" x14ac:dyDescent="0.2">
      <c r="B45" s="1498" t="s">
        <v>1869</v>
      </c>
    </row>
    <row r="46" spans="2:5" ht="12.2" customHeight="1" x14ac:dyDescent="0.2">
      <c r="B46" s="1498" t="s">
        <v>1870</v>
      </c>
    </row>
    <row r="47" spans="2:5" ht="12.2" customHeight="1" x14ac:dyDescent="0.2">
      <c r="B47" s="1499" t="s">
        <v>1378</v>
      </c>
    </row>
    <row r="48" spans="2:5" ht="12.2" customHeight="1" x14ac:dyDescent="0.2">
      <c r="B48" s="1499" t="s">
        <v>1377</v>
      </c>
    </row>
    <row r="49" spans="2:5" ht="12.2" customHeight="1" x14ac:dyDescent="0.2">
      <c r="B49" s="1499" t="s">
        <v>1376</v>
      </c>
    </row>
    <row r="50" spans="2:5" ht="12.2" customHeight="1" x14ac:dyDescent="0.2">
      <c r="B50" s="1499"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91&amp;R&amp;8Page 91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purl.org/dc/terms/"/>
    <ds:schemaRef ds:uri="http://purl.org/dc/elements/1.1/"/>
    <ds:schemaRef ds:uri="6ce3111e-7420-4802-b50a-75d4e9a0b980"/>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2018-10-18T16:21:45Z</cp:lastPrinted>
  <dcterms:created xsi:type="dcterms:W3CDTF">2003-10-29T19:06:34Z</dcterms:created>
  <dcterms:modified xsi:type="dcterms:W3CDTF">2018-11-20T19:43:13Z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