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2990" windowHeight="8985"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Itemization 33" sheetId="19" r:id="rId19"/>
    <sheet name="REF 34" sheetId="20" r:id="rId20"/>
    <sheet name="Opinion-Notes 35" sheetId="21" r:id="rId21"/>
    <sheet name="DeficitAFRSum Calc 36" sheetId="22" r:id="rId22"/>
    <sheet name="AUDITCHECK" sheetId="23" r:id="rId23"/>
    <sheet name="AFR18" sheetId="24" state="hidden" r:id="rId24"/>
    <sheet name="Single Audit Cover" sheetId="25" r:id="rId25"/>
    <sheet name="Single Audit Checklist" sheetId="26" r:id="rId26"/>
    <sheet name="SEFA Reconcile" sheetId="27" r:id="rId27"/>
    <sheet name="SEFA NOTES" sheetId="28" r:id="rId28"/>
    <sheet name=" SEFA" sheetId="29" r:id="rId29"/>
    <sheet name=" SEFA (2)" sheetId="30" r:id="rId30"/>
    <sheet name=" SEFA (3)" sheetId="31" r:id="rId31"/>
    <sheet name=" SEFA (4)" sheetId="32" r:id="rId32"/>
    <sheet name="SF&amp;QC Sec-1" sheetId="33" r:id="rId33"/>
    <sheet name="SF&amp;QC Sec-2" sheetId="34" r:id="rId34"/>
    <sheet name="SF&amp;QC Sec-3" sheetId="35" r:id="rId35"/>
    <sheet name="SSPAF" sheetId="36"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5">'Assets-Liab 5-6'!$A$1:$N$41</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 name="Z_21F80B28_2D59_4A2F_B7F1_982D582C738E_.wvu.Cols" localSheetId="14" hidden="1">'Contracts Paid in CY 29'!$E:$E</definedName>
    <definedName name="Z_21F80B28_2D59_4A2F_B7F1_982D582C738E_.wvu.Cols" localSheetId="4" hidden="1">'Fin Profile 4'!$J:$J</definedName>
    <definedName name="Z_21F80B28_2D59_4A2F_B7F1_982D582C738E_.wvu.PrintArea" localSheetId="28" hidden="1">' SEFA'!$B$1:$M$46</definedName>
    <definedName name="Z_21F80B28_2D59_4A2F_B7F1_982D582C738E_.wvu.PrintArea" localSheetId="29" hidden="1">' SEFA (2)'!$B$1:$M$46</definedName>
    <definedName name="Z_21F80B28_2D59_4A2F_B7F1_982D582C738E_.wvu.PrintArea" localSheetId="30" hidden="1">' SEFA (3)'!$B$1:$M$46</definedName>
    <definedName name="Z_21F80B28_2D59_4A2F_B7F1_982D582C738E_.wvu.PrintArea" localSheetId="31" hidden="1">' SEFA (4)'!$B$1:$M$46</definedName>
    <definedName name="Z_21F80B28_2D59_4A2F_B7F1_982D582C738E_.wvu.PrintArea" localSheetId="5" hidden="1">'Assets-Liab 5-6'!$A$1:$N$41</definedName>
    <definedName name="Z_21F80B28_2D59_4A2F_B7F1_982D582C738E_.wvu.PrintArea" localSheetId="2" hidden="1">'Aud Quest 2'!$A$1:$J$120</definedName>
    <definedName name="Z_21F80B28_2D59_4A2F_B7F1_982D582C738E_.wvu.PrintArea" localSheetId="15" hidden="1">'ICR Computation 30'!$A$1:$G$46</definedName>
    <definedName name="Z_21F80B28_2D59_4A2F_B7F1_982D582C738E_.wvu.PrintArea" localSheetId="18" hidden="1">'Itemization 33'!$A$1:$B$53</definedName>
    <definedName name="Z_21F80B28_2D59_4A2F_B7F1_982D582C738E_.wvu.PrintArea" localSheetId="13" hidden="1">'PCTC-OEPP 27-28'!$A$1:$G$189</definedName>
    <definedName name="Z_21F80B28_2D59_4A2F_B7F1_982D582C738E_.wvu.PrintArea" localSheetId="27" hidden="1">'SEFA NOTES'!$A$1:$F$52</definedName>
    <definedName name="Z_21F80B28_2D59_4A2F_B7F1_982D582C738E_.wvu.PrintArea" localSheetId="26" hidden="1">'SEFA Reconcile'!$A$1:$E$49</definedName>
    <definedName name="Z_21F80B28_2D59_4A2F_B7F1_982D582C738E_.wvu.PrintArea" localSheetId="32" hidden="1">'SF&amp;QC Sec-1'!$A$1:$J$63</definedName>
    <definedName name="Z_21F80B28_2D59_4A2F_B7F1_982D582C738E_.wvu.PrintArea" localSheetId="34" hidden="1">'SF&amp;QC Sec-3'!$A$1:$K$52</definedName>
    <definedName name="Z_21F80B28_2D59_4A2F_B7F1_982D582C738E_.wvu.PrintArea" localSheetId="16" hidden="1">'Shared Outsourced Services 31'!$A$1:$F$43</definedName>
    <definedName name="Z_21F80B28_2D59_4A2F_B7F1_982D582C738E_.wvu.PrintArea" localSheetId="25" hidden="1">'Single Audit Checklist'!$A$1:$D$124</definedName>
    <definedName name="Z_21F80B28_2D59_4A2F_B7F1_982D582C738E_.wvu.PrintArea" localSheetId="24" hidden="1">'Single Audit Cover'!$A$1:$L$52</definedName>
    <definedName name="Z_21F80B28_2D59_4A2F_B7F1_982D582C738E_.wvu.PrintTitles" localSheetId="6" hidden="1">'Acct Summary 7-8'!$A:$B,'Acct Summary 7-8'!$1:$2</definedName>
    <definedName name="Z_21F80B28_2D59_4A2F_B7F1_982D582C738E_.wvu.PrintTitles" localSheetId="5" hidden="1">'Assets-Liab 5-6'!$A:$B,'Assets-Liab 5-6'!$1:$2</definedName>
    <definedName name="Z_21F80B28_2D59_4A2F_B7F1_982D582C738E_.wvu.PrintTitles" localSheetId="22" hidden="1">AUDITCHECK!$20:$20</definedName>
    <definedName name="Z_21F80B28_2D59_4A2F_B7F1_982D582C738E_.wvu.PrintTitles" localSheetId="14" hidden="1">'Contracts Paid in CY 29'!$15:$15</definedName>
    <definedName name="Z_21F80B28_2D59_4A2F_B7F1_982D582C738E_.wvu.PrintTitles" localSheetId="8" hidden="1">'Expenditures 15-22'!$A:$B,'Expenditures 15-22'!$1:$2</definedName>
    <definedName name="Z_21F80B28_2D59_4A2F_B7F1_982D582C738E_.wvu.PrintTitles" localSheetId="13" hidden="1">'PCTC-OEPP 27-28'!$1:$5</definedName>
    <definedName name="Z_21F80B28_2D59_4A2F_B7F1_982D582C738E_.wvu.PrintTitles" localSheetId="7" hidden="1">'Revenues 9-14'!$A:$B,'Revenues 9-14'!$1:$2</definedName>
    <definedName name="Z_21F80B28_2D59_4A2F_B7F1_982D582C738E_.wvu.PrintTitles" localSheetId="16" hidden="1">'Shared Outsourced Services 31'!$5:$5</definedName>
    <definedName name="Z_21F80B28_2D59_4A2F_B7F1_982D582C738E_.wvu.PrintTitles" localSheetId="25" hidden="1">'Single Audit Checklist'!$1:$4</definedName>
    <definedName name="Z_21F80B28_2D59_4A2F_B7F1_982D582C738E_.wvu.Rows" localSheetId="6" hidden="1">'Acct Summary 7-8'!$83:$83</definedName>
    <definedName name="Z_21F80B28_2D59_4A2F_B7F1_982D582C738E_.wvu.Rows" localSheetId="2" hidden="1">'Aud Quest 2'!$12:$12,'Aud Quest 2'!$17:$17,'Aud Quest 2'!$19:$19,'Aud Quest 2'!$34:$34,'Aud Quest 2'!$39:$39</definedName>
    <definedName name="Z_21F80B28_2D59_4A2F_B7F1_982D582C738E_.wvu.Rows" localSheetId="22" hidden="1">AUDITCHECK!$27:$28</definedName>
    <definedName name="Z_21F80B28_2D59_4A2F_B7F1_982D582C738E_.wvu.Rows" localSheetId="21" hidden="1">'DeficitAFRSum Calc 36'!$16:$19</definedName>
    <definedName name="Z_21F80B28_2D59_4A2F_B7F1_982D582C738E_.wvu.Rows" localSheetId="3" hidden="1">'FP Info 3'!$12:$12,'FP Info 3'!$26:$26,'FP Info 3'!$39:$39</definedName>
    <definedName name="Z_21F80B28_2D59_4A2F_B7F1_982D582C738E_.wvu.Rows" localSheetId="13" hidden="1">'PCTC-OEPP 27-28'!$137:$160</definedName>
    <definedName name="Z_21F80B28_2D59_4A2F_B7F1_982D582C738E_.wvu.Rows" localSheetId="16" hidden="1">'Shared Outsourced Services 31'!$39:$39,'Shared Outsourced Services 31'!$44:$44,'Shared Outsourced Services 31'!$49:$49</definedName>
    <definedName name="Z_21F80B28_2D59_4A2F_B7F1_982D582C738E_.wvu.Rows" localSheetId="1" hidden="1">TOC!$38:$39</definedName>
    <definedName name="Z_659D510F_1045_4226_8DAF_5F1FF14245AE_.wvu.Cols" localSheetId="14" hidden="1">'Contracts Paid in CY 29'!$E:$E</definedName>
    <definedName name="Z_659D510F_1045_4226_8DAF_5F1FF14245AE_.wvu.Cols" localSheetId="4" hidden="1">'Fin Profile 4'!$J:$J</definedName>
    <definedName name="Z_659D510F_1045_4226_8DAF_5F1FF14245AE_.wvu.PrintArea" localSheetId="28" hidden="1">' SEFA'!$B$1:$M$46</definedName>
    <definedName name="Z_659D510F_1045_4226_8DAF_5F1FF14245AE_.wvu.PrintArea" localSheetId="29" hidden="1">' SEFA (2)'!$B$1:$M$46</definedName>
    <definedName name="Z_659D510F_1045_4226_8DAF_5F1FF14245AE_.wvu.PrintArea" localSheetId="30" hidden="1">' SEFA (3)'!$B$1:$M$46</definedName>
    <definedName name="Z_659D510F_1045_4226_8DAF_5F1FF14245AE_.wvu.PrintArea" localSheetId="31" hidden="1">' SEFA (4)'!$B$1:$M$46</definedName>
    <definedName name="Z_659D510F_1045_4226_8DAF_5F1FF14245AE_.wvu.PrintArea" localSheetId="5" hidden="1">'Assets-Liab 5-6'!$A$1:$N$41</definedName>
    <definedName name="Z_659D510F_1045_4226_8DAF_5F1FF14245AE_.wvu.PrintArea" localSheetId="2" hidden="1">'Aud Quest 2'!$A$1:$J$120</definedName>
    <definedName name="Z_659D510F_1045_4226_8DAF_5F1FF14245AE_.wvu.PrintArea" localSheetId="15" hidden="1">'ICR Computation 30'!$A$1:$G$46</definedName>
    <definedName name="Z_659D510F_1045_4226_8DAF_5F1FF14245AE_.wvu.PrintArea" localSheetId="18" hidden="1">'Itemization 33'!$A$1:$B$53</definedName>
    <definedName name="Z_659D510F_1045_4226_8DAF_5F1FF14245AE_.wvu.PrintArea" localSheetId="13" hidden="1">'PCTC-OEPP 27-28'!$A$1:$G$189</definedName>
    <definedName name="Z_659D510F_1045_4226_8DAF_5F1FF14245AE_.wvu.PrintArea" localSheetId="27" hidden="1">'SEFA NOTES'!$A$1:$F$52</definedName>
    <definedName name="Z_659D510F_1045_4226_8DAF_5F1FF14245AE_.wvu.PrintArea" localSheetId="26" hidden="1">'SEFA Reconcile'!$A$1:$E$49</definedName>
    <definedName name="Z_659D510F_1045_4226_8DAF_5F1FF14245AE_.wvu.PrintArea" localSheetId="32" hidden="1">'SF&amp;QC Sec-1'!$A$1:$J$63</definedName>
    <definedName name="Z_659D510F_1045_4226_8DAF_5F1FF14245AE_.wvu.PrintArea" localSheetId="34" hidden="1">'SF&amp;QC Sec-3'!$A$1:$K$52</definedName>
    <definedName name="Z_659D510F_1045_4226_8DAF_5F1FF14245AE_.wvu.PrintArea" localSheetId="16" hidden="1">'Shared Outsourced Services 31'!$A$1:$F$43</definedName>
    <definedName name="Z_659D510F_1045_4226_8DAF_5F1FF14245AE_.wvu.PrintArea" localSheetId="25" hidden="1">'Single Audit Checklist'!$A$1:$D$124</definedName>
    <definedName name="Z_659D510F_1045_4226_8DAF_5F1FF14245AE_.wvu.PrintArea" localSheetId="24" hidden="1">'Single Audit Cover'!$A$1:$L$52</definedName>
    <definedName name="Z_659D510F_1045_4226_8DAF_5F1FF14245AE_.wvu.PrintTitles" localSheetId="6" hidden="1">'Acct Summary 7-8'!$A:$B,'Acct Summary 7-8'!$1:$2</definedName>
    <definedName name="Z_659D510F_1045_4226_8DAF_5F1FF14245AE_.wvu.PrintTitles" localSheetId="5" hidden="1">'Assets-Liab 5-6'!$A:$B,'Assets-Liab 5-6'!$1:$2</definedName>
    <definedName name="Z_659D510F_1045_4226_8DAF_5F1FF14245AE_.wvu.PrintTitles" localSheetId="22" hidden="1">AUDITCHECK!$20:$20</definedName>
    <definedName name="Z_659D510F_1045_4226_8DAF_5F1FF14245AE_.wvu.PrintTitles" localSheetId="14" hidden="1">'Contracts Paid in CY 29'!$15:$15</definedName>
    <definedName name="Z_659D510F_1045_4226_8DAF_5F1FF14245AE_.wvu.PrintTitles" localSheetId="8" hidden="1">'Expenditures 15-22'!$A:$B,'Expenditures 15-22'!$1:$2</definedName>
    <definedName name="Z_659D510F_1045_4226_8DAF_5F1FF14245AE_.wvu.PrintTitles" localSheetId="13" hidden="1">'PCTC-OEPP 27-28'!$1:$5</definedName>
    <definedName name="Z_659D510F_1045_4226_8DAF_5F1FF14245AE_.wvu.PrintTitles" localSheetId="7" hidden="1">'Revenues 9-14'!$A:$B,'Revenues 9-14'!$1:$2</definedName>
    <definedName name="Z_659D510F_1045_4226_8DAF_5F1FF14245AE_.wvu.PrintTitles" localSheetId="16" hidden="1">'Shared Outsourced Services 31'!$5:$5</definedName>
    <definedName name="Z_659D510F_1045_4226_8DAF_5F1FF14245AE_.wvu.PrintTitles" localSheetId="25" hidden="1">'Single Audit Checklist'!$1:$4</definedName>
    <definedName name="Z_659D510F_1045_4226_8DAF_5F1FF14245AE_.wvu.Rows" localSheetId="6" hidden="1">'Acct Summary 7-8'!$83:$83</definedName>
    <definedName name="Z_659D510F_1045_4226_8DAF_5F1FF14245AE_.wvu.Rows" localSheetId="2" hidden="1">'Aud Quest 2'!$12:$12,'Aud Quest 2'!$17:$17,'Aud Quest 2'!$19:$19,'Aud Quest 2'!$34:$34,'Aud Quest 2'!$39:$39</definedName>
    <definedName name="Z_659D510F_1045_4226_8DAF_5F1FF14245AE_.wvu.Rows" localSheetId="22" hidden="1">AUDITCHECK!$27:$28</definedName>
    <definedName name="Z_659D510F_1045_4226_8DAF_5F1FF14245AE_.wvu.Rows" localSheetId="21" hidden="1">'DeficitAFRSum Calc 36'!$16:$19</definedName>
    <definedName name="Z_659D510F_1045_4226_8DAF_5F1FF14245AE_.wvu.Rows" localSheetId="3" hidden="1">'FP Info 3'!$12:$12,'FP Info 3'!$26:$26,'FP Info 3'!$39:$39</definedName>
    <definedName name="Z_659D510F_1045_4226_8DAF_5F1FF14245AE_.wvu.Rows" localSheetId="13" hidden="1">'PCTC-OEPP 27-28'!$137:$160</definedName>
    <definedName name="Z_659D510F_1045_4226_8DAF_5F1FF14245AE_.wvu.Rows" localSheetId="16" hidden="1">'Shared Outsourced Services 31'!$39:$39,'Shared Outsourced Services 31'!$44:$44,'Shared Outsourced Services 31'!$49:$49</definedName>
    <definedName name="Z_659D510F_1045_4226_8DAF_5F1FF14245AE_.wvu.Rows" localSheetId="1" hidden="1">TOC!$38:$39</definedName>
    <definedName name="Z_66701A8A_4B70_4BC6_A23C_3FE9EE52CAD0_.wvu.Cols" localSheetId="14" hidden="1">'Contracts Paid in CY 29'!$E:$E</definedName>
    <definedName name="Z_66701A8A_4B70_4BC6_A23C_3FE9EE52CAD0_.wvu.Cols" localSheetId="4" hidden="1">'Fin Profile 4'!$J:$J</definedName>
    <definedName name="Z_66701A8A_4B70_4BC6_A23C_3FE9EE52CAD0_.wvu.PrintArea" localSheetId="28" hidden="1">' SEFA'!$B$1:$M$46</definedName>
    <definedName name="Z_66701A8A_4B70_4BC6_A23C_3FE9EE52CAD0_.wvu.PrintArea" localSheetId="29" hidden="1">' SEFA (2)'!$B$1:$M$46</definedName>
    <definedName name="Z_66701A8A_4B70_4BC6_A23C_3FE9EE52CAD0_.wvu.PrintArea" localSheetId="30" hidden="1">' SEFA (3)'!$B$1:$M$46</definedName>
    <definedName name="Z_66701A8A_4B70_4BC6_A23C_3FE9EE52CAD0_.wvu.PrintArea" localSheetId="31" hidden="1">' SEFA (4)'!$B$1:$M$46</definedName>
    <definedName name="Z_66701A8A_4B70_4BC6_A23C_3FE9EE52CAD0_.wvu.PrintArea" localSheetId="5" hidden="1">'Assets-Liab 5-6'!$A$1:$N$41</definedName>
    <definedName name="Z_66701A8A_4B70_4BC6_A23C_3FE9EE52CAD0_.wvu.PrintArea" localSheetId="2" hidden="1">'Aud Quest 2'!$A$1:$J$120</definedName>
    <definedName name="Z_66701A8A_4B70_4BC6_A23C_3FE9EE52CAD0_.wvu.PrintArea" localSheetId="15" hidden="1">'ICR Computation 30'!$A$1:$G$46</definedName>
    <definedName name="Z_66701A8A_4B70_4BC6_A23C_3FE9EE52CAD0_.wvu.PrintArea" localSheetId="18" hidden="1">'Itemization 33'!$A$1:$B$53</definedName>
    <definedName name="Z_66701A8A_4B70_4BC6_A23C_3FE9EE52CAD0_.wvu.PrintArea" localSheetId="13" hidden="1">'PCTC-OEPP 27-28'!$A$1:$G$189</definedName>
    <definedName name="Z_66701A8A_4B70_4BC6_A23C_3FE9EE52CAD0_.wvu.PrintArea" localSheetId="27" hidden="1">'SEFA NOTES'!$A$1:$F$52</definedName>
    <definedName name="Z_66701A8A_4B70_4BC6_A23C_3FE9EE52CAD0_.wvu.PrintArea" localSheetId="26" hidden="1">'SEFA Reconcile'!$A$1:$E$49</definedName>
    <definedName name="Z_66701A8A_4B70_4BC6_A23C_3FE9EE52CAD0_.wvu.PrintArea" localSheetId="32" hidden="1">'SF&amp;QC Sec-1'!$A$1:$J$63</definedName>
    <definedName name="Z_66701A8A_4B70_4BC6_A23C_3FE9EE52CAD0_.wvu.PrintArea" localSheetId="34" hidden="1">'SF&amp;QC Sec-3'!$A$1:$K$52</definedName>
    <definedName name="Z_66701A8A_4B70_4BC6_A23C_3FE9EE52CAD0_.wvu.PrintArea" localSheetId="16" hidden="1">'Shared Outsourced Services 31'!$A$1:$F$43</definedName>
    <definedName name="Z_66701A8A_4B70_4BC6_A23C_3FE9EE52CAD0_.wvu.PrintArea" localSheetId="25" hidden="1">'Single Audit Checklist'!$A$1:$D$124</definedName>
    <definedName name="Z_66701A8A_4B70_4BC6_A23C_3FE9EE52CAD0_.wvu.PrintArea" localSheetId="24" hidden="1">'Single Audit Cover'!$A$1:$L$52</definedName>
    <definedName name="Z_66701A8A_4B70_4BC6_A23C_3FE9EE52CAD0_.wvu.PrintTitles" localSheetId="6" hidden="1">'Acct Summary 7-8'!$A:$B,'Acct Summary 7-8'!$1:$2</definedName>
    <definedName name="Z_66701A8A_4B70_4BC6_A23C_3FE9EE52CAD0_.wvu.PrintTitles" localSheetId="5" hidden="1">'Assets-Liab 5-6'!$A:$B,'Assets-Liab 5-6'!$1:$2</definedName>
    <definedName name="Z_66701A8A_4B70_4BC6_A23C_3FE9EE52CAD0_.wvu.PrintTitles" localSheetId="22" hidden="1">AUDITCHECK!$20:$20</definedName>
    <definedName name="Z_66701A8A_4B70_4BC6_A23C_3FE9EE52CAD0_.wvu.PrintTitles" localSheetId="14" hidden="1">'Contracts Paid in CY 29'!$15:$15</definedName>
    <definedName name="Z_66701A8A_4B70_4BC6_A23C_3FE9EE52CAD0_.wvu.PrintTitles" localSheetId="8" hidden="1">'Expenditures 15-22'!$A:$B,'Expenditures 15-22'!$1:$2</definedName>
    <definedName name="Z_66701A8A_4B70_4BC6_A23C_3FE9EE52CAD0_.wvu.PrintTitles" localSheetId="13" hidden="1">'PCTC-OEPP 27-28'!$1:$5</definedName>
    <definedName name="Z_66701A8A_4B70_4BC6_A23C_3FE9EE52CAD0_.wvu.PrintTitles" localSheetId="7" hidden="1">'Revenues 9-14'!$A:$B,'Revenues 9-14'!$1:$2</definedName>
    <definedName name="Z_66701A8A_4B70_4BC6_A23C_3FE9EE52CAD0_.wvu.PrintTitles" localSheetId="16" hidden="1">'Shared Outsourced Services 31'!$5:$5</definedName>
    <definedName name="Z_66701A8A_4B70_4BC6_A23C_3FE9EE52CAD0_.wvu.PrintTitles" localSheetId="25" hidden="1">'Single Audit Checklist'!$1:$4</definedName>
    <definedName name="Z_66701A8A_4B70_4BC6_A23C_3FE9EE52CAD0_.wvu.Rows" localSheetId="6" hidden="1">'Acct Summary 7-8'!$83:$83</definedName>
    <definedName name="Z_66701A8A_4B70_4BC6_A23C_3FE9EE52CAD0_.wvu.Rows" localSheetId="2" hidden="1">'Aud Quest 2'!$12:$12,'Aud Quest 2'!$17:$17,'Aud Quest 2'!$19:$19,'Aud Quest 2'!$34:$34,'Aud Quest 2'!$39:$39</definedName>
    <definedName name="Z_66701A8A_4B70_4BC6_A23C_3FE9EE52CAD0_.wvu.Rows" localSheetId="22" hidden="1">AUDITCHECK!$27:$28</definedName>
    <definedName name="Z_66701A8A_4B70_4BC6_A23C_3FE9EE52CAD0_.wvu.Rows" localSheetId="21" hidden="1">'DeficitAFRSum Calc 36'!$16:$19</definedName>
    <definedName name="Z_66701A8A_4B70_4BC6_A23C_3FE9EE52CAD0_.wvu.Rows" localSheetId="3" hidden="1">'FP Info 3'!$12:$12,'FP Info 3'!$26:$26,'FP Info 3'!$39:$39</definedName>
    <definedName name="Z_66701A8A_4B70_4BC6_A23C_3FE9EE52CAD0_.wvu.Rows" localSheetId="13" hidden="1">'PCTC-OEPP 27-28'!$137:$160</definedName>
    <definedName name="Z_66701A8A_4B70_4BC6_A23C_3FE9EE52CAD0_.wvu.Rows" localSheetId="16" hidden="1">'Shared Outsourced Services 31'!$39:$39,'Shared Outsourced Services 31'!$44:$44,'Shared Outsourced Services 31'!$49:$49</definedName>
    <definedName name="Z_66701A8A_4B70_4BC6_A23C_3FE9EE52CAD0_.wvu.Rows" localSheetId="1" hidden="1">TOC!$38:$39</definedName>
  </definedNames>
  <calcPr calcId="162913"/>
  <customWorkbookViews>
    <customWorkbookView name="Chelsey - Personal View" guid="{66701A8A-4B70-4BC6-A23C-3FE9EE52CAD0}" mergeInterval="0" personalView="1" maximized="1" xWindow="-8" yWindow="-8" windowWidth="1936" windowHeight="1056" tabRatio="959" activeSheetId="18"/>
    <customWorkbookView name="Paula - Personal View" guid="{21F80B28-2D59-4A2F-B7F1-982D582C738E}" mergeInterval="0" personalView="1" maximized="1" xWindow="-8" yWindow="-8" windowWidth="1936" windowHeight="1056" tabRatio="959" activeSheetId="1"/>
    <customWorkbookView name="Ann - Personal View" guid="{659D510F-1045-4226-8DAF-5F1FF14245AE}" mergeInterval="0" personalView="1" xWindow="132" yWindow="30" windowWidth="1550" windowHeight="945" tabRatio="959" activeSheetId="18"/>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 i="32" l="1"/>
  <c r="I18" i="32"/>
  <c r="G18" i="32"/>
  <c r="F18" i="32"/>
  <c r="E18" i="32"/>
  <c r="K17" i="32"/>
  <c r="I17" i="32"/>
  <c r="G17" i="32"/>
  <c r="F17" i="32"/>
  <c r="E17" i="32"/>
  <c r="K16" i="32"/>
  <c r="I16" i="32"/>
  <c r="G16" i="32"/>
  <c r="F16" i="32"/>
  <c r="E16" i="32"/>
  <c r="K15" i="32"/>
  <c r="I15" i="32"/>
  <c r="G15" i="32"/>
  <c r="F15" i="32"/>
  <c r="E15" i="32"/>
  <c r="K14" i="32"/>
  <c r="I14" i="32"/>
  <c r="G14" i="32"/>
  <c r="F14" i="32"/>
  <c r="E14" i="32"/>
  <c r="K13" i="32"/>
  <c r="I13" i="32"/>
  <c r="G13" i="32"/>
  <c r="F13" i="32"/>
  <c r="E13" i="32"/>
  <c r="K12" i="32"/>
  <c r="I12" i="32"/>
  <c r="G12" i="32"/>
  <c r="F12" i="32"/>
  <c r="E12" i="32"/>
  <c r="K26" i="32"/>
  <c r="H26" i="32"/>
  <c r="I20" i="30"/>
  <c r="I26" i="32" s="1"/>
  <c r="G20" i="30"/>
  <c r="G26" i="32" s="1"/>
  <c r="F20" i="30"/>
  <c r="F26" i="32" s="1"/>
  <c r="E20" i="30"/>
  <c r="L18" i="30"/>
  <c r="L19" i="30"/>
  <c r="K22" i="32" l="1"/>
  <c r="G22" i="32"/>
  <c r="E22" i="32"/>
  <c r="E26" i="32"/>
  <c r="I22" i="32"/>
  <c r="L22" i="32" s="1"/>
  <c r="F22" i="32"/>
  <c r="L20" i="30"/>
  <c r="K24" i="29"/>
  <c r="I24" i="29"/>
  <c r="G24" i="29"/>
  <c r="F24" i="29"/>
  <c r="E24" i="29"/>
  <c r="K17" i="29"/>
  <c r="I17" i="29"/>
  <c r="I27" i="29" s="1"/>
  <c r="I17" i="31" s="1"/>
  <c r="G17" i="29"/>
  <c r="G27" i="29" s="1"/>
  <c r="G17" i="31" s="1"/>
  <c r="F17" i="29"/>
  <c r="E17" i="29"/>
  <c r="L27" i="32"/>
  <c r="L26" i="32"/>
  <c r="L25" i="32"/>
  <c r="L24" i="32"/>
  <c r="L23" i="32"/>
  <c r="L21" i="32"/>
  <c r="L20" i="32"/>
  <c r="L19" i="32"/>
  <c r="L18" i="32"/>
  <c r="L17" i="32"/>
  <c r="L16" i="32"/>
  <c r="L15" i="32"/>
  <c r="L14" i="32"/>
  <c r="L13" i="32"/>
  <c r="L12" i="32"/>
  <c r="L11" i="32"/>
  <c r="B4" i="32"/>
  <c r="L13" i="31"/>
  <c r="B4" i="31"/>
  <c r="L23" i="30"/>
  <c r="L17" i="30"/>
  <c r="L16" i="30"/>
  <c r="L15" i="30"/>
  <c r="L14" i="30"/>
  <c r="L13" i="30"/>
  <c r="B4" i="30"/>
  <c r="K27" i="29" l="1"/>
  <c r="K17" i="31" s="1"/>
  <c r="L17" i="31" s="1"/>
  <c r="E27" i="29"/>
  <c r="E17" i="31" s="1"/>
  <c r="F27" i="29"/>
  <c r="F17" i="31" s="1"/>
  <c r="D182" i="14"/>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1" i="23" s="1"/>
  <c r="K356" i="9" l="1"/>
  <c r="K355" i="9"/>
  <c r="B7794" i="24" s="1"/>
  <c r="K354" i="9"/>
  <c r="H357" i="9"/>
  <c r="L334" i="9"/>
  <c r="K333" i="9"/>
  <c r="B7788" i="24" s="1"/>
  <c r="K332" i="9"/>
  <c r="B7786" i="24" s="1"/>
  <c r="H334" i="9"/>
  <c r="B7789" i="24" s="1"/>
  <c r="K282" i="9"/>
  <c r="B7784" i="24" s="1"/>
  <c r="H160" i="9"/>
  <c r="K159" i="9"/>
  <c r="K158" i="9"/>
  <c r="B7780" i="24" s="1"/>
  <c r="K157" i="9"/>
  <c r="B7795" i="24"/>
  <c r="K133" i="9"/>
  <c r="B7776" i="24" s="1"/>
  <c r="B7793" i="24"/>
  <c r="B7791" i="24"/>
  <c r="B7787" i="24"/>
  <c r="B7785" i="24"/>
  <c r="B7783" i="24"/>
  <c r="B7782"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4" i="29"/>
  <c r="L22" i="29"/>
  <c r="L21" i="29"/>
  <c r="L17" i="29"/>
  <c r="L16" i="29"/>
  <c r="L15" i="29"/>
  <c r="L14" i="29"/>
  <c r="L13" i="29"/>
  <c r="D14" i="27" l="1"/>
  <c r="D12" i="27"/>
  <c r="A10" i="25"/>
  <c r="A16" i="25"/>
  <c r="A15" i="25"/>
  <c r="A14" i="25"/>
  <c r="K18" i="25"/>
  <c r="G18" i="25"/>
  <c r="G15" i="25"/>
  <c r="I13" i="25"/>
  <c r="G11" i="25"/>
  <c r="G10" i="25"/>
  <c r="G9" i="25"/>
  <c r="G7" i="25"/>
  <c r="E7" i="25"/>
  <c r="A7" i="25"/>
  <c r="B4" i="36"/>
  <c r="B4" i="35"/>
  <c r="B4" i="34"/>
  <c r="G43" i="33"/>
  <c r="D47" i="33" s="1"/>
  <c r="B4" i="33"/>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1" i="30" l="1"/>
  <c r="B1" i="31"/>
  <c r="B1" i="32"/>
  <c r="B2" i="29"/>
  <c r="B2" i="31"/>
  <c r="B2" i="30"/>
  <c r="B2" i="32"/>
  <c r="B2" i="36"/>
  <c r="B2" i="33"/>
  <c r="A2" i="26"/>
  <c r="A2" i="28"/>
  <c r="A1" i="27"/>
  <c r="B1" i="29"/>
  <c r="B2" i="35"/>
  <c r="B1" i="34"/>
  <c r="B1" i="36"/>
  <c r="A1" i="26"/>
  <c r="A2" i="27"/>
  <c r="A1" i="28"/>
  <c r="B1" i="33"/>
  <c r="B2" i="34"/>
  <c r="B1" i="35"/>
  <c r="B7773" i="24" l="1"/>
  <c r="B61" i="24" l="1"/>
  <c r="B52" i="24"/>
  <c r="B51" i="24" l="1"/>
  <c r="B49" i="24"/>
  <c r="B48" i="24"/>
  <c r="B47" i="24"/>
  <c r="B46" i="24"/>
  <c r="B45" i="24"/>
  <c r="B44" i="24"/>
  <c r="B43" i="24"/>
  <c r="B42" i="24"/>
  <c r="B41" i="24"/>
  <c r="B50" i="24"/>
  <c r="F163" i="14" l="1"/>
  <c r="B7769" i="24"/>
  <c r="B7768" i="24"/>
  <c r="B7766" i="24"/>
  <c r="B7765" i="24"/>
  <c r="B7764" i="24"/>
  <c r="D7764" i="24" s="1"/>
  <c r="J85" i="3"/>
  <c r="B7758" i="24" s="1"/>
  <c r="D7758" i="24" s="1"/>
  <c r="J88" i="3"/>
  <c r="K6" i="9"/>
  <c r="B7763" i="24" s="1"/>
  <c r="B7762" i="24"/>
  <c r="K12" i="12"/>
  <c r="K23" i="12"/>
  <c r="K24" i="12" s="1"/>
  <c r="B7733" i="24" s="1"/>
  <c r="J12" i="12"/>
  <c r="J21" i="12"/>
  <c r="J23" i="12" s="1"/>
  <c r="B7729" i="24"/>
  <c r="D7729" i="24" s="1"/>
  <c r="B7734" i="24"/>
  <c r="D7734" i="24" s="1"/>
  <c r="B7726" i="24"/>
  <c r="D76" i="23"/>
  <c r="F162" i="14"/>
  <c r="B30" i="23"/>
  <c r="B33" i="23" s="1"/>
  <c r="B43" i="23" s="1"/>
  <c r="B56" i="23" s="1"/>
  <c r="B66" i="23" s="1"/>
  <c r="B70" i="23" s="1"/>
  <c r="B74" i="23" s="1"/>
  <c r="D73" i="23"/>
  <c r="C191" i="8"/>
  <c r="C201" i="8"/>
  <c r="C211" i="8"/>
  <c r="B5260" i="24" s="1"/>
  <c r="D5260" i="24" s="1"/>
  <c r="C216" i="8"/>
  <c r="C224" i="8"/>
  <c r="C228" i="8"/>
  <c r="C259" i="8"/>
  <c r="B7761" i="24"/>
  <c r="D7761" i="24" s="1"/>
  <c r="L127" i="9"/>
  <c r="L129" i="9" s="1"/>
  <c r="L139" i="9"/>
  <c r="L149" i="9"/>
  <c r="I7" i="18"/>
  <c r="I6" i="18"/>
  <c r="D78" i="23"/>
  <c r="K75" i="9"/>
  <c r="K130" i="9"/>
  <c r="K185" i="9"/>
  <c r="B2836" i="24" s="1"/>
  <c r="D2836" i="24" s="1"/>
  <c r="K122" i="9"/>
  <c r="F15" i="18" s="1"/>
  <c r="F19" i="18" s="1"/>
  <c r="K67" i="9"/>
  <c r="E33" i="16" s="1"/>
  <c r="K64" i="9"/>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B92" i="24"/>
  <c r="D92"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B123" i="24"/>
  <c r="D123" i="24" s="1"/>
  <c r="D125" i="24"/>
  <c r="B126" i="24"/>
  <c r="D126" i="24" s="1"/>
  <c r="D127" i="24"/>
  <c r="D128" i="24"/>
  <c r="B129" i="24"/>
  <c r="D129" i="24" s="1"/>
  <c r="B130" i="24"/>
  <c r="D130" i="24" s="1"/>
  <c r="E13" i="6"/>
  <c r="B131" i="24" s="1"/>
  <c r="D131" i="24" s="1"/>
  <c r="D132" i="24"/>
  <c r="D133" i="24"/>
  <c r="B134" i="24"/>
  <c r="D134" i="24" s="1"/>
  <c r="D135" i="24"/>
  <c r="D136" i="24"/>
  <c r="D137" i="24"/>
  <c r="D138" i="24"/>
  <c r="E34" i="6"/>
  <c r="B140" i="24"/>
  <c r="D140" i="24" s="1"/>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B170" i="24"/>
  <c r="D170" i="24" s="1"/>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B189" i="24"/>
  <c r="D189" i="24" s="1"/>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B212" i="24"/>
  <c r="D212" i="24" s="1"/>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B273" i="24"/>
  <c r="D273" i="24" s="1"/>
  <c r="B274" i="24"/>
  <c r="D274" i="24" s="1"/>
  <c r="B275" i="24"/>
  <c r="D275" i="24" s="1"/>
  <c r="B276" i="24"/>
  <c r="D276" i="24" s="1"/>
  <c r="D277" i="24"/>
  <c r="D278" i="24"/>
  <c r="M23" i="6"/>
  <c r="B279" i="24" s="1"/>
  <c r="D279" i="24" s="1"/>
  <c r="B280" i="24"/>
  <c r="D280" i="24" s="1"/>
  <c r="M41" i="6"/>
  <c r="B281" i="24" s="1"/>
  <c r="D281" i="24" s="1"/>
  <c r="B282" i="24"/>
  <c r="D282" i="24" s="1"/>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K61" i="9"/>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K82" i="9"/>
  <c r="B2977" i="24" s="1"/>
  <c r="D2977" i="24" s="1"/>
  <c r="K83" i="9"/>
  <c r="B2978" i="24" s="1"/>
  <c r="D2978" i="24" s="1"/>
  <c r="K93" i="9"/>
  <c r="K94" i="9"/>
  <c r="K95" i="9"/>
  <c r="B7001" i="24" s="1"/>
  <c r="D7001" i="24" s="1"/>
  <c r="K96" i="9"/>
  <c r="B7003" i="24" s="1"/>
  <c r="D7003" i="24" s="1"/>
  <c r="K97" i="9"/>
  <c r="B7005" i="24" s="1"/>
  <c r="D7005" i="24" s="1"/>
  <c r="K98" i="9"/>
  <c r="K99" i="9"/>
  <c r="K101" i="9"/>
  <c r="B7015" i="24" s="1"/>
  <c r="D7015" i="24" s="1"/>
  <c r="K105" i="9"/>
  <c r="K106" i="9"/>
  <c r="B1147" i="24" s="1"/>
  <c r="D1147" i="24" s="1"/>
  <c r="D1148" i="24"/>
  <c r="K109" i="9"/>
  <c r="B1149" i="24" s="1"/>
  <c r="D1149" i="24" s="1"/>
  <c r="D1150" i="24"/>
  <c r="K107" i="9"/>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B1223" i="24" s="1"/>
  <c r="D1223" i="24"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K128" i="9"/>
  <c r="B1280" i="24" s="1"/>
  <c r="D1280" i="24" s="1"/>
  <c r="K120" i="9"/>
  <c r="B4080" i="24" s="1"/>
  <c r="D4080" i="24" s="1"/>
  <c r="K134" i="9"/>
  <c r="K135" i="9"/>
  <c r="B2987" i="24" s="1"/>
  <c r="D2987" i="24" s="1"/>
  <c r="K136" i="9"/>
  <c r="B2988" i="24" s="1"/>
  <c r="D2988" i="24" s="1"/>
  <c r="K138" i="9"/>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K188" i="9"/>
  <c r="B3007" i="24" s="1"/>
  <c r="D3007" i="24" s="1"/>
  <c r="K189" i="9"/>
  <c r="B3008" i="24" s="1"/>
  <c r="D3008" i="24" s="1"/>
  <c r="K190" i="9"/>
  <c r="B3009" i="24" s="1"/>
  <c r="D3009" i="24" s="1"/>
  <c r="K191" i="9"/>
  <c r="B3010" i="24" s="1"/>
  <c r="D3010" i="24" s="1"/>
  <c r="K192" i="9"/>
  <c r="B3011" i="24" s="1"/>
  <c r="D3011" i="24" s="1"/>
  <c r="K193" i="9"/>
  <c r="K195" i="9"/>
  <c r="B2839" i="24" s="1"/>
  <c r="K199" i="9"/>
  <c r="B1383" i="24" s="1"/>
  <c r="D1383" i="24" s="1"/>
  <c r="K200" i="9"/>
  <c r="B1384" i="24" s="1"/>
  <c r="D1384" i="24" s="1"/>
  <c r="K203" i="9"/>
  <c r="B1385" i="24" s="1"/>
  <c r="D1385" i="24" s="1"/>
  <c r="D1386" i="24"/>
  <c r="K201" i="9"/>
  <c r="B2841" i="24" s="1"/>
  <c r="D2841" i="24" s="1"/>
  <c r="K202" i="9"/>
  <c r="K205" i="9"/>
  <c r="K206" i="9"/>
  <c r="K207" i="9"/>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F68" i="14" s="1"/>
  <c r="K219" i="9"/>
  <c r="B3065" i="24" s="1"/>
  <c r="D3065" i="24" s="1"/>
  <c r="K220" i="9"/>
  <c r="K226" i="9"/>
  <c r="K228" i="9"/>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K249" i="9"/>
  <c r="K250" i="9"/>
  <c r="K251" i="9"/>
  <c r="B7088" i="24" s="1"/>
  <c r="D7088" i="24" s="1"/>
  <c r="K252" i="9"/>
  <c r="K253" i="9"/>
  <c r="B7092" i="24" s="1"/>
  <c r="D7092" i="24" s="1"/>
  <c r="K254" i="9"/>
  <c r="B7094" i="24" s="1"/>
  <c r="D7094" i="24" s="1"/>
  <c r="K255" i="9"/>
  <c r="B7096" i="24" s="1"/>
  <c r="D7096" i="24" s="1"/>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K288" i="9"/>
  <c r="K289" i="9"/>
  <c r="B1513" i="24" s="1"/>
  <c r="D1513" i="24" s="1"/>
  <c r="K292" i="9"/>
  <c r="B1514" i="24" s="1"/>
  <c r="D1514" i="24" s="1"/>
  <c r="K290" i="9"/>
  <c r="B2845" i="24" s="1"/>
  <c r="D2845" i="24" s="1"/>
  <c r="K291" i="9"/>
  <c r="B2846" i="24" s="1"/>
  <c r="D2846" i="24" s="1"/>
  <c r="D1516" i="24"/>
  <c r="K283" i="9"/>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B2027" i="24" s="1"/>
  <c r="D2027" i="24" s="1"/>
  <c r="F10" i="13"/>
  <c r="B2028" i="24" s="1"/>
  <c r="D2028" i="24" s="1"/>
  <c r="F12" i="13"/>
  <c r="B2029" i="24" s="1"/>
  <c r="D2029" i="24" s="1"/>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D2062" i="24"/>
  <c r="D2063" i="24"/>
  <c r="D2064" i="24"/>
  <c r="D2065" i="24"/>
  <c r="D2066" i="24"/>
  <c r="D2067" i="24"/>
  <c r="D2068" i="24"/>
  <c r="D2069" i="24"/>
  <c r="D2070" i="24"/>
  <c r="D2071" i="24"/>
  <c r="D2072" i="24"/>
  <c r="D2073" i="24"/>
  <c r="D2074" i="24"/>
  <c r="D2075" i="24"/>
  <c r="D2076" i="24"/>
  <c r="D2077" i="24"/>
  <c r="D2078" i="24"/>
  <c r="D2079" i="24"/>
  <c r="D2080" i="24"/>
  <c r="B2081" i="24"/>
  <c r="D2081" i="24" s="1"/>
  <c r="D2082" i="24"/>
  <c r="D2083" i="24"/>
  <c r="D2084" i="24"/>
  <c r="D2085" i="24"/>
  <c r="D2086" i="24"/>
  <c r="D2087" i="24"/>
  <c r="D2090" i="24"/>
  <c r="B2091" i="24"/>
  <c r="D2091" i="24" s="1"/>
  <c r="B2092" i="24"/>
  <c r="D2092" i="24" s="1"/>
  <c r="B2094" i="24"/>
  <c r="D2094"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4" i="24"/>
  <c r="D2724" i="24" s="1"/>
  <c r="B2725" i="24"/>
  <c r="D2725" i="24" s="1"/>
  <c r="B2727" i="24"/>
  <c r="D2727" i="24" s="1"/>
  <c r="B2728" i="24"/>
  <c r="D2728" i="24" s="1"/>
  <c r="B2729" i="24"/>
  <c r="D2729" i="24" s="1"/>
  <c r="B2730" i="24"/>
  <c r="D2730" i="24" s="1"/>
  <c r="B2731" i="24"/>
  <c r="D2731" i="24" s="1"/>
  <c r="B2732" i="24"/>
  <c r="D2732" i="24" s="1"/>
  <c r="F4" i="11"/>
  <c r="B2733" i="24" s="1"/>
  <c r="D2733" i="24" s="1"/>
  <c r="F25" i="1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5" i="24"/>
  <c r="D2795"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D2818" i="24"/>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D2839"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B2864" i="24"/>
  <c r="D2864" i="24" s="1"/>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2" i="24"/>
  <c r="D2912"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6" i="24"/>
  <c r="D2976"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B3012" i="24"/>
  <c r="D3012" i="24" s="1"/>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E38" i="7"/>
  <c r="B6286" i="24" s="1"/>
  <c r="D6286" i="24" s="1"/>
  <c r="E39" i="7"/>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H44" i="7"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B3392" i="24"/>
  <c r="D3392"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B3454" i="24" s="1"/>
  <c r="D3454"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B3488" i="24"/>
  <c r="D3488"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67" i="24"/>
  <c r="D3567"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C352" i="9"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G352" i="9"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K349" i="9"/>
  <c r="B3669" i="24" s="1"/>
  <c r="D3669" i="24" s="1"/>
  <c r="K351" i="9"/>
  <c r="B3671" i="24" s="1"/>
  <c r="D3671" i="24" s="1"/>
  <c r="B3673" i="24"/>
  <c r="D3673" i="24" s="1"/>
  <c r="K360" i="9"/>
  <c r="B3675" i="24" s="1"/>
  <c r="D3675" i="24" s="1"/>
  <c r="K361" i="9"/>
  <c r="B7239" i="24" s="1"/>
  <c r="D7239" i="24" s="1"/>
  <c r="D3677" i="24"/>
  <c r="K363" i="9"/>
  <c r="B7241" i="24" s="1"/>
  <c r="D7241" i="24" s="1"/>
  <c r="K364" i="9"/>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3" i="24"/>
  <c r="D3723"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B4087" i="24"/>
  <c r="D4087"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B4211" i="24"/>
  <c r="D4211"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5" i="24"/>
  <c r="D6215"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85" i="24"/>
  <c r="D6285" i="24" s="1"/>
  <c r="B6287" i="24"/>
  <c r="D6287" i="24" s="1"/>
  <c r="B6290" i="24"/>
  <c r="D6290" i="24" s="1"/>
  <c r="B6291" i="24"/>
  <c r="D6291" i="24" s="1"/>
  <c r="B6292" i="24"/>
  <c r="D6292" i="24" s="1"/>
  <c r="B6293" i="24"/>
  <c r="D6293" i="24" s="1"/>
  <c r="B6294" i="24"/>
  <c r="D6294" i="24" s="1"/>
  <c r="B6295" i="24"/>
  <c r="D6295" i="24" s="1"/>
  <c r="B6296" i="24"/>
  <c r="D6296" i="24" s="1"/>
  <c r="B6297" i="24"/>
  <c r="D6297"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7" i="24"/>
  <c r="D6997" i="24" s="1"/>
  <c r="B6998" i="24"/>
  <c r="D6998" i="24" s="1"/>
  <c r="B6999" i="24"/>
  <c r="D6999" i="24" s="1"/>
  <c r="B7000" i="24"/>
  <c r="D7000" i="24" s="1"/>
  <c r="B7002" i="24"/>
  <c r="D7002" i="24" s="1"/>
  <c r="B7004" i="24"/>
  <c r="D7004" i="24" s="1"/>
  <c r="B7006" i="24"/>
  <c r="D7006" i="24" s="1"/>
  <c r="B7007" i="24"/>
  <c r="D7007" i="24" s="1"/>
  <c r="B7008" i="24"/>
  <c r="D7008" i="24" s="1"/>
  <c r="B7009" i="24"/>
  <c r="D7009" i="24" s="1"/>
  <c r="B7010" i="24"/>
  <c r="D7010" i="24" s="1"/>
  <c r="B7014" i="24"/>
  <c r="D7014" i="24" s="1"/>
  <c r="B7016" i="24"/>
  <c r="D7016" i="24" s="1"/>
  <c r="K111" i="9"/>
  <c r="B7017" i="24" s="1"/>
  <c r="D7017" i="24" s="1"/>
  <c r="H112" i="9"/>
  <c r="B7018" i="24" s="1"/>
  <c r="D7018"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0" i="24"/>
  <c r="D7070" i="24" s="1"/>
  <c r="B7073" i="24"/>
  <c r="D7073" i="24" s="1"/>
  <c r="B7075" i="24"/>
  <c r="D7075" i="24" s="1"/>
  <c r="B7077" i="24"/>
  <c r="D7077" i="24" s="1"/>
  <c r="B7078" i="24"/>
  <c r="D7078" i="24" s="1"/>
  <c r="B7079" i="24"/>
  <c r="D7079" i="24" s="1"/>
  <c r="B7080" i="24"/>
  <c r="D7080" i="24" s="1"/>
  <c r="B7081" i="24"/>
  <c r="D7081" i="24" s="1"/>
  <c r="B7082" i="24"/>
  <c r="D7082" i="24" s="1"/>
  <c r="B7083" i="24"/>
  <c r="D7083" i="24" s="1"/>
  <c r="B7084" i="24"/>
  <c r="D7084" i="24" s="1"/>
  <c r="B7085" i="24"/>
  <c r="D7085" i="24" s="1"/>
  <c r="B7086" i="24"/>
  <c r="D7086" i="24" s="1"/>
  <c r="B7087" i="24"/>
  <c r="D7087" i="24" s="1"/>
  <c r="B7089" i="24"/>
  <c r="D7089" i="24" s="1"/>
  <c r="B7090" i="24"/>
  <c r="D7090" i="24" s="1"/>
  <c r="B7091" i="24"/>
  <c r="D7091" i="24" s="1"/>
  <c r="B7093" i="24"/>
  <c r="D7093" i="24" s="1"/>
  <c r="B7095" i="24"/>
  <c r="D7095"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7" i="24"/>
  <c r="D7107" i="24" s="1"/>
  <c r="B7108" i="24"/>
  <c r="D7108" i="24" s="1"/>
  <c r="B7109" i="24"/>
  <c r="D7109" i="24" s="1"/>
  <c r="B7110" i="24"/>
  <c r="D7110" i="24" s="1"/>
  <c r="B7111" i="24"/>
  <c r="D7111" i="24" s="1"/>
  <c r="B7112" i="24"/>
  <c r="D7112" i="24" s="1"/>
  <c r="B7113" i="24"/>
  <c r="D7113" i="24" s="1"/>
  <c r="B7114" i="24"/>
  <c r="D7114"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D7696" i="24"/>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B7731" i="24"/>
  <c r="D7731" i="24" s="1"/>
  <c r="D7733" i="24"/>
  <c r="B7735" i="24"/>
  <c r="D7735" i="24" s="1"/>
  <c r="B7736" i="24"/>
  <c r="D7736" i="24" s="1"/>
  <c r="B7737" i="24"/>
  <c r="D7737" i="24" s="1"/>
  <c r="B7738" i="24"/>
  <c r="D7738" i="24" s="1"/>
  <c r="K26" i="12"/>
  <c r="B7743" i="24" s="1"/>
  <c r="D7743" i="24" s="1"/>
  <c r="D7744" i="24"/>
  <c r="B7745" i="24"/>
  <c r="D7745" i="24" s="1"/>
  <c r="B7746" i="24"/>
  <c r="D7746"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2" i="24"/>
  <c r="D7763" i="24"/>
  <c r="D7765" i="24"/>
  <c r="D7766"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54" i="23"/>
  <c r="D71" i="23"/>
  <c r="D72" i="23"/>
  <c r="D79" i="23"/>
  <c r="B64" i="19"/>
  <c r="B65" i="19"/>
  <c r="D26" i="16"/>
  <c r="F26" i="16"/>
  <c r="D27" i="16"/>
  <c r="E27" i="16"/>
  <c r="F27" i="16"/>
  <c r="G27" i="16"/>
  <c r="F31" i="16"/>
  <c r="F36" i="16"/>
  <c r="F37" i="16"/>
  <c r="G28" i="16"/>
  <c r="E29" i="16"/>
  <c r="E30" i="16"/>
  <c r="G30" i="16"/>
  <c r="D31" i="16"/>
  <c r="D36" i="16"/>
  <c r="D37" i="16"/>
  <c r="E31" i="16"/>
  <c r="G31" i="16"/>
  <c r="E36" i="16"/>
  <c r="G36" i="16"/>
  <c r="E37" i="16"/>
  <c r="G37" i="16"/>
  <c r="E38" i="16"/>
  <c r="G38"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F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F52" i="14"/>
  <c r="C53" i="14"/>
  <c r="D53" i="14"/>
  <c r="C56" i="14"/>
  <c r="F56" i="14"/>
  <c r="C57" i="14"/>
  <c r="D57" i="14"/>
  <c r="C61" i="14"/>
  <c r="C62" i="14"/>
  <c r="F62" i="14"/>
  <c r="C63" i="14"/>
  <c r="D63" i="14"/>
  <c r="C64" i="14"/>
  <c r="F64" i="14"/>
  <c r="C67" i="14"/>
  <c r="D67" i="14"/>
  <c r="C68" i="14"/>
  <c r="D68" i="14"/>
  <c r="C69" i="14"/>
  <c r="D69" i="14"/>
  <c r="F69" i="14"/>
  <c r="C70" i="14"/>
  <c r="D70" i="14"/>
  <c r="F70" i="14"/>
  <c r="C71" i="14"/>
  <c r="D71" i="14"/>
  <c r="F71" i="14"/>
  <c r="C72" i="14"/>
  <c r="F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F94" i="1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B7591" i="24" s="1"/>
  <c r="F5" i="13"/>
  <c r="B2026" i="24" s="1"/>
  <c r="D2026" i="24" s="1"/>
  <c r="C16" i="13"/>
  <c r="B2013" i="24" s="1"/>
  <c r="D2013" i="24" s="1"/>
  <c r="B7727" i="24"/>
  <c r="D7727" i="24" s="1"/>
  <c r="C49" i="11"/>
  <c r="B4" i="10"/>
  <c r="B1744" i="24" s="1"/>
  <c r="D1744" i="24" s="1"/>
  <c r="B5" i="10"/>
  <c r="B6" i="10"/>
  <c r="D6" i="10" s="1"/>
  <c r="B1762" i="24" s="1"/>
  <c r="D1762" i="24" s="1"/>
  <c r="B7" i="10"/>
  <c r="B1747" i="24" s="1"/>
  <c r="D1747" i="24" s="1"/>
  <c r="B8" i="10"/>
  <c r="B1748" i="24" s="1"/>
  <c r="D1748" i="24" s="1"/>
  <c r="B9" i="10"/>
  <c r="B1751" i="24" s="1"/>
  <c r="D1751" i="24" s="1"/>
  <c r="B10" i="10"/>
  <c r="B1749" i="24" s="1"/>
  <c r="D1749" i="24" s="1"/>
  <c r="B11" i="10"/>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4" s="1"/>
  <c r="D5334" i="24" s="1"/>
  <c r="E12" i="8"/>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F154" i="8"/>
  <c r="G121" i="8"/>
  <c r="B5748" i="24" s="1"/>
  <c r="D5748" i="24" s="1"/>
  <c r="H121" i="8"/>
  <c r="B5893" i="24" s="1"/>
  <c r="D5893" i="24" s="1"/>
  <c r="J121" i="8"/>
  <c r="B6357" i="24" s="1"/>
  <c r="D6357" i="24" s="1"/>
  <c r="K121" i="8"/>
  <c r="C131" i="8"/>
  <c r="B5147" i="24" s="1"/>
  <c r="D5147" i="24" s="1"/>
  <c r="D131" i="8"/>
  <c r="B5369" i="24" s="1"/>
  <c r="D5369" i="24" s="1"/>
  <c r="B5614" i="24"/>
  <c r="D5614" i="24" s="1"/>
  <c r="C140" i="8"/>
  <c r="B5161" i="24" s="1"/>
  <c r="D5161" i="24" s="1"/>
  <c r="D140" i="8"/>
  <c r="G140" i="8"/>
  <c r="G144" i="8"/>
  <c r="B5756" i="24" s="1"/>
  <c r="D5756" i="24" s="1"/>
  <c r="G154" i="8"/>
  <c r="B4357" i="24" s="1"/>
  <c r="D4357" i="24" s="1"/>
  <c r="C144" i="8"/>
  <c r="B5165" i="24" s="1"/>
  <c r="D5165" i="24" s="1"/>
  <c r="C154" i="8"/>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J178" i="8"/>
  <c r="B6400" i="24" s="1"/>
  <c r="D6400" i="24" s="1"/>
  <c r="K178" i="8"/>
  <c r="B4951" i="24" s="1"/>
  <c r="D4951" i="24" s="1"/>
  <c r="C184" i="8"/>
  <c r="B5232" i="24" s="1"/>
  <c r="D5232" i="24" s="1"/>
  <c r="D184" i="8"/>
  <c r="F184" i="8"/>
  <c r="B5658" i="24" s="1"/>
  <c r="D5658" i="24" s="1"/>
  <c r="G184" i="8"/>
  <c r="B5784" i="24" s="1"/>
  <c r="D5784" i="24" s="1"/>
  <c r="H184" i="8"/>
  <c r="B5908" i="24" s="1"/>
  <c r="D5908" i="24" s="1"/>
  <c r="K184" i="8"/>
  <c r="B4395" i="24"/>
  <c r="D4395" i="24" s="1"/>
  <c r="D191" i="8"/>
  <c r="B4396" i="24" s="1"/>
  <c r="D4396" i="24" s="1"/>
  <c r="F191" i="8"/>
  <c r="G191" i="8"/>
  <c r="B5246" i="24"/>
  <c r="D5246" i="24" s="1"/>
  <c r="G201" i="8"/>
  <c r="B6409" i="24" s="1"/>
  <c r="D6409" i="24" s="1"/>
  <c r="D211" i="8"/>
  <c r="B5444" i="24" s="1"/>
  <c r="D5444" i="24" s="1"/>
  <c r="F211" i="8"/>
  <c r="G211" i="8"/>
  <c r="B5803" i="24" s="1"/>
  <c r="D5803" i="24" s="1"/>
  <c r="B4411" i="24"/>
  <c r="D4411" i="24" s="1"/>
  <c r="D216" i="8"/>
  <c r="B4412" i="24" s="1"/>
  <c r="D4412" i="24" s="1"/>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K259" i="8"/>
  <c r="K273" i="8" s="1"/>
  <c r="B4442" i="24" s="1"/>
  <c r="D4442" i="24" s="1"/>
  <c r="C14" i="7"/>
  <c r="B2558" i="24" s="1"/>
  <c r="D2558" i="24" s="1"/>
  <c r="D14" i="7"/>
  <c r="B2570" i="24" s="1"/>
  <c r="D2570" i="24" s="1"/>
  <c r="F14" i="7"/>
  <c r="B2597" i="24" s="1"/>
  <c r="D2597" i="24" s="1"/>
  <c r="B2633" i="24"/>
  <c r="D2633" i="24" s="1"/>
  <c r="N22" i="6"/>
  <c r="B283" i="24" s="1"/>
  <c r="D283" i="24" s="1"/>
  <c r="D7" i="5"/>
  <c r="D8" i="5"/>
  <c r="D9" i="5"/>
  <c r="H14" i="5"/>
  <c r="H19" i="5"/>
  <c r="H24" i="5"/>
  <c r="D11" i="4"/>
  <c r="J22" i="4"/>
  <c r="F46" i="14" l="1"/>
  <c r="F35" i="14"/>
  <c r="H76" i="7"/>
  <c r="B3298" i="24" s="1"/>
  <c r="D3298" i="24" s="1"/>
  <c r="J210" i="9"/>
  <c r="B7072" i="24" s="1"/>
  <c r="D7072" i="24" s="1"/>
  <c r="H33" i="5"/>
  <c r="F49" i="14"/>
  <c r="H29" i="5"/>
  <c r="F45" i="14"/>
  <c r="B6289" i="24"/>
  <c r="D6289" i="24" s="1"/>
  <c r="I210" i="9"/>
  <c r="F41" i="14"/>
  <c r="D4" i="10"/>
  <c r="B1760" i="24" s="1"/>
  <c r="D1760" i="24" s="1"/>
  <c r="J41" i="6"/>
  <c r="B6216" i="24" s="1"/>
  <c r="D6216" i="24" s="1"/>
  <c r="B3647" i="24"/>
  <c r="D3647" i="24" s="1"/>
  <c r="D31" i="23"/>
  <c r="D22" i="4"/>
  <c r="G35" i="16"/>
  <c r="B7076" i="24"/>
  <c r="D7076" i="24" s="1"/>
  <c r="I24" i="12"/>
  <c r="I26" i="12" s="1"/>
  <c r="B7741" i="24" s="1"/>
  <c r="D7741" i="24" s="1"/>
  <c r="D68" i="23"/>
  <c r="E35" i="16"/>
  <c r="D69" i="23"/>
  <c r="C129" i="9"/>
  <c r="L367" i="9"/>
  <c r="B7047" i="24"/>
  <c r="D7047" i="24" s="1"/>
  <c r="D17" i="10"/>
  <c r="B4104" i="24" s="1"/>
  <c r="D4104" i="24" s="1"/>
  <c r="E109" i="8"/>
  <c r="E4" i="7" s="1"/>
  <c r="B2630" i="24" s="1"/>
  <c r="D2630" i="24" s="1"/>
  <c r="G34" i="16"/>
  <c r="F38" i="14"/>
  <c r="G5" i="7"/>
  <c r="B3409" i="24" s="1"/>
  <c r="D3409" i="24" s="1"/>
  <c r="G29" i="16"/>
  <c r="J77" i="7"/>
  <c r="B6262" i="24" s="1"/>
  <c r="D6262" i="24" s="1"/>
  <c r="D12" i="10"/>
  <c r="B1769" i="24" s="1"/>
  <c r="D1769" i="24" s="1"/>
  <c r="J274" i="8"/>
  <c r="B7054" i="24" s="1"/>
  <c r="D7054" i="24" s="1"/>
  <c r="K76" i="7"/>
  <c r="B3586" i="24" s="1"/>
  <c r="D3586" i="24" s="1"/>
  <c r="F128" i="14"/>
  <c r="B1746" i="24"/>
  <c r="D1746" i="24" s="1"/>
  <c r="J352" i="9"/>
  <c r="J367" i="9" s="1"/>
  <c r="B7245" i="24" s="1"/>
  <c r="D7245" i="24" s="1"/>
  <c r="F67" i="14"/>
  <c r="G33" i="16"/>
  <c r="H365" i="9"/>
  <c r="B7242" i="24" s="1"/>
  <c r="D7242" i="24" s="1"/>
  <c r="F44" i="14"/>
  <c r="F172" i="8"/>
  <c r="B5644" i="24" s="1"/>
  <c r="D5644" i="24" s="1"/>
  <c r="B6995" i="24"/>
  <c r="D6995" i="24" s="1"/>
  <c r="C342" i="9"/>
  <c r="B7216" i="24" s="1"/>
  <c r="D7216" i="24" s="1"/>
  <c r="B5096" i="24"/>
  <c r="D5096" i="24" s="1"/>
  <c r="D9" i="10"/>
  <c r="B1767" i="24" s="1"/>
  <c r="D1767" i="24" s="1"/>
  <c r="B5513" i="24"/>
  <c r="D5513" i="24" s="1"/>
  <c r="F111" i="14"/>
  <c r="D5" i="7"/>
  <c r="B3406" i="24" s="1"/>
  <c r="D3406" i="24" s="1"/>
  <c r="B1274" i="24"/>
  <c r="D1274" i="24" s="1"/>
  <c r="B7041" i="24"/>
  <c r="D7041" i="24" s="1"/>
  <c r="F42" i="14"/>
  <c r="F36" i="14"/>
  <c r="I342" i="9"/>
  <c r="B7222" i="24" s="1"/>
  <c r="D7222" i="24" s="1"/>
  <c r="G39" i="16"/>
  <c r="E26" i="16"/>
  <c r="D7" i="10"/>
  <c r="B1763" i="24" s="1"/>
  <c r="D1763" i="24" s="1"/>
  <c r="J129" i="9"/>
  <c r="B7038" i="24" s="1"/>
  <c r="D7038" i="24" s="1"/>
  <c r="K184" i="9"/>
  <c r="F13" i="7" s="1"/>
  <c r="B2596" i="24" s="1"/>
  <c r="D2596" i="24" s="1"/>
  <c r="E174" i="9"/>
  <c r="B1309" i="24" s="1"/>
  <c r="D1309" i="24" s="1"/>
  <c r="G15" i="18"/>
  <c r="D109" i="8"/>
  <c r="F19" i="10"/>
  <c r="B1807" i="24" s="1"/>
  <c r="D1807" i="24" s="1"/>
  <c r="I129" i="9"/>
  <c r="B7037" i="24" s="1"/>
  <c r="D7037" i="24" s="1"/>
  <c r="B3619" i="24"/>
  <c r="D3619" i="24" s="1"/>
  <c r="F131" i="14"/>
  <c r="L342" i="9"/>
  <c r="F50" i="14"/>
  <c r="H109" i="8"/>
  <c r="B6025" i="24" s="1"/>
  <c r="D6025" i="24" s="1"/>
  <c r="L5" i="13"/>
  <c r="B2056" i="24" s="1"/>
  <c r="D2056" i="24" s="1"/>
  <c r="D15" i="10"/>
  <c r="B1772" i="24" s="1"/>
  <c r="D1772" i="24" s="1"/>
  <c r="H173" i="8"/>
  <c r="H6" i="7" s="1"/>
  <c r="B2656" i="24" s="1"/>
  <c r="D2656" i="24" s="1"/>
  <c r="D24" i="4"/>
  <c r="B4270" i="24" s="1"/>
  <c r="D4270" i="24" s="1"/>
  <c r="I173" i="8"/>
  <c r="B4216" i="24" s="1"/>
  <c r="D4216" i="24" s="1"/>
  <c r="G26" i="16"/>
  <c r="D6103" i="24"/>
  <c r="K41" i="6"/>
  <c r="B1128" i="24"/>
  <c r="D1128" i="24" s="1"/>
  <c r="E28" i="16"/>
  <c r="F28" i="16"/>
  <c r="F41" i="16" s="1"/>
  <c r="G43" i="16" s="1"/>
  <c r="D13" i="10"/>
  <c r="B3726" i="24" s="1"/>
  <c r="D3726" i="24" s="1"/>
  <c r="B5425" i="24"/>
  <c r="D5425" i="24" s="1"/>
  <c r="F127" i="14"/>
  <c r="B2054" i="24"/>
  <c r="D2054" i="24" s="1"/>
  <c r="L13" i="13"/>
  <c r="B2060" i="24" s="1"/>
  <c r="D2060" i="24" s="1"/>
  <c r="B5677" i="24"/>
  <c r="D5677" i="24" s="1"/>
  <c r="F130" i="14"/>
  <c r="L22" i="4"/>
  <c r="B2734" i="24"/>
  <c r="D2734" i="24" s="1"/>
  <c r="B1511" i="24"/>
  <c r="D1511" i="24" s="1"/>
  <c r="G14" i="7"/>
  <c r="B2609" i="24" s="1"/>
  <c r="D2609" i="24" s="1"/>
  <c r="C109" i="8"/>
  <c r="B5121" i="24" s="1"/>
  <c r="D5121" i="24" s="1"/>
  <c r="B5066" i="24"/>
  <c r="D5066" i="24" s="1"/>
  <c r="B1745" i="24"/>
  <c r="D1745" i="24" s="1"/>
  <c r="D5" i="10"/>
  <c r="B1761" i="24" s="1"/>
  <c r="D1761" i="24" s="1"/>
  <c r="B6848" i="24"/>
  <c r="D6848" i="24" s="1"/>
  <c r="F34" i="14"/>
  <c r="H28" i="5"/>
  <c r="B1868" i="24"/>
  <c r="D1868" i="24" s="1"/>
  <c r="B6006" i="24"/>
  <c r="D6006" i="24" s="1"/>
  <c r="K173" i="8"/>
  <c r="K6" i="7" s="1"/>
  <c r="B3570" i="24" s="1"/>
  <c r="D3570" i="24" s="1"/>
  <c r="B5906" i="24"/>
  <c r="D5906" i="24" s="1"/>
  <c r="G172" i="8"/>
  <c r="B5752" i="24"/>
  <c r="D5752" i="24" s="1"/>
  <c r="B1752" i="24"/>
  <c r="D1752" i="24" s="1"/>
  <c r="D11" i="10"/>
  <c r="B1768" i="24" s="1"/>
  <c r="D1768" i="24" s="1"/>
  <c r="B5488" i="24"/>
  <c r="D5488" i="24" s="1"/>
  <c r="F136" i="14"/>
  <c r="B5383" i="24"/>
  <c r="D5383" i="24" s="1"/>
  <c r="F106" i="14"/>
  <c r="B3668" i="24"/>
  <c r="D3668" i="24" s="1"/>
  <c r="K350" i="9"/>
  <c r="B6016" i="24"/>
  <c r="D6016" i="24" s="1"/>
  <c r="K274" i="8"/>
  <c r="K7" i="7" s="1"/>
  <c r="B3718" i="24" s="1"/>
  <c r="D3718" i="24" s="1"/>
  <c r="B5178" i="24"/>
  <c r="D5178" i="24" s="1"/>
  <c r="C172" i="8"/>
  <c r="B5214" i="24" s="1"/>
  <c r="D5214" i="24" s="1"/>
  <c r="B3621" i="24"/>
  <c r="D3621" i="24" s="1"/>
  <c r="C367" i="9"/>
  <c r="B4373" i="24"/>
  <c r="D4373" i="24" s="1"/>
  <c r="I274" i="8"/>
  <c r="B4435" i="24" s="1"/>
  <c r="D4435" i="24" s="1"/>
  <c r="B3254" i="24"/>
  <c r="D3254" i="24" s="1"/>
  <c r="F77" i="7"/>
  <c r="B3255" i="24" s="1"/>
  <c r="D3255" i="24" s="1"/>
  <c r="F21" i="11"/>
  <c r="G109" i="8"/>
  <c r="L15" i="13"/>
  <c r="B3459" i="24" s="1"/>
  <c r="D3459" i="24" s="1"/>
  <c r="B3649" i="24"/>
  <c r="D3649" i="24" s="1"/>
  <c r="G367" i="9"/>
  <c r="B3650" i="24" s="1"/>
  <c r="D3650" i="24" s="1"/>
  <c r="K285" i="9"/>
  <c r="B3724" i="24" s="1"/>
  <c r="D3724" i="24" s="1"/>
  <c r="B1329" i="24"/>
  <c r="D1329" i="24" s="1"/>
  <c r="F61" i="14"/>
  <c r="G210" i="9"/>
  <c r="B1124" i="24"/>
  <c r="D1124" i="24" s="1"/>
  <c r="H342" i="9"/>
  <c r="B7221" i="24" s="1"/>
  <c r="D7221" i="24" s="1"/>
  <c r="L312" i="9"/>
  <c r="B1410" i="24"/>
  <c r="D1410" i="24" s="1"/>
  <c r="C41" i="6"/>
  <c r="B93" i="24" s="1"/>
  <c r="D93" i="24" s="1"/>
  <c r="H295" i="9"/>
  <c r="B1454" i="24" s="1"/>
  <c r="D1454" i="24" s="1"/>
  <c r="B4156" i="24"/>
  <c r="D4156" i="24" s="1"/>
  <c r="H172" i="9"/>
  <c r="H174" i="9"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N23" i="6"/>
  <c r="B284" i="24" s="1"/>
  <c r="D284" i="24" s="1"/>
  <c r="F5" i="7"/>
  <c r="B3408" i="24" s="1"/>
  <c r="D3408" i="24" s="1"/>
  <c r="C5" i="7"/>
  <c r="B3405" i="24" s="1"/>
  <c r="D3405" i="24" s="1"/>
  <c r="B6840" i="24"/>
  <c r="D6840" i="24" s="1"/>
  <c r="B6839" i="24"/>
  <c r="D6839" i="24" s="1"/>
  <c r="B6838" i="24"/>
  <c r="D6838" i="24" s="1"/>
  <c r="D172" i="8"/>
  <c r="B5412" i="24" s="1"/>
  <c r="D5412" i="24" s="1"/>
  <c r="B5618" i="24"/>
  <c r="D5618" i="24" s="1"/>
  <c r="K109" i="8"/>
  <c r="F16" i="13"/>
  <c r="B2031" i="24" s="1"/>
  <c r="D2031" i="24"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I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B1266" i="24" s="1"/>
  <c r="D1266" i="24" s="1"/>
  <c r="B1239" i="24"/>
  <c r="D1239" i="24" s="1"/>
  <c r="E129" i="9"/>
  <c r="B1146" i="24"/>
  <c r="D1146" i="24" s="1"/>
  <c r="K110" i="9"/>
  <c r="B122" i="24"/>
  <c r="D122" i="24" s="1"/>
  <c r="D41" i="6"/>
  <c r="E17" i="18"/>
  <c r="G17" i="18" s="1"/>
  <c r="B1134" i="24"/>
  <c r="D1134" i="24" s="1"/>
  <c r="B7759" i="24"/>
  <c r="D7759" i="24" s="1"/>
  <c r="B1339" i="24"/>
  <c r="D1339" i="24" s="1"/>
  <c r="C210" i="9"/>
  <c r="B1340" i="24" s="1"/>
  <c r="D1340" i="24" s="1"/>
  <c r="B1225" i="24"/>
  <c r="D1225" i="24" s="1"/>
  <c r="C151" i="9"/>
  <c r="B1226" i="24" s="1"/>
  <c r="D1226" i="24" s="1"/>
  <c r="B169" i="24"/>
  <c r="D169" i="24" s="1"/>
  <c r="F41" i="6"/>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D41" i="16"/>
  <c r="E43" i="16" s="1"/>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B7230" i="24"/>
  <c r="D7230" i="24" s="1"/>
  <c r="I352" i="9"/>
  <c r="I367" i="9" s="1"/>
  <c r="B7215" i="24"/>
  <c r="D7215" i="24" s="1"/>
  <c r="J16" i="7"/>
  <c r="B6226" i="24" s="1"/>
  <c r="D6226" i="24" s="1"/>
  <c r="B7202" i="24"/>
  <c r="D7202" i="24" s="1"/>
  <c r="F342" i="9"/>
  <c r="B7219" i="24" s="1"/>
  <c r="D7219" i="24" s="1"/>
  <c r="B7503" i="24"/>
  <c r="B7531" i="24"/>
  <c r="B7214" i="24"/>
  <c r="D7214" i="24" s="1"/>
  <c r="B7201" i="24"/>
  <c r="D7201" i="24" s="1"/>
  <c r="E342" i="9"/>
  <c r="B7218" i="24" s="1"/>
  <c r="D7218" i="24" s="1"/>
  <c r="B6917" i="24"/>
  <c r="D6917" i="24" s="1"/>
  <c r="J74" i="9"/>
  <c r="D273" i="8"/>
  <c r="B5501" i="24" s="1"/>
  <c r="D5501" i="24" s="1"/>
  <c r="D7248" i="24"/>
  <c r="D7247" i="24"/>
  <c r="D7246" i="24"/>
  <c r="J312" i="9"/>
  <c r="B7117" i="24" s="1"/>
  <c r="D7117" i="24" s="1"/>
  <c r="I312" i="9"/>
  <c r="B7116" i="24" s="1"/>
  <c r="D7116" i="24" s="1"/>
  <c r="J151" i="9"/>
  <c r="B7052" i="24" s="1"/>
  <c r="D7052" i="24" s="1"/>
  <c r="I151" i="9"/>
  <c r="F59" i="1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17" i="24"/>
  <c r="D1317" i="24" s="1"/>
  <c r="B1318" i="24"/>
  <c r="D1318" i="24" s="1"/>
  <c r="B1127" i="24"/>
  <c r="D1127" i="24" s="1"/>
  <c r="K65" i="9"/>
  <c r="B1133" i="24" s="1"/>
  <c r="D1133" i="24" s="1"/>
  <c r="B1123" i="24"/>
  <c r="D1123" i="24" s="1"/>
  <c r="K57" i="9"/>
  <c r="K365" i="9"/>
  <c r="B3640" i="24"/>
  <c r="D3640" i="24" s="1"/>
  <c r="F352" i="9"/>
  <c r="F367" i="9" s="1"/>
  <c r="B3622" i="24"/>
  <c r="D3622" i="24" s="1"/>
  <c r="K77" i="7"/>
  <c r="B3587" i="24" s="1"/>
  <c r="D3587" i="24" s="1"/>
  <c r="B3296" i="24"/>
  <c r="D3296" i="24" s="1"/>
  <c r="H77" i="7"/>
  <c r="B3299" i="24" s="1"/>
  <c r="D3299" i="24"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H41" i="6"/>
  <c r="B188" i="24"/>
  <c r="D188" i="24" s="1"/>
  <c r="G41" i="6"/>
  <c r="B139" i="24"/>
  <c r="D139" i="24" s="1"/>
  <c r="E41" i="6"/>
  <c r="J19" i="18"/>
  <c r="D82" i="23" s="1"/>
  <c r="L151" i="9"/>
  <c r="C273" i="8"/>
  <c r="J24" i="12"/>
  <c r="B7730" i="24"/>
  <c r="D7730" i="24" s="1"/>
  <c r="J7" i="7"/>
  <c r="B7270" i="24"/>
  <c r="B1328" i="24" l="1"/>
  <c r="D1328" i="24" s="1"/>
  <c r="B5914" i="24"/>
  <c r="D5914" i="24" s="1"/>
  <c r="D51" i="23"/>
  <c r="K28" i="5"/>
  <c r="O27" i="5" s="1"/>
  <c r="O29" i="5" s="1"/>
  <c r="B1996" i="24"/>
  <c r="D1996" i="24" s="1"/>
  <c r="B5527" i="24"/>
  <c r="D5527" i="24" s="1"/>
  <c r="B7071" i="24"/>
  <c r="D7071" i="24" s="1"/>
  <c r="F66" i="14"/>
  <c r="H151" i="9"/>
  <c r="B1273" i="24" s="1"/>
  <c r="D1273" i="24" s="1"/>
  <c r="L114" i="9"/>
  <c r="D7255" i="24"/>
  <c r="D7250" i="24"/>
  <c r="B7235" i="24"/>
  <c r="D7235" i="24" s="1"/>
  <c r="B3628" i="24"/>
  <c r="D3628" i="24" s="1"/>
  <c r="F173" i="8"/>
  <c r="I6" i="7"/>
  <c r="B5011" i="24" s="1"/>
  <c r="D5011" i="24" s="1"/>
  <c r="D7253" i="24"/>
  <c r="B6022" i="24"/>
  <c r="D6022" i="24" s="1"/>
  <c r="D44" i="23"/>
  <c r="B1381" i="24"/>
  <c r="D1381" i="24" s="1"/>
  <c r="D274" i="8"/>
  <c r="B5507" i="24" s="1"/>
  <c r="D5507" i="24" s="1"/>
  <c r="C4" i="7"/>
  <c r="B2551" i="24" s="1"/>
  <c r="D2551" i="24" s="1"/>
  <c r="H275" i="8"/>
  <c r="B5915" i="24" s="1"/>
  <c r="D5915" i="24" s="1"/>
  <c r="H4" i="7"/>
  <c r="B2655" i="24" s="1"/>
  <c r="D2655" i="24" s="1"/>
  <c r="I7" i="7"/>
  <c r="B4444" i="24" s="1"/>
  <c r="D4444" i="24" s="1"/>
  <c r="B5356" i="24"/>
  <c r="D5356" i="24" s="1"/>
  <c r="D4" i="7"/>
  <c r="B2564" i="24" s="1"/>
  <c r="D2564" i="24" s="1"/>
  <c r="D7252" i="24"/>
  <c r="B3568" i="24"/>
  <c r="D3568" i="24" s="1"/>
  <c r="D52" i="23"/>
  <c r="L16" i="13"/>
  <c r="B2061" i="24" s="1"/>
  <c r="D2061" i="24" s="1"/>
  <c r="B6014" i="24"/>
  <c r="D6014" i="24" s="1"/>
  <c r="D7254" i="24"/>
  <c r="F274" i="8"/>
  <c r="G173" i="8"/>
  <c r="B5770" i="24"/>
  <c r="D5770" i="24" s="1"/>
  <c r="C173" i="8"/>
  <c r="F73" i="14"/>
  <c r="G15" i="7"/>
  <c r="B6032" i="24" s="1"/>
  <c r="D6032" i="24" s="1"/>
  <c r="B1365" i="24"/>
  <c r="D1365" i="24" s="1"/>
  <c r="F65" i="14"/>
  <c r="B3670" i="24"/>
  <c r="D3670" i="24" s="1"/>
  <c r="K352" i="9"/>
  <c r="K367" i="9" s="1"/>
  <c r="D7256" i="24"/>
  <c r="D7251" i="24"/>
  <c r="C114" i="9"/>
  <c r="B757" i="24" s="1"/>
  <c r="D757" i="24" s="1"/>
  <c r="B1879" i="24"/>
  <c r="D1879" i="24" s="1"/>
  <c r="H22" i="4"/>
  <c r="D19" i="10"/>
  <c r="B1775" i="24" s="1"/>
  <c r="D1775" i="24" s="1"/>
  <c r="K342" i="9"/>
  <c r="F13" i="14" s="1"/>
  <c r="B6024" i="24"/>
  <c r="D6024" i="24" s="1"/>
  <c r="G4" i="7"/>
  <c r="B2603" i="24" s="1"/>
  <c r="D2603" i="24" s="1"/>
  <c r="H367" i="9"/>
  <c r="B3660" i="24" s="1"/>
  <c r="D3660" i="24" s="1"/>
  <c r="B7760" i="24"/>
  <c r="D7760" i="24" s="1"/>
  <c r="D24" i="23"/>
  <c r="F178" i="14"/>
  <c r="K102" i="9"/>
  <c r="F53" i="14" s="1"/>
  <c r="B171" i="24"/>
  <c r="D171" i="24" s="1"/>
  <c r="D47" i="23"/>
  <c r="B1515" i="24"/>
  <c r="D1515" i="24" s="1"/>
  <c r="G16" i="7"/>
  <c r="B2611" i="24" s="1"/>
  <c r="D2611" i="24" s="1"/>
  <c r="B2913" i="24"/>
  <c r="D2913" i="24" s="1"/>
  <c r="D50" i="23"/>
  <c r="B3318" i="24"/>
  <c r="D3318" i="24" s="1"/>
  <c r="I77" i="7"/>
  <c r="B3319" i="24" s="1"/>
  <c r="D3319" i="24" s="1"/>
  <c r="B3674" i="24"/>
  <c r="D3674" i="24" s="1"/>
  <c r="B3573" i="24"/>
  <c r="D3573" i="24" s="1"/>
  <c r="K4" i="7"/>
  <c r="B6028" i="24"/>
  <c r="D6028" i="24" s="1"/>
  <c r="D173" i="8"/>
  <c r="F4" i="7"/>
  <c r="B2591" i="24" s="1"/>
  <c r="D2591" i="24" s="1"/>
  <c r="B5588" i="24"/>
  <c r="D5588" i="24" s="1"/>
  <c r="B124" i="24"/>
  <c r="D124" i="24" s="1"/>
  <c r="D45" i="23"/>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B1983" i="24"/>
  <c r="D1983" i="24" s="1"/>
  <c r="H26" i="12"/>
  <c r="B7740" i="24" s="1"/>
  <c r="D7740" i="24" s="1"/>
  <c r="B3274" i="24"/>
  <c r="D3274" i="24" s="1"/>
  <c r="E77" i="7"/>
  <c r="B3277" i="24" s="1"/>
  <c r="D3277" i="24" s="1"/>
  <c r="B6977" i="24"/>
  <c r="D6977" i="24" s="1"/>
  <c r="I114" i="9"/>
  <c r="B7051" i="24"/>
  <c r="D7051" i="24" s="1"/>
  <c r="B6026" i="24"/>
  <c r="D6026" i="24" s="1"/>
  <c r="I4" i="7"/>
  <c r="I275" i="8"/>
  <c r="B5946" i="24" s="1"/>
  <c r="D5946" i="24" s="1"/>
  <c r="G274" i="8"/>
  <c r="B5863" i="24"/>
  <c r="D5863" i="24" s="1"/>
  <c r="B7747" i="24"/>
  <c r="D7747" i="24" s="1"/>
  <c r="E274" i="8"/>
  <c r="J17" i="7"/>
  <c r="A7258" i="24"/>
  <c r="D7257" i="24"/>
  <c r="E23" i="16"/>
  <c r="B1122" i="24"/>
  <c r="D1122" i="24" s="1"/>
  <c r="G23" i="16"/>
  <c r="B7732" i="24"/>
  <c r="D7732" i="24" s="1"/>
  <c r="J26" i="12"/>
  <c r="B7742" i="24" s="1"/>
  <c r="D7742" i="24" s="1"/>
  <c r="B141" i="24"/>
  <c r="D141" i="24" s="1"/>
  <c r="D46" i="23"/>
  <c r="B190" i="24"/>
  <c r="D190" i="24" s="1"/>
  <c r="D48" i="23"/>
  <c r="B213" i="24"/>
  <c r="D213" i="24" s="1"/>
  <c r="D49" i="23"/>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16" i="7"/>
  <c r="B7243" i="24"/>
  <c r="D72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B5719" i="24"/>
  <c r="D5719" i="24" s="1"/>
  <c r="F7" i="7"/>
  <c r="B2594" i="24" s="1"/>
  <c r="D2594" i="24" s="1"/>
  <c r="G22" i="16"/>
  <c r="B1119" i="24"/>
  <c r="D1119" i="24" s="1"/>
  <c r="E22" i="16"/>
  <c r="G12" i="18"/>
  <c r="G19" i="18" s="1"/>
  <c r="J20" i="18" s="1"/>
  <c r="E19" i="18"/>
  <c r="B6222" i="24"/>
  <c r="D6222" i="24" s="1"/>
  <c r="D7" i="7"/>
  <c r="B7298" i="24"/>
  <c r="B7299" i="24"/>
  <c r="D275" i="8" l="1"/>
  <c r="F275" i="8"/>
  <c r="B5720" i="24" s="1"/>
  <c r="D5720" i="24" s="1"/>
  <c r="B5653" i="24"/>
  <c r="D5653" i="24" s="1"/>
  <c r="F6" i="7"/>
  <c r="B2593" i="24" s="1"/>
  <c r="D2593" i="24" s="1"/>
  <c r="B7224" i="24"/>
  <c r="D7224" i="24" s="1"/>
  <c r="B1145" i="24"/>
  <c r="D1145" i="24" s="1"/>
  <c r="H8" i="7"/>
  <c r="B2658" i="24" s="1"/>
  <c r="D2658" i="24" s="1"/>
  <c r="H10" i="7"/>
  <c r="B4127" i="24" s="1"/>
  <c r="D4127" i="24" s="1"/>
  <c r="B5223" i="24"/>
  <c r="D5223" i="24" s="1"/>
  <c r="C6" i="7"/>
  <c r="B2553" i="24" s="1"/>
  <c r="D2553" i="24" s="1"/>
  <c r="K13" i="7"/>
  <c r="B3572" i="24" s="1"/>
  <c r="D3572" i="24" s="1"/>
  <c r="B3672" i="24"/>
  <c r="D3672" i="24" s="1"/>
  <c r="F24" i="4"/>
  <c r="G41" i="16"/>
  <c r="G44" i="16" s="1"/>
  <c r="G45" i="16" s="1"/>
  <c r="B5778" i="24"/>
  <c r="D5778" i="24" s="1"/>
  <c r="G6" i="7"/>
  <c r="B2604" i="24" s="1"/>
  <c r="D2604" i="24" s="1"/>
  <c r="J8" i="7"/>
  <c r="J20" i="7" s="1"/>
  <c r="E41" i="16"/>
  <c r="E44" i="16" s="1"/>
  <c r="E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J19" i="7"/>
  <c r="B6229" i="24" s="1"/>
  <c r="D6229" i="24" s="1"/>
  <c r="B6227" i="24"/>
  <c r="D6227"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D8" i="7"/>
  <c r="B2567" i="24"/>
  <c r="D2567" i="24" s="1"/>
  <c r="F8" i="7" l="1"/>
  <c r="K17" i="7"/>
  <c r="B3575" i="24" s="1"/>
  <c r="D3575" i="24" s="1"/>
  <c r="F76" i="14"/>
  <c r="B6223" i="24"/>
  <c r="D6223" i="24" s="1"/>
  <c r="J10" i="7"/>
  <c r="B6225" i="24" s="1"/>
  <c r="D6225" i="24" s="1"/>
  <c r="D10" i="27"/>
  <c r="D19" i="27" s="1"/>
  <c r="D32" i="27" s="1"/>
  <c r="D49" i="27"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D20" i="7" s="1"/>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C8" i="22"/>
  <c r="D10" i="7"/>
  <c r="B4123" i="24" s="1"/>
  <c r="D4123" i="24" s="1"/>
  <c r="B2568" i="24"/>
  <c r="D2568" i="24" s="1"/>
  <c r="H13" i="5" l="1"/>
  <c r="D8" i="22"/>
  <c r="F10" i="7"/>
  <c r="B4125" i="24" s="1"/>
  <c r="D4125" i="24" s="1"/>
  <c r="B2595" i="24"/>
  <c r="D2595" i="24" s="1"/>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D55" i="23"/>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B6263" i="24"/>
  <c r="D6263" i="24" s="1"/>
  <c r="D78" i="7"/>
  <c r="B2574" i="24"/>
  <c r="D2574" i="24" s="1"/>
  <c r="F179" i="14" l="1"/>
  <c r="F79" i="14"/>
  <c r="B3588" i="24"/>
  <c r="D3588" i="24" s="1"/>
  <c r="K81" i="7"/>
  <c r="F78" i="7"/>
  <c r="B2601" i="24"/>
  <c r="D2601" i="24" s="1"/>
  <c r="B3320" i="24"/>
  <c r="D3320" i="24" s="1"/>
  <c r="I81" i="7"/>
  <c r="K17" i="5"/>
  <c r="B3300" i="24"/>
  <c r="D3300" i="24" s="1"/>
  <c r="H81" i="7"/>
  <c r="B7631" i="24"/>
  <c r="F180" i="14"/>
  <c r="A7262" i="24"/>
  <c r="D7261" i="24"/>
  <c r="H16" i="4"/>
  <c r="G78" i="7"/>
  <c r="B2613" i="24"/>
  <c r="D2613" i="24" s="1"/>
  <c r="B2562" i="24"/>
  <c r="D2562" i="24" s="1"/>
  <c r="C78" i="7"/>
  <c r="B10" i="22"/>
  <c r="F9" i="22"/>
  <c r="F10" i="22" s="1"/>
  <c r="E78" i="7"/>
  <c r="B2636" i="24"/>
  <c r="D2636" i="24" s="1"/>
  <c r="D64" i="23"/>
  <c r="J82" i="7"/>
  <c r="B6266" i="24"/>
  <c r="D6266" i="24" s="1"/>
  <c r="D81" i="7"/>
  <c r="B3239" i="24"/>
  <c r="D3239" i="24" s="1"/>
  <c r="F181" i="14" l="1"/>
  <c r="F183" i="14" s="1"/>
  <c r="B3278" i="24"/>
  <c r="D3278" i="24" s="1"/>
  <c r="E81" i="7"/>
  <c r="B3233" i="24"/>
  <c r="D3233" i="24" s="1"/>
  <c r="C81" i="7"/>
  <c r="A7263" i="24"/>
  <c r="D7262" i="24"/>
  <c r="B1700" i="24"/>
  <c r="D1700" i="24" s="1"/>
  <c r="H82" i="7"/>
  <c r="D62" i="23"/>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J16" i="4" l="1"/>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35" i="5" l="1"/>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D29" i="23" l="1"/>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<sst xmlns="http://schemas.openxmlformats.org/spreadsheetml/2006/main" count="5279" uniqueCount="2165">
  <si>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</si>
  <si>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</si>
  <si>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</si>
  <si>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</si>
  <si>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</si>
  <si>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</si>
  <si>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</si>
  <si>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</si>
  <si>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</si>
  <si>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</si>
  <si>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</si>
  <si>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</si>
  <si>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</si>
  <si>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</si>
  <si>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</si>
  <si>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</si>
  <si>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</si>
  <si>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</si>
  <si>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</si>
  <si>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</si>
  <si>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</si>
  <si>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</si>
  <si>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</si>
  <si>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</si>
  <si>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</si>
  <si>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</si>
  <si>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</si>
  <si>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</si>
  <si>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</si>
  <si>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</si>
  <si>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</si>
  <si>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</si>
  <si>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</si>
  <si>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</si>
  <si>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</si>
  <si>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</si>
  <si>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</si>
  <si>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</si>
  <si>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</si>
  <si>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</si>
  <si>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</si>
  <si>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</si>
  <si>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</si>
  <si>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</si>
  <si>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</si>
  <si>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</si>
  <si>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</si>
  <si>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</si>
  <si>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</si>
  <si>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</si>
  <si>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</si>
  <si>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</si>
  <si>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</si>
  <si>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</si>
  <si>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</si>
  <si>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</si>
  <si>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</si>
  <si>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</si>
  <si>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</si>
  <si>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</si>
  <si>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</si>
  <si>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</si>
  <si>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</si>
  <si>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</si>
  <si>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</si>
  <si>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</si>
  <si>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</si>
  <si>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</si>
  <si>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</si>
  <si>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</si>
  <si>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</si>
  <si>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</si>
  <si>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</si>
  <si>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</si>
  <si>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</si>
  <si>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</si>
  <si>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</si>
  <si>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</si>
  <si>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</si>
  <si>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</si>
  <si>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</si>
  <si>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</si>
  <si>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</si>
  <si>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</si>
  <si>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</si>
  <si>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</si>
  <si>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</si>
  <si>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</si>
  <si>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</si>
  <si>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</si>
  <si>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</si>
  <si>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</si>
  <si>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</si>
  <si>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</si>
  <si>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</si>
  <si>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</si>
  <si>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</si>
  <si>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</si>
  <si>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</si>
  <si>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</si>
  <si>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</si>
  <si>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</si>
  <si>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</si>
  <si>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</si>
  <si>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</si>
  <si>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</si>
  <si>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</si>
  <si>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</si>
  <si>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</si>
  <si>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</si>
  <si>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</si>
  <si>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</si>
  <si>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</si>
  <si>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</si>
  <si>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</si>
  <si>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</si>
  <si>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</si>
  <si>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</si>
  <si>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</si>
  <si>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</si>
  <si>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</si>
  <si>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</si>
  <si>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</si>
  <si>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</si>
  <si>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</si>
  <si>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</si>
  <si>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</si>
  <si>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</si>
  <si>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</si>
  <si>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</si>
  <si>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</si>
  <si>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</si>
  <si>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</si>
  <si>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</si>
  <si>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</si>
  <si>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</si>
  <si>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</si>
  <si>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</si>
  <si>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</si>
  <si>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</si>
  <si>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</si>
  <si>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</si>
  <si>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</si>
  <si>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</si>
  <si>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</si>
  <si>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</si>
  <si>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</si>
  <si>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</si>
  <si>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</si>
  <si>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</si>
  <si>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</si>
  <si>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</si>
  <si>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</si>
  <si>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</si>
  <si>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</si>
  <si>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</si>
  <si>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</si>
  <si>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</si>
  <si>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</si>
  <si>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</si>
  <si>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</si>
  <si>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</si>
  <si>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</si>
  <si>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</si>
  <si>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</si>
  <si>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</si>
  <si>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</si>
  <si>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</si>
  <si>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</si>
  <si>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</si>
  <si>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</si>
  <si>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</si>
  <si>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</si>
  <si>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</si>
  <si>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</si>
  <si>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</si>
  <si>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</si>
  <si>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</si>
  <si>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</si>
  <si>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</si>
  <si>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</si>
  <si>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</si>
  <si>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</si>
  <si>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</si>
  <si>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</si>
  <si>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</si>
  <si>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</si>
  <si>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</si>
  <si>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</si>
  <si>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</si>
  <si>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</si>
  <si>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</si>
  <si>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</si>
  <si>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</si>
  <si>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</si>
  <si>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</si>
  <si>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</si>
  <si>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</si>
  <si>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</si>
  <si>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</si>
  <si>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</si>
  <si>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</si>
  <si>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</si>
  <si>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</si>
  <si>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</si>
  <si>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</si>
  <si>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</si>
  <si>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</si>
  <si>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</si>
  <si>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</si>
  <si>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</si>
  <si>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</si>
  <si>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</si>
  <si>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</si>
  <si>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</si>
  <si>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</si>
  <si>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</si>
  <si>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</si>
  <si>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</si>
  <si>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</si>
  <si>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</si>
  <si>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</si>
  <si>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</si>
  <si>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</si>
  <si>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</si>
  <si>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</si>
  <si>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</si>
  <si>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</si>
  <si>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</si>
  <si>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</si>
  <si>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</si>
  <si>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</si>
  <si>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</si>
  <si>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</si>
  <si>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</si>
  <si>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</si>
  <si>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</si>
  <si>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</si>
  <si>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</si>
  <si>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</si>
  <si>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</si>
  <si>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</si>
  <si>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</si>
  <si>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</si>
  <si>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</si>
  <si>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</si>
  <si>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</si>
  <si>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</si>
  <si>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</si>
  <si>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</si>
  <si>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</si>
  <si>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</si>
  <si>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</si>
  <si>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</si>
  <si>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</si>
  <si>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</si>
  <si>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</si>
  <si>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</si>
  <si>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</si>
  <si>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</si>
  <si>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</si>
  <si>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</si>
  <si>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</si>
  <si>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</si>
  <si>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</si>
  <si>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</si>
  <si>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</si>
  <si>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</si>
  <si>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</si>
  <si>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</si>
  <si>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</si>
  <si>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</si>
  <si>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</si>
  <si>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</si>
  <si>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</si>
  <si>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</si>
  <si>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</si>
  <si>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</si>
  <si>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</si>
  <si>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</si>
  <si>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</si>
  <si>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</si>
  <si>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</si>
  <si>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</si>
  <si>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</si>
  <si>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</si>
  <si>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</si>
  <si>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</si>
  <si>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</si>
  <si>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</si>
  <si>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</si>
  <si>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</si>
  <si>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</si>
  <si>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</si>
  <si>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</si>
  <si>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</si>
  <si>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</si>
  <si>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</si>
  <si>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</si>
  <si>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</si>
  <si>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</si>
  <si>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</si>
  <si>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</si>
  <si>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</si>
  <si>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</si>
  <si>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</si>
  <si>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</si>
  <si>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</si>
  <si>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</si>
  <si>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</si>
  <si>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</si>
  <si>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</si>
  <si>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</si>
  <si>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</si>
  <si>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</si>
  <si>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</si>
  <si>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</si>
  <si>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</si>
  <si>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</si>
  <si>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</si>
  <si>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</si>
  <si>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</si>
  <si>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</si>
  <si>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</si>
  <si>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</si>
  <si>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</si>
  <si>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</si>
  <si>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</si>
  <si>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</si>
  <si>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</si>
  <si>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</si>
  <si>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</si>
  <si>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</si>
  <si>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</si>
  <si>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</si>
  <si>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</si>
  <si>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</si>
  <si>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</si>
  <si>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</si>
  <si>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</si>
  <si>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</si>
  <si>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</si>
  <si>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</si>
  <si>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</si>
  <si>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</si>
  <si>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</si>
  <si>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</si>
  <si>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</si>
  <si>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</si>
  <si>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</si>
  <si>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</si>
  <si>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</si>
  <si>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</si>
  <si>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</si>
  <si>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</si>
  <si>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</si>
  <si>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</si>
  <si>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</si>
  <si>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</si>
  <si>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</si>
  <si>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</si>
  <si>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</si>
  <si>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</si>
  <si>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</si>
  <si>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</si>
  <si>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</si>
  <si>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</si>
  <si>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</si>
  <si>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</si>
  <si>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</si>
  <si>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</si>
  <si>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</si>
  <si>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</si>
  <si>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</si>
  <si>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</si>
  <si>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</si>
  <si>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</si>
  <si>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</si>
  <si>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</si>
  <si>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</si>
  <si>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</si>
  <si>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</si>
  <si>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</si>
  <si>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</si>
  <si>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</si>
  <si>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</si>
  <si>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</si>
  <si>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</si>
  <si>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</si>
  <si>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</si>
  <si>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</si>
  <si>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</si>
  <si>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</si>
  <si>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</si>
  <si>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</si>
  <si>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</si>
  <si>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</si>
  <si>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</si>
  <si>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</si>
  <si>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</si>
  <si>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</si>
  <si>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</si>
  <si>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</si>
  <si>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</si>
  <si>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</si>
  <si>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</si>
  <si>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</si>
  <si>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</si>
  <si>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</si>
  <si>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</si>
  <si>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</si>
  <si>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</si>
  <si>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</si>
  <si>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</si>
  <si>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</si>
  <si>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</si>
  <si>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</si>
  <si>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</si>
  <si>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</si>
  <si>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</si>
  <si>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</si>
  <si>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</si>
  <si>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</si>
  <si>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</si>
  <si>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</si>
  <si>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</si>
  <si>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</si>
  <si>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</si>
  <si>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</si>
  <si>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</si>
  <si>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</si>
  <si>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</si>
  <si>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</si>
  <si>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</si>
  <si>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</si>
  <si>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</si>
  <si>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</si>
  <si>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</si>
  <si>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</si>
  <si>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</si>
  <si>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</si>
  <si>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</si>
  <si>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</si>
  <si>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</si>
  <si>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</si>
  <si>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</si>
  <si>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</si>
  <si>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</si>
  <si>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</si>
  <si>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</si>
  <si>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</si>
  <si>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</si>
  <si>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</si>
  <si>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</si>
  <si>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</si>
  <si>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</si>
  <si>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</si>
  <si>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</si>
  <si>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</si>
  <si>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</si>
  <si>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</si>
  <si>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</si>
  <si>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</si>
  <si>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</si>
  <si>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</si>
  <si>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</si>
  <si>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</si>
  <si>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</si>
  <si>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</si>
  <si>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</si>
  <si>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</si>
  <si>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</si>
  <si>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</si>
  <si>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</si>
  <si>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</si>
  <si>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</si>
  <si>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</si>
  <si>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</si>
  <si>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</si>
  <si>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</si>
  <si>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</si>
  <si>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</si>
  <si>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</si>
  <si>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</si>
  <si>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</si>
  <si>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</si>
  <si>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</si>
  <si>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</si>
  <si>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</si>
  <si>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</si>
  <si>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</si>
  <si>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</si>
  <si>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</si>
  <si>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</si>
  <si>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</si>
  <si>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</si>
  <si>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</si>
  <si>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</si>
  <si>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</si>
  <si>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</si>
  <si>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</si>
  <si>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</si>
  <si>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</si>
  <si>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</si>
  <si>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</si>
  <si>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</si>
  <si>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</si>
  <si>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</si>
  <si>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</si>
  <si>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</si>
  <si>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</si>
  <si>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</si>
  <si>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</si>
  <si>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</si>
  <si>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</si>
  <si>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</si>
  <si>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</si>
  <si>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</si>
  <si>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</si>
  <si>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</si>
  <si>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</si>
  <si>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</si>
  <si>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</si>
  <si>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</si>
  <si>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</si>
  <si>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</si>
  <si>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</si>
  <si>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</si>
  <si>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</si>
  <si>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</si>
  <si>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</si>
  <si>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</si>
  <si>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</si>
  <si>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</si>
  <si>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</si>
  <si>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</si>
  <si>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</si>
  <si>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</si>
  <si>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</si>
  <si>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</si>
  <si>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</si>
  <si>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</si>
  <si>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</si>
  <si>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</si>
  <si>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</si>
  <si>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</si>
  <si>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</si>
  <si>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</si>
  <si>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</si>
  <si>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</si>
  <si>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</si>
  <si>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</si>
  <si>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</si>
  <si>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</si>
  <si>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</si>
  <si>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</si>
  <si>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</si>
  <si>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</si>
  <si>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</si>
  <si>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</si>
  <si>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</si>
  <si>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</si>
  <si>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</si>
  <si>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</si>
  <si>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</si>
  <si>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</si>
  <si>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</si>
  <si>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</si>
  <si>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</si>
  <si>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</si>
  <si>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</si>
  <si>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</si>
  <si>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</si>
  <si>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</si>
  <si>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</si>
  <si>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</si>
  <si>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</si>
  <si>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</si>
  <si>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</si>
  <si>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</si>
  <si>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</si>
  <si>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</si>
  <si>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</si>
  <si>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</si>
  <si>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</si>
  <si>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</si>
  <si>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</si>
  <si>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</si>
  <si>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</si>
  <si>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</si>
  <si>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</si>
  <si>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</si>
  <si>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</si>
  <si>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</si>
  <si>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</si>
  <si>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</si>
  <si>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</si>
  <si>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</si>
  <si>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</si>
  <si>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</si>
  <si>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</si>
  <si>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</si>
  <si>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</si>
  <si>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</si>
  <si>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</si>
  <si>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</si>
  <si>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</si>
  <si>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</si>
  <si>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</si>
  <si>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</si>
  <si>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</si>
  <si>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</si>
  <si>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</si>
  <si>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</si>
  <si>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</si>
  <si>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</si>
  <si>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</si>
  <si>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</si>
  <si>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</si>
  <si>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</si>
  <si>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</si>
  <si>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</si>
  <si>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</si>
  <si>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</si>
  <si>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</si>
  <si>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</si>
  <si>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</si>
  <si>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</si>
  <si>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</si>
  <si>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</si>
  <si>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</si>
  <si>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</si>
  <si>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</si>
  <si>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</si>
  <si>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</si>
  <si>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</si>
  <si>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</si>
  <si>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</si>
  <si>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</si>
  <si>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</si>
  <si>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</si>
  <si>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</si>
  <si>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</si>
  <si>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</si>
  <si>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</si>
  <si>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</si>
  <si>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</si>
  <si>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</si>
  <si>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</si>
  <si>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</si>
  <si>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</si>
  <si>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</si>
  <si>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</si>
  <si>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</si>
  <si>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</si>
  <si>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</si>
  <si>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</si>
  <si>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</si>
  <si>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</si>
  <si>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</si>
  <si>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</si>
  <si>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</si>
  <si>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</si>
  <si>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</si>
  <si>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</si>
  <si>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</si>
  <si>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</si>
  <si>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</si>
  <si>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</si>
  <si>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</si>
  <si>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</si>
  <si>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</si>
  <si>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</si>
  <si>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</si>
  <si>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</si>
  <si>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</si>
  <si>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</si>
  <si>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</si>
  <si>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</si>
  <si>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</si>
  <si>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</si>
  <si>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</si>
  <si>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</si>
  <si>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</si>
  <si>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</si>
  <si>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</si>
  <si>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</si>
  <si>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</si>
  <si>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</si>
  <si>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</si>
  <si>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</si>
  <si>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</si>
  <si>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</si>
  <si>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</si>
  <si>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</si>
  <si>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</si>
  <si>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</si>
  <si>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</si>
  <si>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</si>
  <si>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</si>
  <si>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</si>
  <si>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</si>
  <si>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</si>
  <si>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</si>
  <si>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</si>
  <si>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</si>
  <si>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</si>
  <si>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</si>
  <si>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</si>
  <si>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</si>
  <si>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</si>
  <si>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</si>
  <si>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</si>
  <si>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</si>
  <si>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</si>
  <si>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</si>
  <si>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</si>
  <si>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</si>
  <si>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</si>
  <si>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</si>
  <si>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</si>
  <si>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</si>
  <si>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</si>
  <si>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</si>
  <si>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</si>
  <si>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</si>
  <si>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</si>
  <si>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</si>
  <si>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</si>
  <si>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</si>
  <si>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</si>
  <si>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</si>
  <si>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</si>
  <si>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</si>
  <si>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</si>
  <si>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</si>
  <si>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</si>
  <si>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</si>
  <si>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</si>
  <si>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</si>
  <si>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</si>
  <si>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</si>
  <si>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</si>
  <si>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</si>
  <si>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</si>
  <si>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</si>
  <si>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</si>
  <si>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</si>
  <si>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</si>
  <si>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</si>
  <si>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</si>
  <si>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</si>
  <si>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</si>
  <si>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</si>
  <si>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</si>
  <si>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</si>
  <si>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</si>
  <si>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</si>
  <si>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</si>
  <si>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</si>
  <si>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</si>
  <si>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</si>
  <si>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</si>
  <si>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</si>
  <si>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</si>
  <si>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</si>
  <si>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</si>
  <si>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</si>
  <si>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</si>
  <si>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</si>
  <si>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</si>
  <si>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</si>
  <si>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</si>
  <si>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</si>
  <si>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</si>
  <si>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</si>
  <si>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</si>
  <si>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</si>
  <si>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</si>
  <si>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</si>
  <si>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</si>
  <si>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</si>
  <si>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</si>
  <si>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</si>
  <si>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</si>
  <si>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</si>
  <si>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</si>
  <si>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</si>
  <si>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</si>
  <si>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</si>
  <si>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</si>
  <si>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</si>
  <si>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</si>
  <si>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</si>
  <si>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</si>
  <si>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</si>
  <si>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</si>
  <si>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</si>
  <si>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</si>
  <si>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</si>
  <si>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</si>
  <si>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</si>
  <si>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</si>
  <si>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</si>
  <si>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</si>
  <si>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</si>
  <si>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</si>
  <si>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</si>
  <si>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</si>
  <si>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</si>
  <si>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</si>
  <si>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</si>
  <si>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</si>
  <si>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</si>
  <si>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</si>
  <si>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</si>
  <si>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</si>
  <si>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</si>
  <si>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</si>
  <si>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</si>
  <si>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</si>
  <si>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</si>
  <si>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</si>
  <si>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</si>
  <si>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</si>
  <si>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</si>
  <si>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</si>
  <si>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</si>
  <si>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</si>
  <si>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</si>
  <si>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</si>
  <si>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</si>
  <si>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</si>
  <si>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</si>
  <si>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</si>
  <si>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</si>
  <si>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</si>
  <si>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</si>
  <si>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</si>
  <si>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</si>
  <si>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</si>
  <si>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</si>
  <si>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</si>
  <si>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</si>
  <si>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</si>
  <si>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</si>
  <si>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</si>
  <si>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</si>
  <si>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</si>
  <si>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</si>
  <si>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</si>
  <si>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</si>
  <si>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</si>
  <si>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</si>
  <si>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</si>
  <si>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</si>
  <si>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</si>
  <si>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</si>
  <si>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</si>
  <si>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</si>
  <si>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</si>
  <si>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</si>
  <si>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</si>
  <si>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</si>
  <si>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</si>
  <si>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</si>
  <si>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</si>
  <si>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</si>
  <si>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</si>
  <si>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</si>
  <si>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</si>
  <si>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</si>
  <si>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</si>
  <si>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</si>
  <si>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</si>
  <si>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</si>
  <si>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</si>
  <si>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</si>
  <si>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</si>
  <si>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</si>
  <si>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</si>
  <si>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</si>
  <si>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</si>
  <si>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</si>
  <si>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</si>
  <si>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</si>
  <si>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</si>
  <si>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</si>
  <si>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</si>
  <si>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</si>
  <si>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</si>
  <si>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</si>
  <si>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</si>
  <si>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</si>
  <si>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</si>
  <si>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</si>
  <si>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</si>
  <si>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</si>
  <si>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</si>
  <si>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</si>
  <si>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</si>
  <si>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</si>
  <si>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</si>
  <si>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</si>
  <si>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</si>
  <si>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</si>
  <si>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</si>
  <si>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</si>
  <si>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</si>
  <si>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</si>
  <si>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</si>
  <si>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</si>
  <si>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</si>
  <si>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</si>
  <si>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</si>
  <si>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</si>
  <si>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</si>
  <si>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</si>
  <si>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</si>
  <si>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</si>
  <si>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</si>
  <si>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</si>
  <si>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</si>
  <si>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</si>
  <si>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</si>
  <si>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</si>
  <si>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</si>
  <si>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</si>
  <si>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</si>
  <si>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</si>
  <si>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</si>
  <si>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</si>
  <si>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</si>
  <si>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</si>
  <si>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</si>
  <si>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</si>
  <si>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</si>
  <si>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</si>
  <si>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</si>
  <si>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</si>
  <si>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</si>
  <si>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</si>
  <si>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</si>
  <si>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</si>
  <si>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</si>
  <si>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</si>
  <si>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</si>
  <si>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</si>
  <si>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</si>
  <si>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</si>
  <si>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</si>
  <si>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</si>
  <si>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</si>
  <si>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</si>
  <si>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</si>
  <si>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</si>
  <si>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</si>
  <si>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</si>
  <si>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</si>
  <si>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</si>
  <si>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</si>
  <si>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</si>
  <si>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</si>
  <si>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</si>
  <si>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</si>
  <si>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</si>
  <si>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</si>
  <si>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</si>
  <si>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</si>
  <si>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</si>
  <si>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</si>
  <si>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</si>
  <si>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</si>
  <si>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</si>
  <si>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</si>
  <si>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</si>
  <si>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</si>
  <si>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</si>
  <si>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</si>
  <si>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</si>
  <si>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</si>
  <si>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</si>
  <si>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</si>
  <si>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</si>
  <si>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</si>
  <si>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</si>
  <si>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</si>
  <si>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</si>
  <si>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</si>
  <si>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</si>
  <si>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</si>
  <si>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</si>
  <si>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</si>
  <si>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</si>
  <si>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</si>
  <si>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</si>
  <si>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</si>
  <si>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</si>
  <si>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</si>
  <si>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</si>
  <si>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</si>
  <si>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</si>
  <si>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</si>
  <si>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</si>
  <si>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</si>
  <si>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</si>
  <si>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</si>
  <si>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</si>
  <si>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</si>
  <si>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</si>
  <si>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</si>
  <si>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</si>
  <si>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</si>
  <si>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</si>
  <si>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</si>
  <si>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</si>
  <si>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</si>
  <si>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</si>
  <si>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</si>
  <si>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</si>
  <si>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</si>
  <si>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</si>
  <si>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</si>
  <si>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</si>
  <si>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</si>
  <si>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</si>
  <si>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</si>
  <si>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</si>
  <si>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</si>
  <si>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</si>
  <si>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</si>
  <si>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</si>
  <si>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</si>
  <si>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</si>
  <si>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</si>
  <si>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</si>
  <si>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</si>
  <si>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</si>
  <si>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</si>
  <si>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</si>
  <si>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</si>
  <si>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</si>
  <si>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</si>
  <si>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</si>
  <si>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</si>
  <si>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</si>
  <si>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</si>
  <si>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</si>
  <si>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</si>
  <si>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</si>
  <si>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</si>
  <si>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</si>
  <si>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</si>
  <si>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</si>
  <si>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</si>
  <si>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</si>
  <si>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</si>
  <si>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</si>
  <si>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</si>
  <si>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</si>
  <si>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</si>
  <si>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</si>
  <si>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</si>
  <si>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</si>
  <si>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</si>
  <si>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</si>
  <si>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</si>
  <si>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</si>
  <si>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</si>
  <si>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</si>
  <si>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</si>
  <si>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</si>
  <si>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</si>
  <si>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</si>
  <si>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</si>
  <si>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</si>
  <si>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</si>
  <si>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</si>
  <si>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</si>
  <si>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</si>
  <si>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</si>
  <si>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</si>
  <si>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</si>
  <si>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</si>
  <si>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</si>
  <si>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</si>
  <si>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</si>
  <si>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</si>
  <si>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</si>
  <si>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</si>
  <si>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</si>
  <si>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</si>
  <si>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</si>
  <si>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</si>
  <si>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</si>
  <si>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</si>
  <si>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</si>
  <si>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</si>
  <si>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</si>
  <si>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</si>
  <si>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</si>
  <si>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</si>
  <si>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</si>
  <si>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</si>
  <si>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</si>
  <si>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</si>
  <si>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</si>
  <si>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</si>
  <si>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</si>
  <si>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</si>
  <si>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</si>
  <si>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</si>
  <si>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</si>
  <si>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</si>
  <si>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</si>
  <si>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</si>
  <si>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</si>
  <si>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</si>
  <si>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</si>
  <si>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</si>
  <si>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</si>
  <si>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</si>
  <si>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</si>
  <si>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</si>
  <si>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</si>
  <si>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</si>
  <si>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</si>
  <si>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</si>
  <si>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</si>
  <si>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</si>
  <si>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</si>
  <si>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</si>
  <si>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</si>
  <si>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</si>
  <si>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</si>
  <si>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</si>
  <si>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</si>
  <si>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</si>
  <si>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</si>
  <si>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</si>
  <si>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</si>
  <si>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</si>
  <si>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</si>
  <si>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</si>
  <si>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</si>
  <si>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</si>
  <si>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</si>
  <si>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</si>
  <si>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</si>
  <si>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</si>
  <si>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</si>
  <si>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</si>
  <si>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</si>
  <si>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</si>
  <si>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</si>
  <si>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</si>
  <si>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</si>
  <si>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</si>
  <si>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</si>
  <si>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</si>
  <si>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</si>
  <si>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</si>
  <si>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</si>
  <si>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</si>
  <si>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</si>
  <si>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</si>
  <si>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</si>
  <si>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</si>
  <si>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</si>
  <si>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</si>
  <si>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</si>
  <si>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</si>
  <si>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</si>
  <si>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</si>
  <si>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</si>
  <si>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</si>
  <si>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</si>
  <si>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</si>
  <si>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</si>
  <si>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</si>
  <si>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</si>
  <si>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</si>
  <si>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</si>
  <si>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</si>
  <si>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</si>
  <si>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</si>
  <si>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</si>
  <si>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</si>
  <si>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</si>
  <si>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</si>
  <si>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</si>
  <si>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</si>
  <si>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</si>
  <si>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</si>
  <si>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</si>
  <si>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</si>
  <si>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</si>
  <si>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</si>
  <si>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</si>
  <si>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</si>
  <si>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</si>
  <si>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</si>
  <si>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</si>
  <si>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</si>
  <si>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</si>
  <si>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</si>
  <si>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</si>
  <si>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</si>
  <si>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</si>
  <si>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</si>
  <si>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</si>
  <si>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</si>
  <si>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</si>
  <si>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</si>
  <si>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</si>
  <si>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</si>
  <si>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</si>
  <si>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</si>
  <si>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</si>
  <si>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</si>
  <si>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</si>
  <si>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</si>
  <si>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</si>
  <si>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</si>
  <si>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</si>
  <si>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</si>
  <si>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</si>
  <si>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</si>
  <si>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</si>
  <si>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</si>
  <si>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</si>
  <si>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</si>
  <si>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</si>
  <si>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</si>
  <si>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</si>
  <si>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</si>
  <si>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</si>
  <si>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</si>
  <si>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</si>
  <si>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</si>
  <si>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</si>
  <si>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</si>
  <si>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</si>
  <si>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</si>
  <si>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</si>
  <si>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</si>
  <si>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</si>
  <si>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</si>
  <si>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</si>
  <si>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</si>
  <si>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</si>
  <si>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</si>
  <si>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</si>
  <si>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</si>
  <si>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</si>
  <si>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</si>
  <si>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</si>
  <si>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</si>
  <si>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</si>
  <si>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</si>
  <si>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</si>
  <si>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</si>
  <si>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</si>
  <si>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</si>
  <si>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</si>
  <si>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</si>
  <si>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</si>
  <si>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</si>
  <si>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</si>
  <si>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</si>
  <si>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</si>
  <si>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</si>
  <si>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</si>
  <si>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</si>
  <si>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</si>
  <si>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</si>
  <si>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</si>
  <si>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</si>
  <si>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</si>
  <si>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</si>
  <si>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</si>
  <si>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</si>
  <si>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</si>
  <si>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</si>
  <si>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</si>
  <si>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</si>
  <si>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</si>
  <si>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</si>
  <si>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</si>
  <si>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</si>
  <si>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</si>
  <si>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</si>
  <si>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</si>
  <si>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</si>
  <si>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</si>
  <si>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</si>
  <si>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</si>
  <si>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</si>
  <si>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</si>
  <si>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</si>
  <si>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</si>
  <si>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</si>
  <si>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</si>
  <si>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</si>
  <si>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</si>
  <si>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</si>
  <si>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</si>
  <si>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</si>
  <si>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</si>
  <si>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</si>
  <si>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</si>
  <si>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</si>
  <si>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</si>
  <si>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</si>
  <si>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</si>
  <si>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</si>
  <si>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</si>
  <si>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</si>
  <si>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</si>
  <si>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</si>
  <si>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</si>
  <si>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</si>
  <si>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</si>
  <si>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</si>
  <si>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</si>
  <si>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</si>
  <si>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</si>
  <si>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</si>
  <si>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</si>
  <si>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</si>
  <si>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</si>
  <si>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</si>
  <si>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</si>
  <si>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</si>
  <si>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</si>
  <si>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</si>
  <si>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</si>
  <si>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</si>
  <si>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</si>
  <si>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</si>
  <si>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</si>
  <si>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</si>
  <si>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</si>
  <si>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</si>
  <si>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</si>
  <si>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</si>
  <si>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</si>
  <si>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</si>
  <si>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</si>
  <si>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</si>
  <si>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</si>
  <si>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</si>
  <si>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</si>
  <si>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</si>
  <si>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</si>
  <si>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</si>
  <si>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</si>
  <si>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</si>
  <si>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</si>
  <si>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</si>
  <si>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</si>
  <si>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</si>
  <si>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</si>
  <si>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</si>
  <si>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</si>
  <si>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</si>
  <si>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</si>
  <si>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</si>
  <si>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</si>
  <si>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</si>
  <si>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</si>
  <si>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</si>
  <si>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</si>
  <si>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</si>
  <si>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</si>
  <si>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</si>
  <si>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</si>
  <si>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</si>
  <si>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</si>
  <si>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</si>
  <si>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</si>
  <si>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</si>
  <si>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</si>
  <si>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</si>
  <si>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</si>
  <si>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</si>
  <si>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</si>
  <si>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</si>
  <si>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</si>
  <si>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</si>
  <si>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</si>
  <si>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</si>
  <si>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</si>
  <si>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</si>
  <si>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</si>
  <si>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</si>
  <si>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</si>
  <si>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</si>
  <si>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</si>
  <si>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</si>
  <si>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</si>
  <si>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</si>
  <si>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</si>
  <si>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</si>
  <si>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</si>
  <si>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</si>
  <si>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</si>
  <si>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</si>
  <si>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</si>
  <si>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</si>
  <si>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</si>
  <si>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</si>
  <si>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</si>
  <si>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</si>
  <si>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</si>
  <si>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</si>
  <si>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</si>
  <si>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</si>
  <si>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</si>
  <si>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</si>
  <si>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</si>
  <si>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</si>
  <si>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</si>
  <si>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</si>
  <si>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</si>
  <si>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</si>
  <si>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</si>
  <si>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</si>
  <si>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</si>
  <si>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</si>
  <si>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</si>
  <si>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</si>
  <si>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</si>
  <si>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</si>
  <si>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</si>
  <si>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</si>
  <si>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</si>
  <si>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</si>
  <si>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</si>
  <si>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</si>
  <si>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</si>
  <si>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</si>
  <si>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</si>
  <si>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</si>
  <si>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</si>
  <si>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</si>
  <si>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</si>
  <si>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</si>
  <si>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</si>
  <si>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</si>
  <si>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</si>
  <si>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</si>
  <si>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</si>
  <si>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</si>
  <si>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</si>
  <si>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</si>
  <si>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</si>
  <si>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</si>
  <si>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</si>
  <si>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</si>
  <si>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</si>
  <si>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</si>
  <si>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</si>
  <si>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</si>
  <si>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</si>
  <si>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</si>
  <si>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</si>
  <si>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</si>
  <si>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</si>
  <si>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</si>
  <si>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</si>
  <si>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</si>
  <si>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</si>
  <si>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</si>
  <si>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</si>
  <si>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</si>
  <si>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</si>
  <si>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</si>
  <si>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</si>
  <si>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</si>
  <si>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</si>
  <si>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</si>
  <si>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</si>
  <si>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</si>
  <si>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</si>
  <si>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</si>
  <si>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</si>
  <si>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</si>
  <si>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</si>
  <si>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</si>
  <si>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</si>
  <si>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</si>
  <si>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</si>
  <si>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</si>
  <si>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</si>
  <si>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</si>
  <si>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</si>
  <si>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</si>
  <si>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</si>
  <si>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</si>
  <si>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</si>
  <si>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</si>
  <si>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</si>
  <si>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</si>
  <si>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</si>
  <si>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</si>
  <si>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</si>
  <si>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</si>
  <si>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</si>
  <si>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</si>
  <si>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</si>
  <si>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</si>
  <si>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</si>
  <si>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</si>
  <si>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</si>
  <si>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</si>
  <si>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</si>
  <si>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</si>
  <si>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</si>
  <si>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</si>
  <si>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</si>
  <si>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</si>
  <si>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</si>
  <si>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</si>
  <si>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</si>
  <si>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</si>
  <si>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</si>
  <si>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</si>
  <si>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</si>
  <si>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</si>
  <si>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</si>
  <si>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</si>
  <si>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</si>
  <si>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</si>
  <si>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</si>
  <si>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</si>
  <si>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</si>
  <si>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</si>
  <si>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</si>
  <si>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</si>
  <si>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</si>
  <si>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</si>
  <si>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</si>
  <si>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</si>
  <si>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</si>
  <si>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</si>
  <si>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</si>
  <si>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</si>
  <si>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</si>
  <si>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</si>
  <si>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</si>
  <si>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</si>
  <si>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</si>
  <si>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</si>
  <si>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</si>
  <si>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</si>
  <si>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</si>
  <si>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</si>
  <si>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</si>
  <si>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</si>
  <si>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</si>
  <si>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</si>
  <si>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</si>
  <si>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</si>
  <si>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</si>
  <si>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</si>
  <si>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</si>
  <si>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</si>
  <si>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</si>
  <si>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</si>
  <si>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</si>
  <si>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</si>
  <si>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</si>
  <si>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</si>
  <si>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</si>
  <si>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</si>
  <si>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</si>
  <si>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</si>
  <si>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</si>
  <si>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</si>
  <si>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</si>
  <si>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</si>
  <si>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</si>
  <si>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</si>
  <si>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</si>
  <si>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</si>
  <si>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</si>
  <si>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</si>
  <si>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</si>
  <si>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</si>
  <si>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</si>
  <si>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</si>
  <si>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</si>
  <si>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</si>
  <si>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</si>
  <si>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</si>
  <si>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</si>
  <si>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</si>
  <si>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</si>
  <si>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</si>
  <si>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</si>
  <si>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</si>
  <si>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</si>
  <si>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</si>
  <si>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</si>
  <si>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</si>
  <si>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</si>
  <si>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</si>
  <si>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</si>
  <si>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</si>
  <si>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</si>
  <si>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</si>
  <si>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</si>
  <si>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</si>
  <si>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</si>
  <si>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</si>
  <si>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</si>
  <si>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</si>
  <si>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</si>
  <si>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</si>
  <si>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</si>
  <si>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</si>
  <si>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</si>
  <si>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</si>
  <si>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</si>
  <si>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</si>
  <si>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</si>
  <si>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</si>
  <si>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</si>
  <si>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</si>
  <si>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</si>
  <si>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</si>
  <si>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</si>
  <si>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</si>
  <si>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</si>
  <si>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</si>
  <si>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</si>
  <si>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</si>
  <si>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</si>
  <si>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</si>
  <si>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</si>
  <si>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</si>
  <si>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</si>
  <si>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</si>
  <si>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</si>
  <si>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</si>
  <si>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</si>
  <si>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</si>
  <si>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</si>
  <si>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</si>
  <si>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</si>
  <si>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</si>
  <si>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</si>
  <si>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</si>
  <si>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</si>
  <si>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</si>
  <si>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</si>
  <si>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</si>
  <si>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</si>
  <si>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</si>
  <si>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</si>
  <si>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</si>
  <si>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</si>
  <si>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</si>
  <si>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</si>
  <si>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</si>
  <si>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</si>
  <si>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</si>
  <si>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</si>
  <si>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</si>
  <si>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</si>
  <si>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</si>
  <si>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</si>
  <si>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</si>
  <si>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</si>
  <si>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</si>
  <si>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</si>
  <si>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</si>
  <si>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</si>
  <si>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</si>
  <si>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</si>
  <si>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</si>
  <si>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</si>
  <si>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</si>
  <si>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</si>
  <si>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</si>
  <si>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</si>
  <si>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</si>
  <si>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</si>
  <si>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</si>
  <si>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</si>
  <si>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</si>
  <si>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</si>
  <si>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</si>
  <si>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</si>
  <si>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</si>
  <si>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</si>
  <si>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</si>
  <si>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</si>
  <si>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</si>
  <si>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</si>
  <si>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</si>
  <si>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</si>
  <si>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</si>
  <si>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</si>
  <si>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</si>
  <si>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</si>
  <si>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</si>
  <si>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</si>
  <si>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</si>
  <si>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</si>
  <si>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</si>
  <si>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</si>
  <si>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</si>
  <si>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</si>
  <si>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</si>
  <si>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</si>
  <si>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</si>
  <si>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</si>
  <si>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</si>
  <si>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</si>
  <si>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</si>
  <si>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</si>
  <si>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</si>
  <si>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</si>
  <si>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</si>
  <si>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</si>
  <si>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</si>
  <si>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</si>
  <si>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</si>
  <si>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</si>
  <si>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</si>
  <si>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</si>
  <si>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</si>
  <si>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</si>
  <si>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</si>
  <si>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</si>
  <si>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</si>
  <si>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</si>
  <si>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</si>
  <si>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</si>
  <si>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</si>
  <si>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</si>
  <si>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</si>
  <si>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</si>
  <si>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</si>
  <si>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</si>
  <si>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</si>
  <si>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</si>
  <si>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</si>
  <si>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</si>
  <si>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</si>
  <si>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</si>
  <si>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</si>
  <si>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</si>
  <si>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</si>
  <si>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</si>
  <si>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</si>
  <si>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</si>
  <si>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</si>
  <si>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</si>
  <si>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</si>
  <si>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</si>
  <si>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</si>
  <si>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</si>
  <si>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</si>
  <si>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</si>
  <si>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</si>
  <si>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</si>
  <si>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</si>
  <si>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</si>
  <si>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</si>
  <si>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</si>
  <si>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</si>
  <si>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</si>
  <si>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</si>
  <si>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</si>
  <si>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</si>
  <si>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</si>
  <si>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</si>
  <si>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</si>
  <si>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</si>
  <si>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</si>
  <si>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</si>
  <si>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</si>
  <si>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</si>
  <si>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</si>
  <si>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</si>
  <si>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</si>
  <si>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</si>
  <si>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</si>
  <si>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</si>
  <si>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</si>
  <si>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</si>
  <si>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</si>
  <si>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</si>
  <si>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</si>
  <si>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</si>
  <si>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</si>
  <si>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</si>
  <si>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</si>
  <si>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</si>
  <si>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</si>
  <si>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</si>
  <si>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</si>
  <si>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</si>
  <si>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</si>
  <si>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</si>
  <si>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</si>
  <si>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</si>
  <si>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</si>
  <si>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</si>
  <si>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</si>
  <si>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</si>
  <si>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</si>
  <si>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</si>
  <si>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</si>
  <si>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</si>
  <si>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</si>
  <si>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</si>
  <si>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</si>
  <si>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</si>
  <si>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</si>
  <si>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</si>
  <si>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</si>
  <si>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</si>
  <si>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</si>
  <si>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</si>
  <si>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</si>
  <si>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</si>
  <si>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</si>
  <si>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</si>
  <si>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</si>
  <si>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</si>
  <si>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</si>
  <si>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</si>
  <si>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</si>
  <si>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</si>
  <si>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</si>
  <si>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</si>
  <si>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</si>
  <si>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</si>
  <si>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</si>
  <si>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</si>
  <si>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</si>
  <si>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</si>
  <si>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</si>
  <si>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</si>
  <si>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</si>
  <si>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</si>
  <si>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</si>
  <si>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</si>
  <si>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</si>
  <si>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</si>
  <si>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</si>
  <si>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</si>
  <si>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</si>
  <si>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</si>
  <si>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</si>
  <si>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</si>
  <si>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</si>
  <si>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</si>
  <si>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</si>
  <si>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</si>
  <si>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</si>
  <si>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</si>
  <si>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</si>
  <si>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</si>
  <si>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</si>
  <si>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</si>
  <si>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</si>
  <si>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</si>
  <si>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</si>
  <si>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</si>
  <si>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</si>
  <si>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</si>
  <si>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</si>
  <si>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</si>
  <si>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</si>
  <si>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</si>
  <si>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</si>
  <si>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</si>
  <si>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</si>
  <si>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</si>
  <si>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</si>
  <si>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</si>
  <si>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</si>
  <si>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</si>
  <si>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</si>
  <si>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</si>
  <si>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</si>
  <si>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</si>
  <si>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</si>
  <si>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</si>
  <si>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</si>
  <si>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</si>
  <si>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</si>
  <si>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</si>
  <si>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</si>
  <si>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</si>
  <si>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</si>
  <si>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</si>
  <si>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</si>
  <si>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</si>
  <si>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</si>
  <si>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</si>
  <si>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</si>
  <si>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</si>
  <si>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</si>
  <si>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</si>
  <si>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</si>
  <si>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</si>
  <si>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</si>
  <si>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</si>
  <si>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</si>
  <si>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</si>
  <si>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</si>
  <si>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</si>
  <si>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</si>
  <si>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</si>
  <si>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</si>
  <si>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</si>
  <si>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</si>
  <si>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</si>
  <si>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</si>
  <si>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</si>
  <si>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</si>
  <si>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</si>
  <si>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</si>
  <si>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</si>
  <si>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</si>
  <si>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</si>
  <si>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</si>
  <si>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</si>
  <si>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</si>
  <si>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</si>
  <si>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</si>
  <si>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</si>
  <si>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</si>
  <si>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</si>
  <si>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</si>
  <si>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</si>
  <si>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</si>
  <si>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</si>
  <si>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</si>
  <si>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</si>
  <si>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</si>
  <si>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</si>
  <si>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</si>
  <si>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</si>
  <si>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</si>
  <si>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</si>
  <si>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</si>
  <si>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</si>
  <si>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</si>
  <si>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</si>
  <si>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</si>
  <si>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</si>
  <si>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</si>
  <si>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</si>
  <si>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</si>
  <si>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</si>
  <si>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</si>
  <si>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</si>
  <si>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</si>
  <si>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</si>
  <si>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</si>
  <si>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</si>
  <si>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</si>
  <si>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</si>
  <si>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</si>
  <si>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</si>
  <si>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</si>
  <si>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</si>
  <si>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</si>
  <si>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</si>
  <si>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</si>
  <si>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</si>
  <si>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</si>
  <si>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</si>
  <si>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</si>
  <si>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</si>
  <si>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</si>
  <si>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</si>
  <si>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</si>
  <si>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</si>
  <si>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</si>
  <si>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</si>
  <si>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</si>
  <si>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</si>
  <si>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</si>
  <si>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</si>
  <si>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</si>
  <si>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</si>
  <si>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</si>
  <si>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</si>
  <si>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</si>
  <si>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</si>
  <si>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</si>
  <si>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</si>
  <si>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</si>
  <si>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</si>
  <si>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</si>
  <si>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</si>
  <si>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</si>
  <si>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</si>
  <si>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</si>
  <si>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</si>
  <si>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</si>
  <si>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</si>
  <si>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</si>
  <si>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</si>
  <si>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</si>
  <si>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</si>
  <si>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</si>
  <si>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</si>
  <si>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</si>
  <si>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</si>
  <si>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</si>
  <si>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</si>
  <si>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</si>
  <si>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</si>
  <si>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</si>
  <si>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</si>
  <si>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</si>
  <si>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</si>
  <si>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</si>
  <si>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</si>
  <si>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</si>
  <si>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</si>
  <si>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</si>
  <si>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</si>
  <si>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</si>
  <si>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</si>
  <si>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</si>
  <si>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</si>
  <si>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</si>
  <si>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</si>
  <si>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</si>
  <si>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</si>
  <si>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</si>
  <si>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</si>
  <si>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</si>
  <si>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</si>
  <si>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</si>
  <si>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</si>
  <si>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</si>
  <si>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</si>
  <si>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</si>
  <si>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</si>
  <si>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</si>
  <si>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</si>
  <si>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</si>
  <si>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</si>
  <si>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</si>
  <si>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</si>
  <si>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</si>
  <si>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</si>
  <si>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</si>
  <si>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</si>
  <si>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</si>
  <si>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</si>
  <si>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</si>
  <si>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</si>
  <si>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</si>
  <si>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</si>
  <si>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</si>
  <si>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</si>
  <si>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</si>
  <si>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</si>
  <si>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</si>
  <si>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</si>
  <si>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</si>
  <si>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</si>
  <si>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</si>
  <si>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</si>
  <si>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</si>
  <si>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</si>
  <si>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</si>
  <si>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</si>
  <si>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</si>
  <si>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</si>
  <si>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</si>
  <si>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</si>
  <si>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MADISON</t>
  </si>
  <si>
    <t>210 EAST ST. LOUIS AVENUE</t>
  </si>
  <si>
    <t>EAST ALTON, IL</t>
  </si>
  <si>
    <t>GO SCHOOL BONDS, 2011 (QZAB)</t>
  </si>
  <si>
    <t>1,4</t>
  </si>
  <si>
    <t>COPIER CAPITAL LEASE</t>
  </si>
  <si>
    <t>GO SCHOOL BONDS, SERIES 2017A</t>
  </si>
  <si>
    <t>GO SCHOOL BONDS, SERIES 2017B</t>
  </si>
  <si>
    <t>1,2,3</t>
  </si>
  <si>
    <t>CAPITAL LEASE</t>
  </si>
  <si>
    <t>COMMODITIES</t>
  </si>
  <si>
    <t>NONE</t>
  </si>
  <si>
    <t>U.S. DEPARTMENT OF EDUCATION:</t>
  </si>
  <si>
    <t>PASS THROUGH ILLINOIS STATE BOARD OF EDUCATION:</t>
  </si>
  <si>
    <t>TITLE I - LOW INCOME</t>
  </si>
  <si>
    <t>84.010A</t>
  </si>
  <si>
    <t>2017-4300-00</t>
  </si>
  <si>
    <t>2018-4300-00</t>
  </si>
  <si>
    <t>TITLE II - TEACHER QUALITY</t>
  </si>
  <si>
    <t>84.367A</t>
  </si>
  <si>
    <t>2017-4932-00</t>
  </si>
  <si>
    <t>2018-4932-00</t>
  </si>
  <si>
    <t xml:space="preserve">   TOTAL ILLINOIS STATE BOARD OF EDUCATION</t>
  </si>
  <si>
    <t>PASS THROUGH REGION III SPECIAL EDUCATION COOPERATIVE:</t>
  </si>
  <si>
    <t>84.173A</t>
  </si>
  <si>
    <t>2018-4600</t>
  </si>
  <si>
    <t>2018-4620</t>
  </si>
  <si>
    <t>I.D.E.A.- SPECIAL ED FLOW THROUGH</t>
  </si>
  <si>
    <t>I.D.E.A.-SPECIAL ED PRESCHOOL</t>
  </si>
  <si>
    <t xml:space="preserve">   TOTAL REGION III SPECIAL EDUCATION COOPERATIVE</t>
  </si>
  <si>
    <t>U.S. DEPARTMENT OF EDUCATION</t>
  </si>
  <si>
    <t>U.S. DEPARTMENT OF AGRICULTURE:</t>
  </si>
  <si>
    <t>2017-4210-00</t>
  </si>
  <si>
    <t>2018-4210-00</t>
  </si>
  <si>
    <t>2017-4220-00</t>
  </si>
  <si>
    <t>2018-4220-00</t>
  </si>
  <si>
    <t>2018-4240-00</t>
  </si>
  <si>
    <t>U.S. DEPARTMENT OF DEFENSE:</t>
  </si>
  <si>
    <t>U.S. DEPARTMENT OF HUMAN SERVICES:</t>
  </si>
  <si>
    <t>PASS THROUGH STATE OF ILLINOIS DEPARTMENT OF HEALTHCARE AND FAMILY SERVICES:</t>
  </si>
  <si>
    <t>MEDICAID MATCHING</t>
  </si>
  <si>
    <t>TOTAL FEDERAL PROGRAMS</t>
  </si>
  <si>
    <t>INFORMATIONAL ONLY:</t>
  </si>
  <si>
    <t>TOTAL CFDA 84.010A</t>
  </si>
  <si>
    <t>TOTAL CFDA 84.367A</t>
  </si>
  <si>
    <t>TOTAL CFDA 84.173A</t>
  </si>
  <si>
    <t>TOTAL CFDA 10.553</t>
  </si>
  <si>
    <t>TOTAL CFDA 10.555</t>
  </si>
  <si>
    <t>TOTAL CFDA 10.582</t>
  </si>
  <si>
    <t>TOTAL CFDA 93.778</t>
  </si>
  <si>
    <t>TOTAL CFDAS</t>
  </si>
  <si>
    <t>ADVERSE</t>
  </si>
  <si>
    <t>UNMODIFIED</t>
  </si>
  <si>
    <t>CLUSTER PROGRAMS:</t>
  </si>
  <si>
    <t>2017-4240-00</t>
  </si>
  <si>
    <t>NATIONAL LUNCH PROGRAM          (M)</t>
  </si>
  <si>
    <t>SCHOOL BREAKFAST PROGRAM     (M)</t>
  </si>
  <si>
    <t>FRESH FRUITS &amp; VEGETABLES         (M)</t>
  </si>
  <si>
    <t>COMMODITIES (NON-CASH ASSISTANCE)   (M)</t>
  </si>
  <si>
    <t>10.553, 10.555, 10.582</t>
  </si>
  <si>
    <t>CHILD NUTRITION</t>
  </si>
  <si>
    <t>The accompanying Schedule of Expenditures of Federal Awards includes the federal grant activity of East Alton Elementary School District No. 13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</si>
  <si>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East Alton Elementary SD No. 13 provided federal awards to subrecipients as follows:</t>
  </si>
  <si>
    <t>The following amounts were expended in the form of non-cash assistance by East Alton Elementary School District No. 13 and should be included in the Schedule of Expenditures of Federal Awards:</t>
  </si>
  <si>
    <t>00-0000-000</t>
  </si>
  <si>
    <t>EAST ALTON-WOOD RIVER HIGH SCHOOL</t>
  </si>
  <si>
    <t>SPECIAL EDUCATION DISTRICT III MADISON COUNTY</t>
  </si>
  <si>
    <t>R9-14 ED FUND A/C 1690 OTHER FOOD SERVICE - OTHER $1,377</t>
  </si>
  <si>
    <t>R9-14 ED FUND A/C 1999 OTHER LOCAL REVENUES-OTHER $17,321</t>
  </si>
  <si>
    <t>R9-14 TRANS FUND A/C 1999 OTHER LOCAL REVENUES-OTHER $1,095</t>
  </si>
  <si>
    <t>R9-14 IMRF FUND A/C 1999 OTHER LOCAL REVENUES-OTHER $5,099</t>
  </si>
  <si>
    <t>R9-14 O&amp;M FUND A/C 1999 OTHER LOCAL REVENUES-OTHER $30</t>
  </si>
  <si>
    <t>R9-14 ED FUND A/C 3999 OTHER REVENUE FROM STATE SOURCES-HEALTHY COMMUNITY GRANT $</t>
  </si>
  <si>
    <t>R9-14 ED FUND A/C 3999 OTHER REVENUE FROM STATE SOURCES-HEALTHY COMMUNITY GRANT $30,371</t>
  </si>
  <si>
    <t>R9-14 ED FUND A/C 4299 FOOD SERVICE-OTHER  NON-CASH COMMODITIES $32,615</t>
  </si>
  <si>
    <t>E15-22 ED FUND A/C 2190 OTHER SUPPORT SERVICES-PUPILS $26,776</t>
  </si>
  <si>
    <t>E15-22 TRANS FUND A/C 2900 OTHER SUPPORT SERVICES $25,191</t>
  </si>
  <si>
    <t>E15-22 IMRF FUND A/C 2190 OTHER SUPPORT SERVICES-PUPILS $5,283</t>
  </si>
  <si>
    <t>ewarnecke@easd13.org</t>
  </si>
  <si>
    <t>ewarnecke@easd.org</t>
  </si>
  <si>
    <t>East Alton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</si>
</sst>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5C6C66B9-3C22-4F87-B83A-F8DF7227E9D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4.bin"/><Relationship Id="rId5" Type="http://schemas.openxmlformats.org/officeDocument/2006/relationships/hyperlink" Target="https://sec1.isbe.net/attachmgr/default.aspx" TargetMode="External"/><Relationship Id="rId4"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6.bin"/><Relationship Id="rId4"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1.xml"/><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2.xml"/><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printerSettings" Target="../printerSettings/printerSettings8.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s://sec1.isbe.net/attachmgr/default.aspx" TargetMode="External"/><Relationship Id="rId5" Type="http://schemas.openxmlformats.org/officeDocument/2006/relationships/hyperlink" Target="http://www.isbe.net/rules/archive/pdfs/100ARK.pdf" TargetMode="External"/><Relationship Id="rId4" Type="http://schemas.openxmlformats.org/officeDocument/2006/relationships/hyperlink" Target="https://www.isbe.net/Pages/Single-Audi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83.bin"/><Relationship Id="rId7" Type="http://schemas.openxmlformats.org/officeDocument/2006/relationships/oleObject" Target="../embeddings/oleObject1.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vmlDrawing" Target="../drawings/vmlDrawing5.vml"/><Relationship Id="rId5" Type="http://schemas.openxmlformats.org/officeDocument/2006/relationships/drawing" Target="../drawings/drawing3.xml"/><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10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harvester.census.gov/facweb/Default.aspx"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4.xml"/><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5.xml"/><Relationship Id="rId4" Type="http://schemas.openxmlformats.org/officeDocument/2006/relationships/printerSettings" Target="../printerSettings/printerSettings13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drawing" Target="../drawings/drawing6.xml"/><Relationship Id="rId4" Type="http://schemas.openxmlformats.org/officeDocument/2006/relationships/printerSettings" Target="../printerSettings/printerSettings14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drawing" Target="../drawings/drawing7.xml"/><Relationship Id="rId4" Type="http://schemas.openxmlformats.org/officeDocument/2006/relationships/printerSettings" Target="../printerSettings/printerSettings14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0.bin"/><Relationship Id="rId5" Type="http://schemas.openxmlformats.org/officeDocument/2006/relationships/hyperlink" Target="https://www.isbe.net/Pages/School-District-Financial-Profile.aspx" TargetMode="External"/><Relationship Id="rId4"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2074</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2074</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41057013002</v>
      </c>
      <c r="B13" s="2003"/>
      <c r="C13" s="2003"/>
      <c r="D13" s="2003"/>
      <c r="E13" s="2003"/>
      <c r="F13" s="2003"/>
      <c r="G13" s="2003"/>
      <c r="H13" s="2004"/>
      <c r="I13" s="31"/>
      <c r="J13" s="30"/>
      <c r="K13" s="28"/>
      <c r="L13" s="30"/>
      <c r="M13" s="30"/>
      <c r="N13" s="30"/>
      <c r="O13" s="30"/>
      <c r="P13" s="30"/>
      <c r="Q13" s="30"/>
      <c r="R13" s="30"/>
      <c r="S13" s="30"/>
      <c r="T13" s="2007" t="s">
        <v>2076</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2084</v>
      </c>
      <c r="B15" s="2005"/>
      <c r="C15" s="2005"/>
      <c r="D15" s="2005"/>
      <c r="E15" s="2005"/>
      <c r="F15" s="2005"/>
      <c r="G15" s="2005"/>
      <c r="H15" s="2006"/>
      <c r="T15" s="1968" t="s">
        <v>2075</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2164</v>
      </c>
      <c r="B17" s="2030"/>
      <c r="C17" s="2030"/>
      <c r="D17" s="2030"/>
      <c r="E17" s="2030"/>
      <c r="F17" s="2030"/>
      <c r="G17" s="2030"/>
      <c r="H17" s="2031"/>
      <c r="T17" s="2017" t="s">
        <v>2077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2085</v>
      </c>
      <c r="B19" s="2001"/>
      <c r="C19" s="2001"/>
      <c r="D19" s="2001"/>
      <c r="E19" s="2001"/>
      <c r="F19" s="2001"/>
      <c r="G19" s="2001"/>
      <c r="H19" s="1999"/>
      <c r="I19" s="30"/>
      <c r="J19" s="99"/>
      <c r="K19" s="40"/>
      <c r="L19" s="38"/>
      <c r="M19" s="112" t="s">
        <v>333</v>
      </c>
      <c r="P19" s="27"/>
      <c r="Q19" s="27"/>
      <c r="R19" s="27"/>
      <c r="S19" s="31"/>
      <c r="T19" s="2000" t="s">
        <v>2078</v>
      </c>
      <c r="U19" s="1998"/>
      <c r="V19" s="1998"/>
      <c r="W19" s="1999"/>
      <c r="X19" s="2015" t="s">
        <v>2079</v>
      </c>
      <c r="Y19" s="2016"/>
      <c r="Z19" s="2013">
        <v>62002</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2086</v>
      </c>
      <c r="B21" s="1998"/>
      <c r="C21" s="1998"/>
      <c r="D21" s="1998"/>
      <c r="E21" s="1998"/>
      <c r="F21" s="1998"/>
      <c r="G21" s="1998"/>
      <c r="H21" s="1999"/>
      <c r="I21" s="2023" t="s">
        <v>699</v>
      </c>
      <c r="J21" s="1986"/>
      <c r="K21" s="1986"/>
      <c r="L21" s="1986"/>
      <c r="M21" s="1986"/>
      <c r="N21" s="1986"/>
      <c r="O21" s="1986"/>
      <c r="P21" s="1986"/>
      <c r="Q21" s="1986"/>
      <c r="R21" s="1986"/>
      <c r="S21" s="1987"/>
      <c r="T21" s="1965" t="s">
        <v>2080</v>
      </c>
      <c r="U21" s="1966"/>
      <c r="V21" s="1966"/>
      <c r="W21" s="1966"/>
      <c r="X21" s="1979" t="s">
        <v>2081</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2163</v>
      </c>
      <c r="B23" s="2021"/>
      <c r="C23" s="2021"/>
      <c r="D23" s="2021"/>
      <c r="E23" s="2021"/>
      <c r="F23" s="2021"/>
      <c r="G23" s="2021"/>
      <c r="H23" s="2022"/>
      <c r="T23" s="1960" t="s">
        <v>2082</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62024</v>
      </c>
      <c r="B25" s="1998"/>
      <c r="C25" s="1998"/>
      <c r="D25" s="1998"/>
      <c r="E25" s="1998"/>
      <c r="F25" s="1998"/>
      <c r="G25" s="1998"/>
      <c r="H25" s="1999"/>
      <c r="I25" s="113"/>
      <c r="J25" s="2064"/>
      <c r="K25" s="2064"/>
      <c r="L25" s="2064"/>
      <c r="M25" s="2064"/>
      <c r="N25" s="2064"/>
      <c r="O25" s="2064"/>
      <c r="P25" s="2064"/>
      <c r="Q25" s="2064"/>
      <c r="R25" s="2064"/>
      <c r="S25" s="2065"/>
      <c r="T25" s="1957" t="s">
        <v>2083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2162</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66701A8A-4B70-4BC6-A23C-3FE9EE52CAD0}" scale="110" showGridLines="0">
      <selection activeCell="A23" sqref="A23:H23"/>
      <pageMargins left="0.75" right="0.75" top="1" bottom="0.5" header="0.5" footer="0.5"/>
      <printOptions horizontalCentered="1"/>
      <pageSetup scale="67" orientation="landscape" r:id="rId1"/>
      <headerFooter>
        <oddFooter>&amp;C&amp;"Times New Roman,Regular"
&amp;P</oddFooter>
      </headerFooter>
    </customSheetView>
    <customSheetView guid="{21F80B28-2D59-4A2F-B7F1-982D582C738E}" scale="110" showPageBreaks="1" showGridLines="0">
      <selection activeCell="A23" sqref="A23:H23"/>
      <pageMargins left="0.75" right="0.75" top="1" bottom="0.5" header="0.5" footer="0.5"/>
      <printOptions horizontalCentered="1"/>
      <pageSetup scale="67" orientation="landscape" r:id="rId2"/>
      <headerFooter>
        <oddFooter>&amp;C&amp;"Times New Roman,Regular"
&amp;P</oddFooter>
      </headerFooter>
    </customSheetView>
    <customSheetView guid="{659D510F-1045-4226-8DAF-5F1FF14245AE}" scale="110" showGridLines="0" topLeftCell="A13">
      <selection activeCell="A24" sqref="A24"/>
      <pageMargins left="0.75" right="0.75" top="1" bottom="0.5" header="0.5" footer="0.5"/>
      <printOptions horizontalCentered="1"/>
      <pageSetup scale="67" orientation="landscape" r:id="rId3"/>
      <headerFooter>
        <oddFooter>&amp;C&amp;"Times New Roman,Regular"
&amp;P</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4" display="www.isbe.net/sfms/afr/afr.htm"/>
    <hyperlink ref="I22:S22" r:id="rId5" display="   Send ISBE a File"/>
  </hyperlinks>
  <printOptions horizontalCentered="1"/>
  <pageMargins left="0.75" right="0.75" top="1" bottom="0.5" header="0.5" footer="0.5"/>
  <pageSetup scale="67" orientation="landscape" r:id="rId6"/>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1902</v>
      </c>
      <c r="B2" s="1550" t="s">
        <v>2034</v>
      </c>
      <c r="C2" s="715" t="s">
        <v>1907</v>
      </c>
      <c r="D2" s="715" t="s">
        <v>1908</v>
      </c>
      <c r="E2" s="715" t="s">
        <v>1909</v>
      </c>
      <c r="F2" s="715" t="s">
        <v>1910</v>
      </c>
    </row>
    <row r="3" spans="1:6" ht="12" customHeight="1" x14ac:dyDescent="0.2">
      <c r="A3" s="2200"/>
      <c r="B3" s="1547"/>
      <c r="C3" s="1548"/>
      <c r="D3" s="1549" t="s">
        <v>274</v>
      </c>
      <c r="E3" s="1548"/>
      <c r="F3" s="1549" t="s">
        <v>275</v>
      </c>
    </row>
    <row r="4" spans="1:6" ht="13.7" customHeight="1" x14ac:dyDescent="0.2">
      <c r="A4" s="716" t="s">
        <v>1217</v>
      </c>
      <c r="B4" s="1771">
        <f>'Revenues 9-14'!C5</f>
        <v>888291</v>
      </c>
      <c r="C4" s="1546">
        <v>32442</v>
      </c>
      <c r="D4" s="1774">
        <f>B4-C4</f>
        <v>855849</v>
      </c>
      <c r="E4" s="1546">
        <v>961719</v>
      </c>
      <c r="F4" s="1774">
        <f>E4-C4</f>
        <v>929277</v>
      </c>
    </row>
    <row r="5" spans="1:6" ht="13.7" customHeight="1" x14ac:dyDescent="0.2">
      <c r="A5" s="716" t="s">
        <v>925</v>
      </c>
      <c r="B5" s="1772">
        <f>'Revenues 9-14'!D5</f>
        <v>269210</v>
      </c>
      <c r="C5" s="585">
        <v>9831</v>
      </c>
      <c r="D5" s="1775">
        <f t="shared" ref="D5:D18" si="0">B5-C5</f>
        <v>259379</v>
      </c>
      <c r="E5" s="585">
        <v>291437</v>
      </c>
      <c r="F5" s="1775">
        <f>E5-C5</f>
        <v>281606</v>
      </c>
    </row>
    <row r="6" spans="1:6" ht="13.7" customHeight="1" x14ac:dyDescent="0.2">
      <c r="A6" s="716" t="s">
        <v>431</v>
      </c>
      <c r="B6" s="1772">
        <f>'Revenues 9-14'!E5</f>
        <v>540022</v>
      </c>
      <c r="C6" s="585">
        <v>17474</v>
      </c>
      <c r="D6" s="1775">
        <f t="shared" si="0"/>
        <v>522548</v>
      </c>
      <c r="E6" s="585">
        <v>518004</v>
      </c>
      <c r="F6" s="1775">
        <f t="shared" ref="F6:F18" si="1">E6-C6</f>
        <v>500530</v>
      </c>
    </row>
    <row r="7" spans="1:6" ht="13.7" customHeight="1" x14ac:dyDescent="0.2">
      <c r="A7" s="716" t="s">
        <v>157</v>
      </c>
      <c r="B7" s="1772">
        <f>'Revenues 9-14'!F5</f>
        <v>64646</v>
      </c>
      <c r="C7" s="585">
        <v>2361</v>
      </c>
      <c r="D7" s="1775">
        <f t="shared" si="0"/>
        <v>62285</v>
      </c>
      <c r="E7" s="585">
        <v>69997</v>
      </c>
      <c r="F7" s="1775">
        <f t="shared" si="1"/>
        <v>67636</v>
      </c>
    </row>
    <row r="8" spans="1:6" ht="13.7" customHeight="1" x14ac:dyDescent="0.2">
      <c r="A8" s="716" t="s">
        <v>1241</v>
      </c>
      <c r="B8" s="1772">
        <f>'Revenues 9-14'!G5</f>
        <v>105520</v>
      </c>
      <c r="C8" s="585">
        <v>5676</v>
      </c>
      <c r="D8" s="1775">
        <f t="shared" si="0"/>
        <v>99844</v>
      </c>
      <c r="E8" s="585">
        <v>168256</v>
      </c>
      <c r="F8" s="1775">
        <f t="shared" si="1"/>
        <v>162580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26957</v>
      </c>
      <c r="C10" s="585">
        <v>984</v>
      </c>
      <c r="D10" s="1775">
        <f t="shared" si="0"/>
        <v>25973</v>
      </c>
      <c r="E10" s="585">
        <v>29156</v>
      </c>
      <c r="F10" s="1775">
        <f t="shared" si="1"/>
        <v>28172</v>
      </c>
    </row>
    <row r="11" spans="1:6" x14ac:dyDescent="0.2">
      <c r="A11" s="716" t="s">
        <v>429</v>
      </c>
      <c r="B11" s="1772">
        <f>'Revenues 9-14'!J5</f>
        <v>625752</v>
      </c>
      <c r="C11" s="585">
        <v>21905</v>
      </c>
      <c r="D11" s="1775">
        <f t="shared" si="0"/>
        <v>603847</v>
      </c>
      <c r="E11" s="585">
        <v>649354</v>
      </c>
      <c r="F11" s="1775">
        <f t="shared" si="1"/>
        <v>627449</v>
      </c>
    </row>
    <row r="12" spans="1:6" ht="13.7" customHeight="1" x14ac:dyDescent="0.2">
      <c r="A12" s="716" t="s">
        <v>159</v>
      </c>
      <c r="B12" s="1772">
        <f>'Revenues 9-14'!K5</f>
        <v>25973</v>
      </c>
      <c r="C12" s="585"/>
      <c r="D12" s="1775">
        <f t="shared" si="0"/>
        <v>25973</v>
      </c>
      <c r="E12" s="585"/>
      <c r="F12" s="1775">
        <f t="shared" si="1"/>
        <v>0</v>
      </c>
    </row>
    <row r="13" spans="1:6" ht="13.7" customHeight="1" x14ac:dyDescent="0.2">
      <c r="A13" s="716" t="s">
        <v>993</v>
      </c>
      <c r="B13" s="1772">
        <f>SUM('Revenues 9-14'!C6:D6)</f>
        <v>26957</v>
      </c>
      <c r="C13" s="585">
        <v>984</v>
      </c>
      <c r="D13" s="1775">
        <f t="shared" si="0"/>
        <v>25973</v>
      </c>
      <c r="E13" s="585">
        <v>29156</v>
      </c>
      <c r="F13" s="1775">
        <f t="shared" si="1"/>
        <v>28172</v>
      </c>
    </row>
    <row r="14" spans="1:6" ht="13.7" customHeight="1" x14ac:dyDescent="0.2">
      <c r="A14" s="716" t="s">
        <v>430</v>
      </c>
      <c r="B14" s="1772">
        <f>SUM('Revenues 9-14'!C7:D7,'Revenues 9-14'!F7:H7)</f>
        <v>10785</v>
      </c>
      <c r="C14" s="585">
        <v>394</v>
      </c>
      <c r="D14" s="1775">
        <f t="shared" si="0"/>
        <v>10391</v>
      </c>
      <c r="E14" s="585">
        <v>11686</v>
      </c>
      <c r="F14" s="1775">
        <f t="shared" si="1"/>
        <v>11292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95683</v>
      </c>
      <c r="C16" s="585">
        <v>5656</v>
      </c>
      <c r="D16" s="1775">
        <f t="shared" si="0"/>
        <v>90027</v>
      </c>
      <c r="E16" s="585">
        <v>167660</v>
      </c>
      <c r="F16" s="1775">
        <f t="shared" si="1"/>
        <v>162004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2679796</v>
      </c>
      <c r="C19" s="1773">
        <f>SUM(C4:C18)</f>
        <v>97707</v>
      </c>
      <c r="D19" s="1773">
        <f>SUM(D4:D18)</f>
        <v>2582089</v>
      </c>
      <c r="E19" s="1773">
        <f>SUM(E4:E18)</f>
        <v>2896425</v>
      </c>
      <c r="F19" s="1773">
        <f>SUM(F4:F18)</f>
        <v>2798718</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66701A8A-4B70-4BC6-A23C-3FE9EE52CAD0}" scale="110" colorId="8" showGridLines="0">
      <selection activeCell="C17" sqref="C17"/>
      <pageMargins left="0.75" right="0.75" top="1.5" bottom="0.5" header="0.5" footer="0.5"/>
      <printOptions horizontalCentered="1"/>
      <pageSetup scale="94" firstPageNumber="58" orientation="landscape" useFirstPageNumber="1" r:id="rId1"/>
      <headerFooter>
        <oddHeader>&amp;C&amp;"Times New Roman,Regular"EAST ALTON ELEMENTARY SCHOOL DISTRICT NO. 13
SCHEDULE OF AD VALOREM TAX RECEIPTS
FOR THE YEAR ENDED JUNE 30, 2018</oddHeader>
        <oddFooter>&amp;C&amp;"Times New Roman,Regular"See Independent Auditor's Reports
&amp;P</oddFooter>
      </headerFooter>
    </customSheetView>
    <customSheetView guid="{21F80B28-2D59-4A2F-B7F1-982D582C738E}" scale="110" colorId="8" showPageBreaks="1" showGridLines="0">
      <selection activeCell="C17" sqref="C17"/>
      <pageMargins left="0.75" right="0.75" top="1.5" bottom="0.5" header="0.5" footer="0.5"/>
      <printOptions horizontalCentered="1"/>
      <pageSetup scale="94" firstPageNumber="58" orientation="landscape" useFirstPageNumber="1" r:id="rId2"/>
      <headerFooter>
        <oddHeader>&amp;C&amp;"Times New Roman,Regular"EAST ALTON ELEMENTARY SCHOOL DISTRICT NO. 13
SCHEDULE OF AD VALOREM TAX RECEIPTS
FOR THE YEAR ENDED JUNE 30, 2018</oddHeader>
        <oddFooter>&amp;C&amp;"Times New Roman,Regular"See Independent Auditor's Reports
&amp;P</oddFooter>
      </headerFooter>
    </customSheetView>
    <customSheetView guid="{659D510F-1045-4226-8DAF-5F1FF14245AE}" scale="110" colorId="8" showGridLines="0">
      <selection activeCell="C17" sqref="C17"/>
      <pageMargins left="0.75" right="0.75" top="1.5" bottom="0.5" header="0.5" footer="0.5"/>
      <printOptions horizontalCentered="1"/>
      <pageSetup scale="94" firstPageNumber="58" orientation="landscape" useFirstPageNumber="1" r:id="rId3"/>
      <headerFooter>
        <oddHeader>&amp;C&amp;"Times New Roman,Regular"EAST ALTON ELEMENTARY SCHOOL DISTRICT NO. 13
SCHEDULE OF AD VALOREM TAX RECEIPTS
FOR THE YEAR ENDED JUNE 30, 2018</oddHeader>
        <oddFooter>&amp;C&amp;"Times New Roman,Regular"See Independent Auditor's Reports
&amp;P</oddFooter>
      </headerFooter>
    </customSheetView>
  </customSheetViews>
  <mergeCells count="1">
    <mergeCell ref="A2:A3"/>
  </mergeCells>
  <phoneticPr fontId="12" type="noConversion"/>
  <printOptions horizontalCentered="1" gridLinesSet="0"/>
  <pageMargins left="0.75" right="0.75" top="1.5" bottom="0.5" header="0.5" footer="0.5"/>
  <pageSetup scale="94" firstPageNumber="58" orientation="landscape" useFirstPageNumber="1" r:id="rId4"/>
  <headerFooter>
    <oddHeader>&amp;C&amp;"Times New Roman,Regular"EAST ALTON ELEMENTARY SCHOOL DISTRICT NO. 13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4" colorId="8" zoomScale="110" zoomScaleNormal="110" workbookViewId="0">
      <selection activeCell="A36" sqref="A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1902</v>
      </c>
      <c r="B2" s="2215"/>
      <c r="C2" s="1909" t="s">
        <v>2035</v>
      </c>
      <c r="D2" s="724" t="s">
        <v>2042</v>
      </c>
      <c r="E2" s="724" t="s">
        <v>2043</v>
      </c>
      <c r="F2" s="1909" t="s">
        <v>2036</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2087</v>
      </c>
      <c r="B31" s="734">
        <v>40724</v>
      </c>
      <c r="C31" s="735">
        <v>2000000</v>
      </c>
      <c r="D31" s="736" t="s">
        <v>2088</v>
      </c>
      <c r="E31" s="735">
        <v>2000000</v>
      </c>
      <c r="F31" s="735"/>
      <c r="G31" s="735"/>
      <c r="H31" s="735"/>
      <c r="I31" s="1778">
        <f>((E31+F31)-H31)+G31</f>
        <v>2000000</v>
      </c>
      <c r="J31" s="735">
        <v>2000000</v>
      </c>
      <c r="K31" s="737"/>
    </row>
    <row r="32" spans="1:11" ht="12" customHeight="1" x14ac:dyDescent="0.2">
      <c r="A32" s="733" t="s">
        <v>2089</v>
      </c>
      <c r="B32" s="734">
        <v>41771</v>
      </c>
      <c r="C32" s="735">
        <v>98024</v>
      </c>
      <c r="D32" s="736">
        <v>7</v>
      </c>
      <c r="E32" s="735">
        <v>40297</v>
      </c>
      <c r="F32" s="735"/>
      <c r="G32" s="735">
        <v>-40297</v>
      </c>
      <c r="H32" s="735"/>
      <c r="I32" s="1778">
        <f>((E32+F32)-H32)+G32</f>
        <v>0</v>
      </c>
      <c r="J32" s="735"/>
      <c r="K32" s="737"/>
    </row>
    <row r="33" spans="1:11" ht="12" customHeight="1" x14ac:dyDescent="0.2">
      <c r="A33" s="733" t="s">
        <v>2090</v>
      </c>
      <c r="B33" s="734">
        <v>42915</v>
      </c>
      <c r="C33" s="735">
        <v>1239800</v>
      </c>
      <c r="D33" s="736" t="s">
        <v>2092</v>
      </c>
      <c r="E33" s="735">
        <v>1239800</v>
      </c>
      <c r="F33" s="735"/>
      <c r="G33" s="735"/>
      <c r="H33" s="735">
        <v>517400</v>
      </c>
      <c r="I33" s="1778">
        <f t="shared" ref="I33:I48" si="1">((E33+F33)-H33)+G33</f>
        <v>722400</v>
      </c>
      <c r="J33" s="735">
        <v>722400</v>
      </c>
      <c r="K33" s="737"/>
    </row>
    <row r="34" spans="1:11" ht="12" customHeight="1" x14ac:dyDescent="0.2">
      <c r="A34" s="733" t="s">
        <v>2091</v>
      </c>
      <c r="B34" s="734">
        <v>42915</v>
      </c>
      <c r="C34" s="735">
        <v>2021500</v>
      </c>
      <c r="D34" s="736">
        <v>3</v>
      </c>
      <c r="E34" s="735">
        <v>2021500</v>
      </c>
      <c r="F34" s="735"/>
      <c r="G34" s="735"/>
      <c r="H34" s="735"/>
      <c r="I34" s="1778">
        <f t="shared" si="1"/>
        <v>2021500</v>
      </c>
      <c r="J34" s="735">
        <v>2021500</v>
      </c>
      <c r="K34" s="738"/>
    </row>
    <row r="35" spans="1:11" ht="12" customHeight="1" x14ac:dyDescent="0.2">
      <c r="A35" s="733" t="s">
        <v>2089</v>
      </c>
      <c r="B35" s="734">
        <v>42905</v>
      </c>
      <c r="C35" s="739">
        <v>108707</v>
      </c>
      <c r="D35" s="736">
        <v>7</v>
      </c>
      <c r="E35" s="739"/>
      <c r="F35" s="739">
        <v>108707</v>
      </c>
      <c r="G35" s="739"/>
      <c r="H35" s="739">
        <v>20058</v>
      </c>
      <c r="I35" s="1778">
        <f t="shared" si="1"/>
        <v>88649</v>
      </c>
      <c r="J35" s="739">
        <v>88649</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5468031</v>
      </c>
      <c r="D49" s="746"/>
      <c r="E49" s="1778">
        <f t="shared" ref="E49:J49" si="2">SUM(E31:E48)</f>
        <v>5301597</v>
      </c>
      <c r="F49" s="1778">
        <f t="shared" si="2"/>
        <v>108707</v>
      </c>
      <c r="G49" s="1778">
        <f t="shared" si="2"/>
        <v>-40297</v>
      </c>
      <c r="H49" s="1778">
        <f t="shared" si="2"/>
        <v>537458</v>
      </c>
      <c r="I49" s="1778">
        <f t="shared" si="2"/>
        <v>4832549</v>
      </c>
      <c r="J49" s="1778">
        <f t="shared" si="2"/>
        <v>4832549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t="s">
        <v>2093</v>
      </c>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66701A8A-4B70-4BC6-A23C-3FE9EE52CAD0}" scale="110" colorId="8" showGridLines="0" topLeftCell="A24">
      <selection activeCell="A36" sqref="A36"/>
      <pageMargins left="0.75" right="0.75" top="1" bottom="0.5" header="0.5" footer="0.5"/>
      <printOptions horizontalCentered="1"/>
      <pageSetup scale="64" firstPageNumber="24" fitToHeight="0" orientation="landscape" r:id="rId1"/>
      <headerFooter>
        <oddHeader>&amp;C&amp;"Times New Roman,Regular"EAST ALTON ELEMENTARY SCHOOL DISTRICT NO. 13
SCHEDULE OF SHORT-TERM AND LONG-TERM DEBT
FOR THE YEAR ENDED JUNE 30, 2018</oddHeader>
        <oddFooter>&amp;C&amp;"Times New Roman,Regular"See Independent Auditor's Reports
&amp;P</oddFooter>
      </headerFooter>
    </customSheetView>
    <customSheetView guid="{21F80B28-2D59-4A2F-B7F1-982D582C738E}" scale="110" colorId="8" showPageBreaks="1" showGridLines="0" topLeftCell="A24">
      <selection activeCell="A36" sqref="A36"/>
      <pageMargins left="0.75" right="0.75" top="1" bottom="0.5" header="0.5" footer="0.5"/>
      <printOptions horizontalCentered="1"/>
      <pageSetup scale="64" firstPageNumber="24" fitToHeight="0" orientation="landscape" r:id="rId2"/>
      <headerFooter>
        <oddHeader>&amp;C&amp;"Times New Roman,Regular"EAST ALTON ELEMENTARY SCHOOL DISTRICT NO. 13
SCHEDULE OF SHORT-TERM AND LONG-TERM DEBT
FOR THE YEAR ENDED JUNE 30, 2018</oddHeader>
        <oddFooter>&amp;C&amp;"Times New Roman,Regular"See Independent Auditor's Reports
&amp;P</oddFooter>
      </headerFooter>
    </customSheetView>
    <customSheetView guid="{659D510F-1045-4226-8DAF-5F1FF14245AE}" scale="110" colorId="8" showGridLines="0" topLeftCell="A24">
      <selection activeCell="A36" sqref="A36"/>
      <pageMargins left="0.75" right="0.75" top="1" bottom="0.5" header="0.5" footer="0.5"/>
      <printOptions horizontalCentered="1"/>
      <pageSetup scale="64" firstPageNumber="24" fitToHeight="0" orientation="landscape" r:id="rId3"/>
      <headerFooter>
        <oddHeader>&amp;C&amp;"Times New Roman,Regular"EAST ALTON ELEMENTARY SCHOOL DISTRICT NO. 13
SCHEDULE OF SHORT-TERM AND LONG-TERM DEBT
FOR THE YEAR ENDED JUNE 30, 2018</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4"/>
  <headerFooter>
    <oddHeader>&amp;C&amp;"Times New Roman,Regular"EAST ALTON ELEMENTARY SCHOOL DISTRICT NO. 13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1916</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10785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1917</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10785</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10785</v>
      </c>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1913</v>
      </c>
      <c r="B19" s="2265"/>
      <c r="C19" s="2265"/>
      <c r="D19" s="2265"/>
      <c r="E19" s="2266"/>
      <c r="F19" s="790" t="s">
        <v>990</v>
      </c>
      <c r="G19" s="783"/>
      <c r="H19" s="783"/>
      <c r="I19" s="783"/>
      <c r="J19" s="766"/>
      <c r="K19" s="796"/>
    </row>
    <row r="20" spans="1:11" x14ac:dyDescent="0.2">
      <c r="A20" s="2244" t="s">
        <v>1918</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1919</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10785</v>
      </c>
      <c r="I23" s="1780">
        <f>SUM(I14:I16,I21,I22)</f>
        <v>0</v>
      </c>
      <c r="J23" s="1780">
        <f>SUM(J14:J16,J21,J22)</f>
        <v>0</v>
      </c>
      <c r="K23" s="1780">
        <f>SUM(K14:K16,K21,K22)</f>
        <v>0</v>
      </c>
    </row>
    <row r="24" spans="1:11" ht="14.25" thickTop="1" thickBot="1" x14ac:dyDescent="0.25">
      <c r="A24" s="2251" t="s">
        <v>2023</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66701A8A-4B70-4BC6-A23C-3FE9EE52CAD0}" scale="110" colorId="8" showGridLines="0">
      <selection activeCell="H15" sqref="H15"/>
      <pageMargins left="0.75" right="0.75" top="1.1000000000000001" bottom="0.5" header="0.5" footer="0.5"/>
      <printOptions horizontalCentered="1"/>
      <pageSetup scale="74" firstPageNumber="25" orientation="landscape" r:id="rId1"/>
      <headerFooter>
        <oddHeader>&amp;C&amp;"Times New Roman,Regular"EAST ALTON ELEMENTARY SCHOOL DISTRICT NO. 13
SCHEDULE OF RESTRICTED LOCAL TAX LEVIES AND SELECTED REVENUE SOURCES
SCHEDULE OF TORT IMMUNITY EXPENDITURES
FOR THE YEAR ENDED JUNE 30, 2018</oddHeader>
        <oddFooter>&amp;C&amp;"Times New Roman,Regular"See Independent Auditor's Reports
&amp;P</oddFooter>
      </headerFooter>
    </customSheetView>
    <customSheetView guid="{21F80B28-2D59-4A2F-B7F1-982D582C738E}" scale="110" colorId="8" showPageBreaks="1" showGridLines="0">
      <selection activeCell="H15" sqref="H15"/>
      <pageMargins left="0.75" right="0.75" top="1.1000000000000001" bottom="0.5" header="0.5" footer="0.5"/>
      <printOptions horizontalCentered="1"/>
      <pageSetup scale="74" firstPageNumber="25" orientation="landscape" r:id="rId2"/>
      <headerFooter>
        <oddHeader>&amp;C&amp;"Times New Roman,Regular"EAST ALTON ELEMENTARY SCHOOL DISTRICT NO. 13
SCHEDULE OF RESTRICTED LOCAL TAX LEVIES AND SELECTED REVENUE SOURCES
SCHEDULE OF TORT IMMUNITY EXPENDITURES
FOR THE YEAR ENDED JUNE 30, 2018</oddHeader>
        <oddFooter>&amp;C&amp;"Times New Roman,Regular"See Independent Auditor's Reports
&amp;P</oddFooter>
      </headerFooter>
    </customSheetView>
    <customSheetView guid="{659D510F-1045-4226-8DAF-5F1FF14245AE}" scale="110" colorId="8" showGridLines="0">
      <selection activeCell="H15" sqref="H15"/>
      <pageMargins left="0.75" right="0.75" top="1.1000000000000001" bottom="0.5" header="0.5" footer="0.5"/>
      <printOptions horizontalCentered="1"/>
      <pageSetup scale="74" firstPageNumber="25" orientation="landscape" r:id="rId3"/>
      <headerFooter>
        <oddHeader>&amp;C&amp;"Times New Roman,Regular"EAST ALTON ELEMENTARY SCHOOL DISTRICT NO. 13
SCHEDULE OF RESTRICTED LOCAL TAX LEVIES AND SELECTED REVENUE SOURCES
SCHEDULE OF TORT IMMUNITY EXPENDITURES
FOR THE YEAR ENDED JUNE 30, 2018</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75" right="0.75" top="1.1000000000000001" bottom="0.5" header="0.5" footer="0.5"/>
  <pageSetup scale="74" firstPageNumber="25" orientation="landscape" r:id="rId4"/>
  <headerFooter>
    <oddHeader>&amp;C&amp;"Times New Roman,Regular"EAST ALTON ELEMENTARY SCHOOL DISTRICT NO. 13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2032</v>
      </c>
      <c r="B1" s="2270"/>
      <c r="C1" s="2271"/>
      <c r="D1" s="827"/>
      <c r="E1" s="828"/>
      <c r="F1" s="828"/>
      <c r="G1" s="829"/>
      <c r="H1" s="830"/>
      <c r="I1" s="831"/>
      <c r="J1" s="2267"/>
      <c r="K1" s="2268"/>
      <c r="L1" s="2268"/>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100686</v>
      </c>
      <c r="D5" s="842"/>
      <c r="E5" s="842"/>
      <c r="F5" s="1782">
        <f>(C5+D5)-E5</f>
        <v>100686</v>
      </c>
      <c r="G5" s="838"/>
      <c r="H5" s="843"/>
      <c r="I5" s="843"/>
      <c r="J5" s="843"/>
      <c r="K5" s="794"/>
      <c r="L5" s="1791">
        <f>F5-K5</f>
        <v>100686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11690654</v>
      </c>
      <c r="D8" s="845"/>
      <c r="E8" s="845"/>
      <c r="F8" s="1782">
        <f>(C8+D8)-E8</f>
        <v>11690654</v>
      </c>
      <c r="G8" s="844">
        <v>50</v>
      </c>
      <c r="H8" s="766">
        <v>7327844</v>
      </c>
      <c r="I8" s="766">
        <v>233813</v>
      </c>
      <c r="J8" s="766"/>
      <c r="K8" s="1791">
        <f>(H8+I8)-J8</f>
        <v>7561657</v>
      </c>
      <c r="L8" s="1791">
        <f>F8-K8</f>
        <v>4128997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3295725</v>
      </c>
      <c r="D10" s="847"/>
      <c r="E10" s="847"/>
      <c r="F10" s="1786">
        <f>(C10+D10)-E10</f>
        <v>3295725</v>
      </c>
      <c r="G10" s="844">
        <v>20</v>
      </c>
      <c r="H10" s="848">
        <v>1174196</v>
      </c>
      <c r="I10" s="848">
        <v>135146</v>
      </c>
      <c r="J10" s="848"/>
      <c r="K10" s="1791">
        <f>(H10+I10)-J10</f>
        <v>1309342</v>
      </c>
      <c r="L10" s="1791">
        <f>F10-K10</f>
        <v>1986383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3422606</v>
      </c>
      <c r="D12" s="845">
        <v>250276</v>
      </c>
      <c r="E12" s="845"/>
      <c r="F12" s="1782">
        <f>(C12+D12)-E12</f>
        <v>3672882</v>
      </c>
      <c r="G12" s="844">
        <v>10</v>
      </c>
      <c r="H12" s="766">
        <v>3331277</v>
      </c>
      <c r="I12" s="766">
        <v>16778</v>
      </c>
      <c r="J12" s="766"/>
      <c r="K12" s="1791">
        <f>(H12+I12)-J12</f>
        <v>3348055</v>
      </c>
      <c r="L12" s="1791">
        <f>F12-K12</f>
        <v>324827</v>
      </c>
    </row>
    <row r="13" spans="1:14" ht="14.25" thickTop="1" thickBot="1" x14ac:dyDescent="0.25">
      <c r="A13" s="849" t="s">
        <v>1184</v>
      </c>
      <c r="B13" s="841">
        <v>252</v>
      </c>
      <c r="C13" s="845">
        <v>899332</v>
      </c>
      <c r="D13" s="845"/>
      <c r="E13" s="845"/>
      <c r="F13" s="1782">
        <f>(C13+D13)-E13</f>
        <v>899332</v>
      </c>
      <c r="G13" s="844">
        <v>5</v>
      </c>
      <c r="H13" s="766">
        <v>588181</v>
      </c>
      <c r="I13" s="766">
        <v>131058</v>
      </c>
      <c r="J13" s="766"/>
      <c r="K13" s="1791">
        <f>(H13+I13)-J13</f>
        <v>719239</v>
      </c>
      <c r="L13" s="1791">
        <f>F13-K13</f>
        <v>180093</v>
      </c>
    </row>
    <row r="14" spans="1:14" ht="14.25" thickTop="1" thickBot="1" x14ac:dyDescent="0.25">
      <c r="A14" s="849" t="s">
        <v>1185</v>
      </c>
      <c r="B14" s="841">
        <v>253</v>
      </c>
      <c r="C14" s="766">
        <v>380956</v>
      </c>
      <c r="D14" s="766"/>
      <c r="E14" s="766"/>
      <c r="F14" s="1782">
        <f>(C14+D14)-E14</f>
        <v>380956</v>
      </c>
      <c r="G14" s="844">
        <v>3</v>
      </c>
      <c r="H14" s="766">
        <v>380956</v>
      </c>
      <c r="I14" s="766"/>
      <c r="J14" s="766"/>
      <c r="K14" s="1791">
        <f>(H14+I14)-J14</f>
        <v>380956</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19789959</v>
      </c>
      <c r="D16" s="1782">
        <f>SUM(D3,D5:D6,D8:D10,D12:D15)</f>
        <v>250276</v>
      </c>
      <c r="E16" s="1782">
        <f>SUM(E3,E5:E6,E8:E10,E12:E15)</f>
        <v>0</v>
      </c>
      <c r="F16" s="1782">
        <f>SUM(F3,F5:F6,F8:F10,F12:F15)</f>
        <v>20040235</v>
      </c>
      <c r="G16" s="844"/>
      <c r="H16" s="1782">
        <f>SUM(H3,H6,H8:H10,H12:H14,)</f>
        <v>12802454</v>
      </c>
      <c r="I16" s="1782">
        <f>SUM(I3,I6,I8:I10,I12:I14,)</f>
        <v>516795</v>
      </c>
      <c r="J16" s="1782">
        <f>SUM(J3,J6,J8:J10,J12:J14,)</f>
        <v>0</v>
      </c>
      <c r="K16" s="1782">
        <f>(H16+I16)-J16</f>
        <v>13319249</v>
      </c>
      <c r="L16" s="1782">
        <f>F16-K16</f>
        <v>6720986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516795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66701A8A-4B70-4BC6-A23C-3FE9EE52CAD0}" scale="110" colorId="8" showGridLines="0">
      <selection activeCell="I14" sqref="I14"/>
      <pageMargins left="0.75" right="0.75" top="1.75" bottom="0.5" header="0.5" footer="0.5"/>
      <printOptions horizontalCentered="1"/>
      <pageSetup scale="74" firstPageNumber="26" orientation="landscape" r:id="rId1"/>
      <headerFooter>
        <oddHeader>&amp;C&amp;"Times New Roman,Regular"EAST ALTON ELEMENTARY SCHOOL DISTRICT NO. 13
SCHEDULE OF CAPITAL OUTLAY AND DEPRECIATION
FOR THE YEAR ENDED JUNE 30, 2018</oddHeader>
        <oddFooter>&amp;C&amp;"Times New Roman,Regular"See Independent Auditor's Reports
&amp;P</oddFooter>
      </headerFooter>
    </customSheetView>
    <customSheetView guid="{21F80B28-2D59-4A2F-B7F1-982D582C738E}" scale="110" colorId="8" showPageBreaks="1" showGridLines="0">
      <selection activeCell="I14" sqref="I14"/>
      <pageMargins left="0.75" right="0.75" top="1.75" bottom="0.5" header="0.5" footer="0.5"/>
      <printOptions horizontalCentered="1"/>
      <pageSetup scale="74" firstPageNumber="26" orientation="landscape" r:id="rId2"/>
      <headerFooter>
        <oddHeader>&amp;C&amp;"Times New Roman,Regular"EAST ALTON ELEMENTARY SCHOOL DISTRICT NO. 13
SCHEDULE OF CAPITAL OUTLAY AND DEPRECIATION
FOR THE YEAR ENDED JUNE 30, 2018</oddHeader>
        <oddFooter>&amp;C&amp;"Times New Roman,Regular"See Independent Auditor's Reports
&amp;P</oddFooter>
      </headerFooter>
    </customSheetView>
    <customSheetView guid="{659D510F-1045-4226-8DAF-5F1FF14245AE}" scale="110" colorId="8" showGridLines="0">
      <selection activeCell="I14" sqref="I14"/>
      <pageMargins left="0.75" right="0.75" top="1.75" bottom="0.5" header="0.5" footer="0.5"/>
      <printOptions horizontalCentered="1"/>
      <pageSetup scale="74" firstPageNumber="26" orientation="landscape" r:id="rId3"/>
      <headerFooter>
        <oddHeader>&amp;C&amp;"Times New Roman,Regular"EAST ALTON ELEMENTARY SCHOOL DISTRICT NO. 13
SCHEDULE OF CAPITAL OUTLAY AND DEPRECIATION
FOR THE YEAR ENDED JUNE 30, 2018</oddHeader>
        <oddFooter>&amp;C&amp;"Times New Roman,Regular"See Independent Auditor's Reports
&amp;P</oddFooter>
      </headerFooter>
    </customSheetView>
  </customSheetViews>
  <mergeCells count="2">
    <mergeCell ref="J1:L1"/>
    <mergeCell ref="A1:C1"/>
  </mergeCells>
  <phoneticPr fontId="12" type="noConversion"/>
  <printOptions horizontalCentered="1"/>
  <pageMargins left="0.75" right="0.75" top="1.75" bottom="0.5" header="0.5" footer="0.5"/>
  <pageSetup scale="74" firstPageNumber="26" orientation="landscape" r:id="rId4"/>
  <headerFooter>
    <oddHeader>&amp;C&amp;"Times New Roman,Regular"EAST ALTON ELEMENTARY SCHOOL DISTRICT NO. 13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F38" sqref="AF38"/>
      <selection pane="bottomLeft" activeCell="K162" sqref="K16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7793894</v>
      </c>
      <c r="G8" s="866"/>
    </row>
    <row r="9" spans="1:7" x14ac:dyDescent="0.2">
      <c r="A9" s="870" t="s">
        <v>480</v>
      </c>
      <c r="B9" s="871" t="s">
        <v>1986</v>
      </c>
      <c r="C9" s="872"/>
      <c r="D9" s="870" t="s">
        <v>522</v>
      </c>
      <c r="E9" s="869"/>
      <c r="F9" s="1935">
        <f>'Expenditures 15-22'!K151</f>
        <v>611340</v>
      </c>
      <c r="G9" s="873"/>
    </row>
    <row r="10" spans="1:7" x14ac:dyDescent="0.2">
      <c r="A10" s="870" t="s">
        <v>520</v>
      </c>
      <c r="B10" s="871" t="s">
        <v>1987</v>
      </c>
      <c r="C10" s="872"/>
      <c r="D10" s="870" t="s">
        <v>522</v>
      </c>
      <c r="E10" s="869"/>
      <c r="F10" s="1935">
        <f>'Expenditures 15-22'!K174</f>
        <v>610106</v>
      </c>
      <c r="G10" s="873"/>
    </row>
    <row r="11" spans="1:7" x14ac:dyDescent="0.2">
      <c r="A11" s="870" t="s">
        <v>481</v>
      </c>
      <c r="B11" s="871" t="s">
        <v>1988</v>
      </c>
      <c r="C11" s="872"/>
      <c r="D11" s="870" t="s">
        <v>522</v>
      </c>
      <c r="E11" s="869"/>
      <c r="F11" s="1935">
        <f>'Expenditures 15-22'!K210</f>
        <v>253385</v>
      </c>
      <c r="G11" s="873"/>
    </row>
    <row r="12" spans="1:7" x14ac:dyDescent="0.2">
      <c r="A12" s="870" t="s">
        <v>482</v>
      </c>
      <c r="B12" s="871" t="s">
        <v>1989</v>
      </c>
      <c r="C12" s="872"/>
      <c r="D12" s="870" t="s">
        <v>522</v>
      </c>
      <c r="E12" s="869"/>
      <c r="F12" s="1935">
        <f>'Expenditures 15-22'!K295</f>
        <v>340386</v>
      </c>
      <c r="G12" s="873"/>
    </row>
    <row r="13" spans="1:7" x14ac:dyDescent="0.2">
      <c r="A13" s="870" t="s">
        <v>108</v>
      </c>
      <c r="B13" s="871" t="s">
        <v>1990</v>
      </c>
      <c r="C13" s="872"/>
      <c r="D13" s="870" t="s">
        <v>522</v>
      </c>
      <c r="E13" s="869"/>
      <c r="F13" s="1935">
        <f>'Expenditures 15-22'!K342</f>
        <v>674290</v>
      </c>
      <c r="G13" s="874"/>
    </row>
    <row r="14" spans="1:7" ht="12" customHeight="1" thickBot="1" x14ac:dyDescent="0.25">
      <c r="A14" s="1792"/>
      <c r="B14" s="1793"/>
      <c r="C14" s="1794"/>
      <c r="D14" s="1795" t="s">
        <v>522</v>
      </c>
      <c r="E14" s="1796" t="s">
        <v>1015</v>
      </c>
      <c r="F14" s="1797">
        <f>SUM(F8:F13)</f>
        <v>10283401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468963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37952</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27551</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161173</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198423</v>
      </c>
      <c r="G52" s="866"/>
    </row>
    <row r="53" spans="1:7" x14ac:dyDescent="0.2">
      <c r="A53" s="870" t="s">
        <v>479</v>
      </c>
      <c r="B53" s="870" t="s">
        <v>1551</v>
      </c>
      <c r="C53" s="890">
        <f>'Expenditures 15-22'!B102</f>
        <v>4000</v>
      </c>
      <c r="D53" s="889" t="str">
        <f>'Expenditures 15-22'!A102</f>
        <v>Total Payments to Other Govt Units</v>
      </c>
      <c r="E53" s="869"/>
      <c r="F53" s="1939">
        <f>'Expenditures 15-22'!K102</f>
        <v>270758</v>
      </c>
      <c r="G53" s="866"/>
    </row>
    <row r="54" spans="1:7" x14ac:dyDescent="0.2">
      <c r="A54" s="870" t="s">
        <v>479</v>
      </c>
      <c r="B54" s="870" t="s">
        <v>1552</v>
      </c>
      <c r="C54" s="890" t="s">
        <v>1039</v>
      </c>
      <c r="D54" s="886" t="s">
        <v>1157</v>
      </c>
      <c r="E54" s="869"/>
      <c r="F54" s="1939">
        <f>'Expenditures 15-22'!G114</f>
        <v>228461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537458</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22187</v>
      </c>
      <c r="G67" s="866"/>
    </row>
    <row r="68" spans="1:8" x14ac:dyDescent="0.2">
      <c r="A68" s="870" t="s">
        <v>482</v>
      </c>
      <c r="B68" s="870" t="s">
        <v>1555</v>
      </c>
      <c r="C68" s="887" t="str">
        <f>'Expenditures 15-22'!B218</f>
        <v>1225</v>
      </c>
      <c r="D68" s="893" t="str">
        <f>'Expenditures 15-22'!A218</f>
        <v>Special Education Programs - Pre-K</v>
      </c>
      <c r="E68" s="869"/>
      <c r="F68" s="1939">
        <f>'Expenditures 15-22'!K218</f>
        <v>1833</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484</v>
      </c>
      <c r="G71" s="866"/>
    </row>
    <row r="72" spans="1:8" x14ac:dyDescent="0.2">
      <c r="A72" s="870" t="s">
        <v>482</v>
      </c>
      <c r="B72" s="870" t="s">
        <v>2005</v>
      </c>
      <c r="C72" s="887">
        <f>'Expenditures 15-22'!B280</f>
        <v>3000</v>
      </c>
      <c r="D72" s="877" t="s">
        <v>469</v>
      </c>
      <c r="E72" s="869"/>
      <c r="F72" s="1939">
        <f>'Expenditures 15-22'!K280</f>
        <v>26037</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1981280</v>
      </c>
      <c r="G76" s="866"/>
    </row>
    <row r="77" spans="1:8" s="894" customFormat="1" ht="12" customHeight="1" thickTop="1" thickBot="1" x14ac:dyDescent="0.25">
      <c r="A77" s="1801"/>
      <c r="B77" s="1798"/>
      <c r="C77" s="1794"/>
      <c r="D77" s="1799" t="s">
        <v>2009</v>
      </c>
      <c r="E77" s="1796"/>
      <c r="F77" s="1802">
        <f>(F14-F76)</f>
        <v>8302121</v>
      </c>
      <c r="G77" s="870"/>
    </row>
    <row r="78" spans="1:8" s="894" customFormat="1" ht="12" customHeight="1" thickTop="1" x14ac:dyDescent="0.2">
      <c r="A78" s="1803"/>
      <c r="B78" s="1798"/>
      <c r="C78" s="1794"/>
      <c r="D78" s="1799" t="s">
        <v>2056</v>
      </c>
      <c r="E78" s="1796"/>
      <c r="F78" s="899">
        <v>740.26</v>
      </c>
      <c r="G78" s="900"/>
      <c r="H78" s="870"/>
    </row>
    <row r="79" spans="1:8" s="894" customFormat="1" ht="12" customHeight="1" thickBot="1" x14ac:dyDescent="0.25">
      <c r="A79" s="1804"/>
      <c r="B79" s="1798"/>
      <c r="C79" s="1794"/>
      <c r="D79" s="1799" t="s">
        <v>2010</v>
      </c>
      <c r="E79" s="1796" t="s">
        <v>1015</v>
      </c>
      <c r="F79" s="1805">
        <f>IF(F78&gt;0,F77/F78," Complete Line 78")</f>
        <v>11215.141977143167</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4720</v>
      </c>
      <c r="G94" s="913"/>
    </row>
    <row r="95" spans="1:7" x14ac:dyDescent="0.2">
      <c r="A95" s="909" t="s">
        <v>142</v>
      </c>
      <c r="B95" s="909" t="s">
        <v>177</v>
      </c>
      <c r="C95" s="911">
        <v>1700</v>
      </c>
      <c r="D95" s="919" t="str">
        <f>'Revenues 9-14'!A82</f>
        <v>Total District/School Activity Income</v>
      </c>
      <c r="E95" s="907"/>
      <c r="F95" s="1811">
        <f>SUM('Revenues 9-14'!C82,'Revenues 9-14'!D82)</f>
        <v>62821</v>
      </c>
      <c r="G95" s="913"/>
    </row>
    <row r="96" spans="1:7" x14ac:dyDescent="0.2">
      <c r="A96" s="909" t="s">
        <v>479</v>
      </c>
      <c r="B96" s="909" t="s">
        <v>178</v>
      </c>
      <c r="C96" s="911">
        <f>'Revenues 9-14'!B84</f>
        <v>1811</v>
      </c>
      <c r="D96" s="912" t="str">
        <f>'Revenues 9-14'!A84</f>
        <v>Rentals - Regular Textbooks</v>
      </c>
      <c r="E96" s="907"/>
      <c r="F96" s="1811">
        <f>'Revenues 9-14'!C84</f>
        <v>29750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50335</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299999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9655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9086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249610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30371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550484</v>
      </c>
      <c r="G129" s="931"/>
    </row>
    <row r="130" spans="1:7" x14ac:dyDescent="0.2">
      <c r="A130" s="928" t="s">
        <v>689</v>
      </c>
      <c r="B130" s="928" t="s">
        <v>804</v>
      </c>
      <c r="C130" s="933">
        <v>4300</v>
      </c>
      <c r="D130" s="934" t="str">
        <f>'Revenues 9-14'!A211</f>
        <v>Total Title I</v>
      </c>
      <c r="E130" s="907"/>
      <c r="F130" s="1811">
        <f>SUM('Revenues 9-14'!C211,'Revenues 9-14'!D211,'Revenues 9-14'!F211,'Revenues 9-14'!G211)</f>
        <v>435179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256781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22094</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21687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47806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2080378</v>
      </c>
    </row>
    <row r="179" spans="1:7" ht="12" customHeight="1" x14ac:dyDescent="0.2">
      <c r="A179" s="1792"/>
      <c r="B179" s="1806"/>
      <c r="C179" s="1807"/>
      <c r="D179" s="1808" t="s">
        <v>2012</v>
      </c>
      <c r="E179" s="1809"/>
      <c r="F179" s="1811">
        <f>'PCTC-OEPP 27-28'!F77-F178</f>
        <v>6221743</v>
      </c>
    </row>
    <row r="180" spans="1:7" ht="12" customHeight="1" x14ac:dyDescent="0.2">
      <c r="A180" s="1792"/>
      <c r="B180" s="1806"/>
      <c r="C180" s="1807"/>
      <c r="D180" s="1808" t="s">
        <v>1921</v>
      </c>
      <c r="E180" s="1809"/>
      <c r="F180" s="1811">
        <f>'Cap Outlay Deprec 26'!I18</f>
        <v>516795</v>
      </c>
    </row>
    <row r="181" spans="1:7" ht="12" customHeight="1" x14ac:dyDescent="0.2">
      <c r="A181" s="1792"/>
      <c r="B181" s="1806"/>
      <c r="C181" s="1807"/>
      <c r="D181" s="1808" t="s">
        <v>2013</v>
      </c>
      <c r="E181" s="1809"/>
      <c r="F181" s="1811">
        <f>F179+F180</f>
        <v>6738538</v>
      </c>
    </row>
    <row r="182" spans="1:7" ht="12" customHeight="1" x14ac:dyDescent="0.2">
      <c r="A182" s="1792"/>
      <c r="B182" s="1812"/>
      <c r="C182" s="1807"/>
      <c r="D182" s="1808" t="str">
        <f>D78</f>
        <v>9 Month ADA from District Average Daily Attendance/Prior General State Aid Inquiry 2017-2018</v>
      </c>
      <c r="E182" s="1809"/>
      <c r="F182" s="1813">
        <f>'PCTC-OEPP 27-28'!F78</f>
        <v>740.26</v>
      </c>
      <c r="G182" s="931"/>
    </row>
    <row r="183" spans="1:7" ht="12" customHeight="1" thickBot="1" x14ac:dyDescent="0.25">
      <c r="A183" s="1792"/>
      <c r="B183" s="1812"/>
      <c r="C183" s="1807"/>
      <c r="D183" s="1808" t="s">
        <v>2014</v>
      </c>
      <c r="E183" s="1809" t="s">
        <v>1626</v>
      </c>
      <c r="F183" s="1814">
        <f>F181/F182</f>
        <v>9102.9341042336473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66701A8A-4B70-4BC6-A23C-3FE9EE52CAD0}" scale="110" colorId="8" showGridLines="0" hiddenRows="1">
      <pane ySplit="5" topLeftCell="A135" activePane="bottomLeft" state="frozen"/>
      <selection pane="bottomLeft" activeCell="K162" sqref="K162"/>
      <rowBreaks count="1" manualBreakCount="1">
        <brk id="80" max="16383" man="1"/>
      </rowBreaks>
      <pageMargins left="0.75" right="0.75" top="1" bottom="0.5" header="0.5" footer="0.5"/>
      <printOptions horizontalCentered="1"/>
      <pageSetup scale="65" firstPageNumber="27" orientation="portrait" r:id="rId1"/>
      <headerFooter>
        <oddHeader>&amp;C&amp;"Times New Roman,Regular"EAST ALTON ELEMENTARY SCHOOL DISTRICT NO. 13
ESTIMATED OPERATING EXPENSE PER PUPIL/PER CAPITA TUITION CHARGE COMPUTATIONS
FOR THE YEAR ENDED JUNE 30, 2018</oddHeader>
        <oddFooter>&amp;C&amp;"Times New Roman,Regular"See Independent Auditor's Reports
&amp;P</oddFooter>
      </headerFooter>
    </customSheetView>
    <customSheetView guid="{21F80B28-2D59-4A2F-B7F1-982D582C738E}" scale="110" colorId="8" showPageBreaks="1" showGridLines="0" printArea="1" hiddenRows="1">
      <pane ySplit="5" topLeftCell="A135" activePane="bottomLeft" state="frozen"/>
      <selection pane="bottomLeft" activeCell="K162" sqref="K162"/>
      <rowBreaks count="1" manualBreakCount="1">
        <brk id="80" max="16383" man="1"/>
      </rowBreaks>
      <pageMargins left="0.75" right="0.75" top="1" bottom="0.5" header="0.5" footer="0.5"/>
      <printOptions horizontalCentered="1"/>
      <pageSetup scale="65" firstPageNumber="27" orientation="portrait" r:id="rId2"/>
      <headerFooter>
        <oddHeader>&amp;C&amp;"Times New Roman,Regular"EAST ALTON ELEMENTARY SCHOOL DISTRICT NO. 13
ESTIMATED OPERATING EXPENSE PER PUPIL/PER CAPITA TUITION CHARGE COMPUTATIONS
FOR THE YEAR ENDED JUNE 30, 2018</oddHeader>
        <oddFooter>&amp;C&amp;"Times New Roman,Regular"See Independent Auditor's Reports
&amp;P</oddFooter>
      </headerFooter>
    </customSheetView>
    <customSheetView guid="{659D510F-1045-4226-8DAF-5F1FF14245AE}" scale="110" colorId="8" showGridLines="0" hiddenRows="1">
      <pane ySplit="5" topLeftCell="A135" activePane="bottomLeft" state="frozen"/>
      <selection pane="bottomLeft" activeCell="K162" sqref="K162"/>
      <rowBreaks count="1" manualBreakCount="1">
        <brk id="80" max="16383" man="1"/>
      </rowBreaks>
      <pageMargins left="0.75" right="0.75" top="1" bottom="0.5" header="0.5" footer="0.5"/>
      <printOptions horizontalCentered="1"/>
      <pageSetup scale="65" firstPageNumber="27" orientation="portrait" r:id="rId3"/>
      <headerFooter>
        <oddHeader>&amp;C&amp;"Times New Roman,Regular"EAST ALTON ELEMENTARY SCHOOL DISTRICT NO. 13
ESTIMATED OPERATING EXPENSE PER PUPIL/PER CAPITA TUITION CHARGE COMPUTATIONS
FOR THE YEAR ENDED JUNE 30, 2018</oddHeader>
        <oddFooter>&amp;C&amp;"Times New Roman,Regular"See Independent Auditor's Reports
&amp;P</oddFooter>
      </headerFooter>
    </customSheetView>
  </customSheetViews>
  <mergeCells count="5">
    <mergeCell ref="A6:F6"/>
    <mergeCell ref="A1:F1"/>
    <mergeCell ref="A81:F81"/>
    <mergeCell ref="A2:F2"/>
    <mergeCell ref="A5:F5"/>
  </mergeCells>
  <phoneticPr fontId="12" type="noConversion"/>
  <hyperlinks>
    <hyperlink ref="B189" r:id="rId4"/>
  </hyperlinks>
  <printOptions horizontalCentered="1"/>
  <pageMargins left="0.75" right="0.75" top="1" bottom="0.5" header="0.5" footer="0.5"/>
  <pageSetup scale="65" firstPageNumber="27" orientation="portrait" r:id="rId5"/>
  <headerFooter>
    <oddHeader>&amp;C&amp;"Times New Roman,Regular"EAST ALTON ELEMENTARY SCHOOL DISTRICT NO. 13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22" activePane="bottomLeft" state="frozen"/>
      <selection activeCell="AF38" sqref="AF38"/>
      <selection pane="bottomLeft" activeCell="B131" sqref="B13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1922</v>
      </c>
      <c r="B4" s="2287"/>
      <c r="C4" s="2287"/>
      <c r="D4" s="2287"/>
      <c r="E4" s="2287"/>
      <c r="F4" s="2287"/>
      <c r="G4" s="2288"/>
    </row>
    <row r="5" spans="1:7" x14ac:dyDescent="0.25">
      <c r="A5" s="2289"/>
      <c r="B5" s="2290"/>
      <c r="C5" s="2290"/>
      <c r="D5" s="2290"/>
      <c r="E5" s="2290"/>
      <c r="F5" s="2290"/>
      <c r="G5" s="2291"/>
    </row>
    <row r="6" spans="1:7" ht="18.75" x14ac:dyDescent="0.25">
      <c r="A6" s="1556" t="s">
        <v>1923</v>
      </c>
      <c r="B6" s="1557"/>
      <c r="C6" s="1557"/>
      <c r="D6" s="1557"/>
      <c r="E6" s="1557"/>
      <c r="F6" s="1557"/>
      <c r="G6" s="1558"/>
    </row>
    <row r="7" spans="1:7" ht="30.75" customHeight="1" x14ac:dyDescent="0.25">
      <c r="A7" s="2292" t="s">
        <v>2072</v>
      </c>
      <c r="B7" s="2293"/>
      <c r="C7" s="2293"/>
      <c r="D7" s="2293"/>
      <c r="E7" s="2293"/>
      <c r="F7" s="2293"/>
      <c r="G7" s="2294"/>
    </row>
    <row r="8" spans="1:7" ht="15.75" customHeight="1" x14ac:dyDescent="0.25">
      <c r="A8" s="2295" t="s">
        <v>2021</v>
      </c>
      <c r="B8" s="2296"/>
      <c r="C8" s="2296"/>
      <c r="D8" s="2296"/>
      <c r="E8" s="2296"/>
      <c r="F8" s="2296"/>
      <c r="G8" s="2297"/>
    </row>
    <row r="9" spans="1:7" ht="35.25" customHeight="1" x14ac:dyDescent="0.25">
      <c r="A9" s="2292" t="s">
        <v>2020</v>
      </c>
      <c r="B9" s="2293"/>
      <c r="C9" s="2293"/>
      <c r="D9" s="2293"/>
      <c r="E9" s="2293"/>
      <c r="F9" s="2293"/>
      <c r="G9" s="2294"/>
    </row>
    <row r="10" spans="1:7" ht="15" customHeight="1" x14ac:dyDescent="0.25">
      <c r="A10" s="1559" t="s">
        <v>1924</v>
      </c>
      <c r="B10" s="1560"/>
      <c r="C10" s="1560"/>
      <c r="D10" s="1560"/>
      <c r="E10" s="1560"/>
      <c r="F10" s="1560"/>
      <c r="G10" s="1561"/>
    </row>
    <row r="11" spans="1:7" ht="17.25" customHeight="1" x14ac:dyDescent="0.25">
      <c r="A11" s="2292" t="s">
        <v>1938</v>
      </c>
      <c r="B11" s="2293"/>
      <c r="C11" s="2293"/>
      <c r="D11" s="2293"/>
      <c r="E11" s="2293"/>
      <c r="F11" s="2293"/>
      <c r="G11" s="2294"/>
    </row>
    <row r="12" spans="1:7" ht="15" customHeight="1" x14ac:dyDescent="0.25">
      <c r="A12" s="1559" t="s">
        <v>1929</v>
      </c>
      <c r="B12" s="1560"/>
      <c r="C12" s="1560"/>
      <c r="D12" s="1560"/>
      <c r="E12" s="1560"/>
      <c r="F12" s="1560"/>
      <c r="G12" s="1561"/>
    </row>
    <row r="13" spans="1:7" ht="32.25" customHeight="1" x14ac:dyDescent="0.25">
      <c r="A13" s="2283" t="s">
        <v>1930</v>
      </c>
      <c r="B13" s="2284"/>
      <c r="C13" s="2284"/>
      <c r="D13" s="2284"/>
      <c r="E13" s="2284"/>
      <c r="F13" s="2284"/>
      <c r="G13" s="2285"/>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860" t="s">
        <v>2148</v>
      </c>
      <c r="C130" s="1956" t="s">
        <v>2095</v>
      </c>
      <c r="D130" s="1867">
        <v>1</v>
      </c>
      <c r="E130" s="1562">
        <f t="shared" si="23"/>
        <v>1</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customSheetViews>
    <customSheetView guid="{66701A8A-4B70-4BC6-A23C-3FE9EE52CAD0}" showGridLines="0" hiddenColumns="1">
      <pane ySplit="16" topLeftCell="A130" activePane="bottomLeft" state="frozen"/>
      <selection pane="bottomLeft" activeCell="B131" sqref="B131"/>
      <rowBreaks count="1" manualBreakCount="1">
        <brk id="72" max="16383" man="1"/>
      </rowBreaks>
      <pageMargins left="0.75" right="0.75" top="1.1000000000000001" bottom="0.5" header="0.5" footer="0.5"/>
      <printOptions horizontalCentered="1"/>
      <pageSetup scale="54" firstPageNumber="30" fitToHeight="0" orientation="portrait" r:id="rId1"/>
      <headerFooter>
        <oddHeader>&amp;C&amp;"Times New Roman,Regular"EAST ALTON ELEMENTARY SCHOOL DISTRICT NO. 13
CURRENT YEAR PAYMENT ON CONTRACTS FOR INDIRECT COST RATE COMPUTATION
FOR THE YEAR ENDED JUNE 30, 2018</oddHeader>
        <oddFooter>&amp;C&amp;"Times New Roman,Regular"See Independent Auditor's Reports
&amp;P</oddFooter>
      </headerFooter>
    </customSheetView>
    <customSheetView guid="{21F80B28-2D59-4A2F-B7F1-982D582C738E}" showPageBreaks="1" showGridLines="0" hiddenColumns="1">
      <pane ySplit="16" topLeftCell="A130" activePane="bottomLeft" state="frozen"/>
      <selection pane="bottomLeft" activeCell="B131" sqref="B131"/>
      <rowBreaks count="1" manualBreakCount="1">
        <brk id="72" max="16383" man="1"/>
      </rowBreaks>
      <pageMargins left="0.75" right="0.75" top="1.1000000000000001" bottom="0.5" header="0.5" footer="0.5"/>
      <printOptions horizontalCentered="1"/>
      <pageSetup scale="54" firstPageNumber="30" fitToHeight="0" orientation="portrait" r:id="rId2"/>
      <headerFooter>
        <oddHeader>&amp;C&amp;"Times New Roman,Regular"EAST ALTON ELEMENTARY SCHOOL DISTRICT NO. 13
CURRENT YEAR PAYMENT ON CONTRACTS FOR INDIRECT COST RATE COMPUTATION
FOR THE YEAR ENDED JUNE 30, 2018</oddHeader>
        <oddFooter>&amp;C&amp;"Times New Roman,Regular"See Independent Auditor's Reports
&amp;P</oddFooter>
      </headerFooter>
    </customSheetView>
    <customSheetView guid="{659D510F-1045-4226-8DAF-5F1FF14245AE}" showGridLines="0" hiddenColumns="1">
      <pane ySplit="16" topLeftCell="A130" activePane="bottomLeft" state="frozen"/>
      <selection pane="bottomLeft" activeCell="B131" sqref="B131"/>
      <rowBreaks count="1" manualBreakCount="1">
        <brk id="72" max="16383" man="1"/>
      </rowBreaks>
      <pageMargins left="0.75" right="0.75" top="1.1000000000000001" bottom="0.5" header="0.5" footer="0.5"/>
      <printOptions horizontalCentered="1"/>
      <pageSetup scale="54" firstPageNumber="30" fitToHeight="0" orientation="portrait" r:id="rId3"/>
      <headerFooter>
        <oddHeader>&amp;C&amp;"Times New Roman,Regular"EAST ALTON ELEMENTARY SCHOOL DISTRICT NO. 13
CURRENT YEAR PAYMENT ON CONTRACTS FOR INDIRECT COST RATE COMPUTATION
FOR THE YEAR ENDED JUNE 30, 2018</oddHeader>
        <oddFooter>&amp;C&amp;"Times New Roman,Regular"See Independent Auditor's Reports
&amp;P</oddFooter>
      </headerFooter>
    </customSheetView>
  </customSheetViews>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4"/>
  <headerFooter>
    <oddHeader>&amp;C&amp;"Times New Roman,Regular"EAST ALTON ELEMENTARY SCHOOL DISTRICT NO. 13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318359</v>
      </c>
      <c r="F10" s="975"/>
      <c r="G10" s="976"/>
      <c r="H10" s="162"/>
      <c r="I10" s="162"/>
    </row>
    <row r="11" spans="1:9" s="669" customFormat="1" ht="22.5" customHeight="1" x14ac:dyDescent="0.2">
      <c r="A11" s="2303" t="s">
        <v>1942</v>
      </c>
      <c r="B11" s="2304"/>
      <c r="C11" s="2304"/>
      <c r="D11" s="2305"/>
      <c r="E11" s="978">
        <v>32615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4910555</v>
      </c>
      <c r="F19" s="1822"/>
      <c r="G19" s="1824">
        <f>'Expenditures 15-22'!K33-SUM('Expenditures 15-22'!G33,'Expenditures 15-22'!I33)+'Expenditures 15-22'!D229</f>
        <v>4910555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313517</v>
      </c>
      <c r="F21" s="1825"/>
      <c r="G21" s="1828">
        <f>'Expenditures 15-22'!K42-SUM('Expenditures 15-22'!G42,'Expenditures 15-22'!I42)+'Expenditures 15-22'!K120-SUM('Expenditures 15-22'!G120,'Expenditures 15-22'!I120)+'Expenditures 15-22'!K180-SUM('Expenditures 15-22'!G180,'Expenditures 15-22'!I180)+'Expenditures 15-22'!D238</f>
        <v>313517</v>
      </c>
      <c r="H21" s="988"/>
      <c r="I21" s="162"/>
    </row>
    <row r="22" spans="1:9" s="669" customFormat="1" ht="12" customHeight="1" x14ac:dyDescent="0.2">
      <c r="A22" s="995" t="s">
        <v>585</v>
      </c>
      <c r="B22" s="996"/>
      <c r="C22" s="994">
        <v>2200</v>
      </c>
      <c r="D22" s="1825"/>
      <c r="E22" s="1827">
        <f>'Expenditures 15-22'!K47-SUM('Expenditures 15-22'!G47,'Expenditures 15-22'!I47)+'Expenditures 15-22'!D243</f>
        <v>382317</v>
      </c>
      <c r="F22" s="1825"/>
      <c r="G22" s="1828">
        <f>'Expenditures 15-22'!K47-SUM('Expenditures 15-22'!G47,'Expenditures 15-22'!I47)+'Expenditures 15-22'!D243</f>
        <v>382317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1206109</v>
      </c>
      <c r="F23" s="1825"/>
      <c r="G23" s="1827">
        <f>'Expenditures 15-22'!K53-SUM('Expenditures 15-22'!G53,'Expenditures 15-22'!I53)+'Expenditures 15-22'!D257+'Expenditures 15-22'!K330-SUM('Expenditures 15-22'!G330,'Expenditures 15-22'!I330)</f>
        <v>1206109</v>
      </c>
      <c r="H23" s="988"/>
      <c r="I23" s="162"/>
    </row>
    <row r="24" spans="1:9" s="669" customFormat="1" ht="12" customHeight="1" x14ac:dyDescent="0.2">
      <c r="A24" s="995" t="s">
        <v>587</v>
      </c>
      <c r="B24" s="996"/>
      <c r="C24" s="994">
        <v>2400</v>
      </c>
      <c r="D24" s="1825"/>
      <c r="E24" s="1827">
        <f>'Expenditures 15-22'!K57-SUM('Expenditures 15-22'!G57,'Expenditures 15-22'!I57)+'Expenditures 15-22'!D261</f>
        <v>430335</v>
      </c>
      <c r="F24" s="1825"/>
      <c r="G24" s="1828">
        <f>'Expenditures 15-22'!K57-SUM('Expenditures 15-22'!G57,'Expenditures 15-22'!I57)+'Expenditures 15-22'!D261</f>
        <v>430335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89001</v>
      </c>
      <c r="E27" s="1827">
        <f>E8</f>
        <v>0</v>
      </c>
      <c r="F27" s="1827">
        <f>'Expenditures 15-22'!K60-SUM('Expenditures 15-22'!G60,'Expenditures 15-22'!I60)+'Expenditures 15-22'!D264-E8</f>
        <v>89001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730660</v>
      </c>
      <c r="F28" s="1829">
        <f>'Expenditures 15-22'!K61-SUM('Expenditures 15-22'!G61,'Expenditures 15-22'!I61)+'Expenditures 15-22'!K124-SUM('Expenditures 15-22'!G124,'Expenditures 15-22'!I124)+'Expenditures 15-22'!D266-E9</f>
        <v>730660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259887</v>
      </c>
      <c r="F29" s="1825"/>
      <c r="G29" s="1828">
        <f>'Expenditures 15-22'!K62-SUM('Expenditures 15-22'!G62,'Expenditures 15-22'!I62)+'Expenditures 15-22'!K125-SUM('Expenditures 15-22'!G125,'Expenditures 15-22'!I125)+'Expenditures 15-22'!K182-SUM('Expenditures 15-22'!G182,'Expenditures 15-22'!I182)+'Expenditures 15-22'!D267</f>
        <v>259887</v>
      </c>
      <c r="H29" s="986"/>
    </row>
    <row r="30" spans="1:9" ht="12" customHeight="1" x14ac:dyDescent="0.2">
      <c r="A30" s="995" t="s">
        <v>102</v>
      </c>
      <c r="B30" s="998"/>
      <c r="C30" s="994">
        <v>2560</v>
      </c>
      <c r="D30" s="1825"/>
      <c r="E30" s="1827">
        <f>'Expenditures 15-22'!K63-SUM('Expenditures 15-22'!G63,'Expenditures 15-22'!I63)+'Expenditures 15-22'!D268-E10</f>
        <v>238663</v>
      </c>
      <c r="F30" s="1825"/>
      <c r="G30" s="1827">
        <f>'Expenditures 15-22'!K63-SUM('Expenditures 15-22'!G63,'Expenditures 15-22'!I63)+'Expenditures 15-22'!D268-E10</f>
        <v>238663</v>
      </c>
    </row>
    <row r="31" spans="1:9" ht="12" customHeight="1" x14ac:dyDescent="0.2">
      <c r="A31" s="995" t="s">
        <v>103</v>
      </c>
      <c r="B31" s="998"/>
      <c r="C31" s="994">
        <v>2570</v>
      </c>
      <c r="D31" s="1827">
        <f>'Expenditures 15-22'!K64-SUM('Expenditures 15-22'!G64,'Expenditures 15-22'!I64)+'Expenditures 15-22'!D269-E12</f>
        <v>602</v>
      </c>
      <c r="E31" s="1827">
        <f>E12</f>
        <v>0</v>
      </c>
      <c r="F31" s="1827">
        <f>'Expenditures 15-22'!K64-SUM('Expenditures 15-22'!G64,'Expenditures 15-22'!I64)+'Expenditures 15-22'!D269-E12</f>
        <v>602</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2025</v>
      </c>
      <c r="F35" s="1825"/>
      <c r="G35" s="1827">
        <f>'Expenditures 15-22'!K69-SUM('Expenditures 15-22'!G69,'Expenditures 15-22'!I69)+'Expenditures 15-22'!D274</f>
        <v>2025</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28514</v>
      </c>
      <c r="E37" s="1827">
        <f>E14</f>
        <v>0</v>
      </c>
      <c r="F37" s="1827">
        <f>'Expenditures 15-22'!K71-SUM('Expenditures 15-22'!G71,'Expenditures 15-22'!I71)+'Expenditures 15-22'!D276-E14</f>
        <v>28514</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25191</v>
      </c>
      <c r="F38" s="1825"/>
      <c r="G38" s="1827">
        <f>'Expenditures 15-22'!K73-SUM('Expenditures 15-22'!G73,'Expenditures 15-22'!I73)+'Expenditures 15-22'!K128-SUM('Expenditures 15-22'!G128,'Expenditures 15-22'!I128)+'Expenditures 15-22'!K183-SUM('Expenditures 15-22'!G183,'Expenditures 15-22'!I183)+'Expenditures 15-22'!D278</f>
        <v>25191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224460</v>
      </c>
      <c r="F39" s="1825"/>
      <c r="G39" s="1827">
        <f>'Expenditures 15-22'!K75-SUM('Expenditures 15-22'!G75,'Expenditures 15-22'!I75)+'Expenditures 15-22'!K130-SUM('Expenditures 15-22'!G130,'Expenditures 15-22'!I130)+'Expenditures 15-22'!K185-SUM('Expenditures 15-22'!G185,'Expenditures 15-22'!I185)+'Expenditures 15-22'!D280</f>
        <v>224460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118117</v>
      </c>
      <c r="E41" s="1829">
        <f>SUM(E19:E40)</f>
        <v>8723719</v>
      </c>
      <c r="F41" s="1829">
        <f>SUM(F19:F39)</f>
        <v>848777</v>
      </c>
      <c r="G41" s="1829">
        <f>SUM(G19:G40)</f>
        <v>7993059</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118117</v>
      </c>
      <c r="F43" s="1830" t="s">
        <v>495</v>
      </c>
      <c r="G43" s="1831">
        <f>F41</f>
        <v>848777</v>
      </c>
    </row>
    <row r="44" spans="1:7" ht="12" customHeight="1" x14ac:dyDescent="0.2">
      <c r="A44" s="988"/>
      <c r="B44" s="162"/>
      <c r="C44" s="1002"/>
      <c r="D44" s="1830" t="s">
        <v>494</v>
      </c>
      <c r="E44" s="1831">
        <f>E41</f>
        <v>8723719</v>
      </c>
      <c r="F44" s="1830" t="s">
        <v>494</v>
      </c>
      <c r="G44" s="1831">
        <f>G41</f>
        <v>7993059</v>
      </c>
    </row>
    <row r="45" spans="1:7" ht="12" customHeight="1" x14ac:dyDescent="0.2">
      <c r="A45" s="988"/>
      <c r="B45" s="162"/>
      <c r="C45" s="162"/>
      <c r="D45" s="1832" t="s">
        <v>1063</v>
      </c>
      <c r="E45" s="1833">
        <f>(E43/E44)</f>
        <v>1.3539752942523711E-2</v>
      </c>
      <c r="F45" s="1832" t="s">
        <v>1063</v>
      </c>
      <c r="G45" s="1833">
        <f>(G43/G44)</f>
        <v>0.10618925745449896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66701A8A-4B70-4BC6-A23C-3FE9EE52CAD0}" scale="110" colorId="8" showGridLines="0">
      <selection activeCell="E11" sqref="E11"/>
      <pageMargins left="0.75" right="0.75" top="1" bottom="0.5" header="0.5" footer="0.5"/>
      <printOptions horizontalCentered="1"/>
      <pageSetup scale="77" firstPageNumber="30" orientation="landscape" r:id="rId1"/>
      <headerFooter>
        <oddHeader>&amp;C&amp;"Times New Roman,Regular"EAST ALTON ELEMENTARY SCHOOL DISTRICT NO. 13
ESTIMATED INDIRECT COST RATE DATA
FOR THE YEAR ENDED JUNE 30, 2018</oddHeader>
        <oddFooter>&amp;C&amp;"Times New Roman,Regular"See Independent Auditor's Reports
&amp;P</oddFooter>
      </headerFooter>
    </customSheetView>
    <customSheetView guid="{21F80B28-2D59-4A2F-B7F1-982D582C738E}" scale="110" colorId="8" showPageBreaks="1" showGridLines="0" printArea="1">
      <selection activeCell="E11" sqref="E11"/>
      <pageMargins left="0.75" right="0.75" top="1" bottom="0.5" header="0.5" footer="0.5"/>
      <printOptions horizontalCentered="1"/>
      <pageSetup scale="77" firstPageNumber="30" orientation="landscape" r:id="rId2"/>
      <headerFooter>
        <oddHeader>&amp;C&amp;"Times New Roman,Regular"EAST ALTON ELEMENTARY SCHOOL DISTRICT NO. 13
ESTIMATED INDIRECT COST RATE DATA
FOR THE YEAR ENDED JUNE 30, 2018</oddHeader>
        <oddFooter>&amp;C&amp;"Times New Roman,Regular"See Independent Auditor's Reports
&amp;P</oddFooter>
      </headerFooter>
    </customSheetView>
    <customSheetView guid="{659D510F-1045-4226-8DAF-5F1FF14245AE}" scale="110" colorId="8" showGridLines="0">
      <selection activeCell="E11" sqref="E11"/>
      <pageMargins left="0.75" right="0.75" top="1" bottom="0.5" header="0.5" footer="0.5"/>
      <printOptions horizontalCentered="1"/>
      <pageSetup scale="77" firstPageNumber="30" orientation="landscape" r:id="rId3"/>
      <headerFooter>
        <oddHeader>&amp;C&amp;"Times New Roman,Regular"EAST ALTON ELEMENTARY SCHOOL DISTRICT NO. 13
ESTIMATED INDIRECT COST RATE DATA
FOR THE YEAR ENDED JUNE 30, 2018</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4"/>
  <headerFooter>
    <oddHeader>&amp;C&amp;"Times New Roman,Regular"EAST ALTON ELEMENTARY SCHOOL DISTRICT NO. 13
ESTIMATED INDIRECT COST RATE DATA
FOR THE YEAR ENDED JUNE 30, 2018</oddHeader>
    <oddFooter>&amp;C&amp;"Times New Roman,Regular"See Independent Auditor's Reports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East Alton SD 13</v>
      </c>
      <c r="D6" s="2313"/>
      <c r="E6" s="2313"/>
      <c r="F6" s="1877"/>
    </row>
    <row r="7" spans="1:10" ht="11.25" customHeight="1" thickBot="1" x14ac:dyDescent="0.3">
      <c r="A7" s="1875"/>
      <c r="B7" s="1876"/>
      <c r="C7" s="2314">
        <f>COVER!A13</f>
        <v>41057013002</v>
      </c>
      <c r="D7" s="2314"/>
      <c r="E7" s="2314"/>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2074</v>
      </c>
      <c r="D25" s="1890" t="s">
        <v>2074</v>
      </c>
      <c r="E25" s="1893" t="s">
        <v>2074</v>
      </c>
      <c r="F25" s="1892" t="s">
        <v>2149</v>
      </c>
      <c r="H25" s="1903">
        <f t="shared" si="0"/>
        <v>5</v>
      </c>
      <c r="I25" s="1903">
        <f t="shared" si="1"/>
        <v>5</v>
      </c>
      <c r="J25" s="1903">
        <f t="shared" si="2"/>
        <v>5</v>
      </c>
    </row>
    <row r="26" spans="1:12" ht="12" customHeight="1" x14ac:dyDescent="0.2">
      <c r="A26" s="1888" t="s">
        <v>1615</v>
      </c>
      <c r="B26" s="1889"/>
      <c r="C26" s="1890" t="s">
        <v>2074</v>
      </c>
      <c r="D26" s="1890" t="s">
        <v>2074</v>
      </c>
      <c r="E26" s="1893" t="s">
        <v>2074</v>
      </c>
      <c r="F26" s="1892" t="s">
        <v>2150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66701A8A-4B70-4BC6-A23C-3FE9EE52CAD0}" scale="110" showGridLines="0" hiddenRows="1">
      <pane ySplit="4" topLeftCell="A5" activePane="bottomLeft" state="frozen"/>
      <selection pane="bottomLeft" activeCell="F27" sqref="F27"/>
      <pageMargins left="0.75" right="0.75" top="1.25" bottom="0.5" header="0.5" footer="0.5"/>
      <printOptions horizontalCentered="1"/>
      <pageSetup scale="76" orientation="landscape" r:id="rId1"/>
      <headerFooter>
        <oddHeader>&amp;C&amp;"Times New Roman,Regular"
EAST ALTON ELEMENTARY SCHOOL DISTRICT NO. 13</oddHeader>
        <oddFooter>&amp;C&amp;"Times New Roman,Regular"See Independent Auditor's Reports
&amp;P</oddFooter>
      </headerFooter>
    </customSheetView>
    <customSheetView guid="{21F80B28-2D59-4A2F-B7F1-982D582C738E}" scale="110" showPageBreaks="1" showGridLines="0" printArea="1" hiddenRows="1">
      <pane ySplit="4" topLeftCell="A5" activePane="bottomLeft" state="frozen"/>
      <selection pane="bottomLeft" activeCell="F27" sqref="F27"/>
      <pageMargins left="0.75" right="0.75" top="1.25" bottom="0.5" header="0.5" footer="0.5"/>
      <printOptions horizontalCentered="1"/>
      <pageSetup scale="76" orientation="landscape" r:id="rId2"/>
      <headerFooter>
        <oddHeader>&amp;C&amp;"Times New Roman,Regular"
EAST ALTON ELEMENTARY SCHOOL DISTRICT NO. 13</oddHeader>
        <oddFooter>&amp;C&amp;"Times New Roman,Regular"See Independent Auditor's Reports
&amp;P</oddFooter>
      </headerFooter>
    </customSheetView>
    <customSheetView guid="{659D510F-1045-4226-8DAF-5F1FF14245AE}" scale="110" showGridLines="0" hiddenRows="1">
      <pane ySplit="4" topLeftCell="A5" activePane="bottomLeft" state="frozen"/>
      <selection pane="bottomLeft" activeCell="F27" sqref="F27"/>
      <pageMargins left="0.75" right="0.75" top="1.25" bottom="0.5" header="0.5" footer="0.5"/>
      <printOptions horizontalCentered="1"/>
      <pageSetup scale="76" orientation="landscape" r:id="rId3"/>
      <headerFooter>
        <oddHeader>&amp;C&amp;"Times New Roman,Regular"
EAST ALTON ELEMENTARY SCHOOL DISTRICT NO. 13</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4"/>
  <headerFooter>
    <oddHeader>&amp;C&amp;"Times New Roman,Regular"
EAST ALTON ELEMENTARY SCHOOL DISTRICT NO. 13</oddHeader>
    <oddFooter>&amp;C&amp;"Times New Roman,Regular"See Independent Auditor's Reports
&amp;P</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 colorId="8" zoomScale="110" zoomScaleNormal="110" workbookViewId="0">
      <selection activeCell="C4" sqref="C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East Alton SD 13</v>
      </c>
      <c r="J6" s="2334"/>
      <c r="Q6" s="1686"/>
    </row>
    <row r="7" spans="1:17" x14ac:dyDescent="0.2">
      <c r="A7" s="2335" t="s">
        <v>924</v>
      </c>
      <c r="B7" s="2336"/>
      <c r="C7" s="2336"/>
      <c r="D7" s="2336"/>
      <c r="E7" s="2337"/>
      <c r="F7" s="1018"/>
      <c r="G7" s="1010"/>
      <c r="H7" s="1017" t="s">
        <v>390</v>
      </c>
      <c r="I7" s="2338">
        <f>COVER!A13</f>
        <v>41057013002</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242966</v>
      </c>
      <c r="F12" s="1040"/>
      <c r="G12" s="1834">
        <f t="shared" ref="G12:G18" si="0">SUM(E12:F12)</f>
        <v>242966</v>
      </c>
      <c r="H12" s="1041">
        <v>247942</v>
      </c>
      <c r="I12" s="1040"/>
      <c r="J12" s="1834">
        <f t="shared" ref="J12:J18" si="1">SUM(H12:I12)</f>
        <v>247942</v>
      </c>
    </row>
    <row r="13" spans="1:17" ht="15" customHeight="1" x14ac:dyDescent="0.2">
      <c r="A13" s="1036">
        <v>2</v>
      </c>
      <c r="B13" s="1037" t="s">
        <v>44</v>
      </c>
      <c r="C13" s="1038"/>
      <c r="D13" s="1039">
        <v>2330</v>
      </c>
      <c r="E13" s="1834">
        <f>'Expenditures 15-22'!K51</f>
        <v>212445</v>
      </c>
      <c r="F13" s="1040"/>
      <c r="G13" s="1834">
        <f t="shared" si="0"/>
        <v>212445</v>
      </c>
      <c r="H13" s="1041">
        <v>198186</v>
      </c>
      <c r="I13" s="1040"/>
      <c r="J13" s="1834">
        <f t="shared" si="1"/>
        <v>198186</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602</v>
      </c>
      <c r="F16" s="1040"/>
      <c r="G16" s="1834">
        <f t="shared" si="0"/>
        <v>602</v>
      </c>
      <c r="H16" s="1041">
        <v>1400</v>
      </c>
      <c r="I16" s="1040"/>
      <c r="J16" s="1834">
        <f t="shared" si="1"/>
        <v>1400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456013</v>
      </c>
      <c r="F19" s="1836">
        <f t="shared" si="2"/>
        <v>0</v>
      </c>
      <c r="G19" s="1836">
        <f t="shared" si="2"/>
        <v>456013</v>
      </c>
      <c r="H19" s="1836">
        <f t="shared" si="2"/>
        <v>447528</v>
      </c>
      <c r="I19" s="1836">
        <f t="shared" si="2"/>
        <v>0</v>
      </c>
      <c r="J19" s="1836">
        <f t="shared" si="2"/>
        <v>447528</v>
      </c>
    </row>
    <row r="20" spans="1:10" ht="13.5" thickTop="1" x14ac:dyDescent="0.2">
      <c r="A20" s="1036">
        <v>9</v>
      </c>
      <c r="B20" s="2345" t="s">
        <v>1703</v>
      </c>
      <c r="C20" s="2345"/>
      <c r="D20" s="2346"/>
      <c r="E20" s="1047"/>
      <c r="F20" s="1047"/>
      <c r="G20" s="1047"/>
      <c r="H20" s="1047"/>
      <c r="I20" s="1047"/>
      <c r="J20" s="1837">
        <f>IF(AND(G19&gt;0,J19&gt;0),(((J19-G19)/G19)),"Enter Budget Data")</f>
        <v>-1.8606925679750357E-2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1941</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66701A8A-4B70-4BC6-A23C-3FE9EE52CAD0}" scale="110" colorId="8" showPageBreaks="1" showGridLines="0" topLeftCell="A2">
      <selection activeCell="R19" sqref="R19"/>
      <pageMargins left="0.75" right="0.75" top="1" bottom="0.5" header="0.5" footer="0.5"/>
      <printOptions horizontalCentered="1"/>
      <pageSetup scale="85" firstPageNumber="68" orientation="landscape" useFirstPageNumber="1" r:id="rId1"/>
      <headerFooter>
        <oddHeader>&amp;C&amp;"Times New Roman,Regular"EAST ALTON ELEMENTARY SCHOOL DISTRICT NO. 13
LIMITATION OF ADMINISTRATIVE COSTS WORKSHEET
FOR THE YEAR ENDED JUNE 30, 2018</oddHeader>
        <oddFooter>&amp;C&amp;"Times New Roman,Regular"See Independent Auditor's Reports
&amp;P</oddFooter>
      </headerFooter>
    </customSheetView>
    <customSheetView guid="{21F80B28-2D59-4A2F-B7F1-982D582C738E}" scale="110" colorId="8" showPageBreaks="1" showGridLines="0" topLeftCell="A2">
      <selection activeCell="H13" sqref="H13"/>
      <pageMargins left="0.75" right="0.75" top="1" bottom="0.5" header="0.5" footer="0.5"/>
      <printOptions horizontalCentered="1"/>
      <pageSetup scale="85" firstPageNumber="31" orientation="landscape" r:id="rId2"/>
      <headerFooter>
        <oddHeader>&amp;C&amp;"Times New Roman,Regular"EAST ALTON ELEMENTARY SCHOOL DISTRICT NO. 13
LIMITATION OF ADMINISTRATIVE COSTS WORKSHEET
FOR THE YEAR ENDED JUNE 30, 2018</oddHeader>
        <oddFooter>&amp;C&amp;"Times New Roman,Regular"See Independent Auditor's Reports
&amp;P</oddFooter>
      </headerFooter>
    </customSheetView>
    <customSheetView guid="{659D510F-1045-4226-8DAF-5F1FF14245AE}" scale="110" colorId="8" showGridLines="0" topLeftCell="A2">
      <selection activeCell="H13" sqref="H13"/>
      <pageMargins left="0.75" right="0.75" top="1" bottom="0.5" header="0.5" footer="0.5"/>
      <printOptions horizontalCentered="1"/>
      <pageSetup scale="85" firstPageNumber="31" orientation="landscape" r:id="rId3"/>
      <headerFooter>
        <oddHeader>&amp;C&amp;"Times New Roman,Regular"EAST ALTON ELEMENTARY SCHOOL DISTRICT NO. 13
LIMITATION OF ADMINISTRATIVE COSTS WORKSHEET
FOR THE YEAR ENDED JUNE 30, 2018</oddHeader>
        <oddFooter>&amp;C&amp;"Times New Roman,Regular"See Independent Auditor's Reports
&amp;P</oddFoot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68" orientation="landscape" useFirstPageNumber="1" r:id="rId4"/>
  <headerFooter>
    <oddHeader>&amp;C&amp;"Times New Roman,Regular"EAST ALTON ELEMENTARY SCHOOL DISTRICT NO. 13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2151</v>
      </c>
    </row>
    <row r="6" spans="1:2" x14ac:dyDescent="0.2">
      <c r="A6" s="1069">
        <v>2</v>
      </c>
      <c r="B6" s="329" t="s">
        <v>2152</v>
      </c>
    </row>
    <row r="7" spans="1:2" x14ac:dyDescent="0.2">
      <c r="A7" s="1069">
        <v>3</v>
      </c>
      <c r="B7" s="329" t="s">
        <v>2155</v>
      </c>
    </row>
    <row r="8" spans="1:2" x14ac:dyDescent="0.2">
      <c r="A8" s="1069">
        <v>4</v>
      </c>
      <c r="B8" s="329" t="s">
        <v>2153</v>
      </c>
    </row>
    <row r="9" spans="1:2" x14ac:dyDescent="0.2">
      <c r="A9" s="1070">
        <v>5</v>
      </c>
      <c r="B9" s="329" t="s">
        <v>2154</v>
      </c>
    </row>
    <row r="10" spans="1:2" x14ac:dyDescent="0.2">
      <c r="A10" s="1070">
        <v>6</v>
      </c>
      <c r="B10" s="329" t="s">
        <v>2156</v>
      </c>
    </row>
    <row r="11" spans="1:2" x14ac:dyDescent="0.2">
      <c r="A11" s="1070">
        <v>7</v>
      </c>
      <c r="B11" s="329" t="s">
        <v>2157</v>
      </c>
    </row>
    <row r="12" spans="1:2" x14ac:dyDescent="0.2">
      <c r="A12" s="1070">
        <v>8</v>
      </c>
      <c r="B12" s="329" t="s">
        <v>2158</v>
      </c>
    </row>
    <row r="13" spans="1:2" x14ac:dyDescent="0.2">
      <c r="A13" s="1070">
        <v>9</v>
      </c>
      <c r="B13" s="329" t="s">
        <v>2159</v>
      </c>
    </row>
    <row r="14" spans="1:2" x14ac:dyDescent="0.2">
      <c r="A14" s="1070">
        <v>10</v>
      </c>
      <c r="B14" s="329" t="s">
        <v>2160</v>
      </c>
    </row>
    <row r="15" spans="1:2" x14ac:dyDescent="0.2">
      <c r="A15" s="1070">
        <v>11</v>
      </c>
      <c r="B15" s="329" t="s">
        <v>2161</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East Alton SD 13</v>
      </c>
    </row>
    <row r="65" spans="2:2" x14ac:dyDescent="0.2">
      <c r="B65" s="1071">
        <f>COVER!A13</f>
        <v>41057013002</v>
      </c>
    </row>
  </sheetData>
  <customSheetViews>
    <customSheetView guid="{66701A8A-4B70-4BC6-A23C-3FE9EE52CAD0}" scale="110" showGridLines="0">
      <selection activeCell="B16" sqref="B16"/>
      <pageMargins left="0.75" right="0.75" top="1.1000000000000001" bottom="0.5" header="0.5" footer="0.5"/>
      <printOptions horizontalCentered="1"/>
      <pageSetup scale="80" firstPageNumber="32" orientation="portrait" r:id="rId1"/>
      <headerFooter>
        <oddHeader>&amp;C&amp;"Times New Roman,Regular"EAST ALTON ELEMENTARY SCHOOL DISTRICT NO. 13
ITEMIZATION SCHEDULE
FOR THE YEAR ENDED JUNE 30, 2018</oddHeader>
        <oddFooter>&amp;C&amp;"Times New Roman,Regular"See Independent Auditor's Reports
&amp;P</oddFooter>
      </headerFooter>
    </customSheetView>
    <customSheetView guid="{21F80B28-2D59-4A2F-B7F1-982D582C738E}" scale="110" showPageBreaks="1" showGridLines="0" printArea="1">
      <selection activeCell="B16" sqref="B16"/>
      <pageMargins left="0.75" right="0.75" top="1.1000000000000001" bottom="0.5" header="0.5" footer="0.5"/>
      <printOptions horizontalCentered="1"/>
      <pageSetup scale="80" firstPageNumber="32" orientation="portrait" r:id="rId2"/>
      <headerFooter>
        <oddHeader>&amp;C&amp;"Times New Roman,Regular"EAST ALTON ELEMENTARY SCHOOL DISTRICT NO. 13
ITEMIZATION SCHEDULE
FOR THE YEAR ENDED JUNE 30, 2018</oddHeader>
        <oddFooter>&amp;C&amp;"Times New Roman,Regular"See Independent Auditor's Reports
&amp;P</oddFooter>
      </headerFooter>
    </customSheetView>
    <customSheetView guid="{659D510F-1045-4226-8DAF-5F1FF14245AE}" scale="110" showGridLines="0">
      <selection activeCell="B16" sqref="B16"/>
      <pageMargins left="0.75" right="0.75" top="1.1000000000000001" bottom="0.5" header="0.5" footer="0.5"/>
      <printOptions horizontalCentered="1"/>
      <pageSetup scale="80" firstPageNumber="32" orientation="portrait" r:id="rId3"/>
      <headerFooter>
        <oddHeader>&amp;C&amp;"Times New Roman,Regular"EAST ALTON ELEMENTARY SCHOOL DISTRICT NO. 13
ITEMIZATION SCHEDULE
FOR THE YEAR ENDED JUNE 30, 2018</oddHeader>
        <oddFooter>&amp;C&amp;"Times New Roman,Regular"See Independent Auditor's Reports
&amp;P</oddFooter>
      </headerFooter>
    </customSheetView>
  </customSheetViews>
  <phoneticPr fontId="12" type="noConversion"/>
  <printOptions horizontalCentered="1"/>
  <pageMargins left="0.75" right="0.75" top="1.1000000000000001" bottom="0.5" header="0.5" footer="0.5"/>
  <pageSetup scale="80" firstPageNumber="32" orientation="portrait" r:id="rId4"/>
  <headerFooter>
    <oddHeader>&amp;C&amp;"Times New Roman,Regular"EAST ALTON ELEMENTARY SCHOOL DISTRICT NO. 13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view="pageBreakPreview" topLeftCell="A16" zoomScale="60" zoomScaleNormal="110" workbookViewId="0">
      <selection activeCell="B50" sqref="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66701A8A-4B70-4BC6-A23C-3FE9EE52CAD0}" scale="60" showPageBreaks="1" showGridLines="0" hiddenRows="1" view="pageBreakPreview" topLeftCell="A16">
      <selection activeCell="B50" sqref="B50"/>
      <pageMargins left="0.75" right="0.75" top="1" bottom="0.5" header="0.5" footer="0.5"/>
      <printOptions horizontalCentered="1"/>
      <pageSetup scale="72" fitToHeight="0" orientation="portrait" r:id="rId1"/>
      <headerFooter>
        <oddHeader>&amp;C&amp;"Times New Roman,Regular"EAST ALTON ELEMENTARY SCHOOL DISTRICT NO. 13</oddHeader>
        <oddFooter>&amp;C&amp;"Times New Roman,Regular"
&amp;P</oddFooter>
      </headerFooter>
    </customSheetView>
    <customSheetView guid="{21F80B28-2D59-4A2F-B7F1-982D582C738E}" scale="60" showPageBreaks="1" showGridLines="0" hiddenRows="1" view="pageBreakPreview" topLeftCell="A16">
      <selection activeCell="B50" sqref="B50"/>
      <pageMargins left="0.75" right="0.75" top="1" bottom="0.5" header="0.5" footer="0.5"/>
      <printOptions horizontalCentered="1"/>
      <pageSetup scale="72" fitToHeight="0" orientation="portrait" r:id="rId2"/>
      <headerFooter>
        <oddHeader>&amp;C&amp;"Times New Roman,Regular"EAST ALTON ELEMENTARY SCHOOL DISTRICT NO. 13</oddHeader>
        <oddFooter>&amp;C&amp;"Times New Roman,Regular"
&amp;P</oddFooter>
      </headerFooter>
    </customSheetView>
    <customSheetView guid="{659D510F-1045-4226-8DAF-5F1FF14245AE}" scale="60" showPageBreaks="1" showGridLines="0" hiddenRows="1" view="pageBreakPreview" topLeftCell="A16">
      <selection activeCell="B50" sqref="B50"/>
      <pageMargins left="0.75" right="0.75" top="1" bottom="0.5" header="0.5" footer="0.5"/>
      <printOptions horizontalCentered="1"/>
      <pageSetup scale="72" fitToHeight="0" orientation="portrait" r:id="rId3"/>
      <headerFooter>
        <oddHeader>&amp;C&amp;"Times New Roman,Regular"EAST ALTON ELEMENTARY SCHOOL DISTRICT NO. 13</oddHeader>
        <oddFooter>&amp;C&amp;"Times New Roman,Regular"
&amp;P</oddFooter>
      </headerFooter>
    </customSheetView>
  </customSheetViews>
  <mergeCells count="4">
    <mergeCell ref="A40:E40"/>
    <mergeCell ref="A41:E41"/>
    <mergeCell ref="A42:E42"/>
    <mergeCell ref="A35:E35"/>
  </mergeCells>
  <hyperlinks>
    <hyperlink ref="B71" r:id="rId4" display="Federal Single Audit 2 CFR 200.500"/>
    <hyperlink ref="A42" r:id="rId5"/>
    <hyperlink ref="B54" r:id="rId6"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7"/>
  <headerFooter>
    <oddHeader>&amp;C&amp;"Times New Roman,Regular"EAST ALTON ELEMENTARY SCHOOL DISTRICT NO. 13</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66701A8A-4B70-4BC6-A23C-3FE9EE52CAD0}" scale="110" colorId="8" showGridLines="0">
      <selection activeCell="AF38" sqref="AF38"/>
      <pageMargins left="0.75" right="0.75" top="1" bottom="0.5" header="0.5" footer="0.5"/>
      <printOptions horizontalCentered="1"/>
      <pageSetup scale="75" firstPageNumber="33" orientation="landscape" r:id="rId1"/>
      <headerFooter>
        <oddHeader>&amp;C
&amp;"Times New Roman,Regular"FOR THE YEAR ENDED JUNE 30, 2018</oddHeader>
        <oddFooter>&amp;C&amp;"Times New Roman,Regular"See Independent Auditor's Reports
&amp;P</oddFooter>
      </headerFooter>
    </customSheetView>
    <customSheetView guid="{21F80B28-2D59-4A2F-B7F1-982D582C738E}" scale="110" colorId="8" showPageBreaks="1" showGridLines="0">
      <selection activeCell="AF38" sqref="AF38"/>
      <pageMargins left="0.75" right="0.75" top="1" bottom="0.5" header="0.5" footer="0.5"/>
      <printOptions horizontalCentered="1"/>
      <pageSetup scale="75" firstPageNumber="33" orientation="landscape" r:id="rId2"/>
      <headerFooter>
        <oddHeader>&amp;C
&amp;"Times New Roman,Regular"FOR THE YEAR ENDED JUNE 30, 2018</oddHeader>
        <oddFooter>&amp;C&amp;"Times New Roman,Regular"See Independent Auditor's Reports
&amp;P</oddFooter>
      </headerFooter>
    </customSheetView>
    <customSheetView guid="{659D510F-1045-4226-8DAF-5F1FF14245AE}" scale="110" colorId="8" showGridLines="0">
      <selection activeCell="AF38" sqref="AF38"/>
      <pageMargins left="0.75" right="0.75" top="1" bottom="0.5" header="0.5" footer="0.5"/>
      <printOptions horizontalCentered="1"/>
      <pageSetup scale="75" firstPageNumber="33" orientation="landscape" r:id="rId3"/>
      <headerFooter>
        <oddHeader>&amp;C
&amp;"Times New Roman,Regular"FOR THE YEAR ENDED JUNE 30, 2018</oddHeader>
        <oddFooter>&amp;C&amp;"Times New Roman,Regular"See Independent Auditor's Reports
&amp;P</oddFooter>
      </headerFooter>
    </customSheetView>
  </customSheetViews>
  <phoneticPr fontId="12" type="noConversion"/>
  <printOptions horizontalCentered="1"/>
  <pageMargins left="0.75" right="0.75" top="1" bottom="0.5" header="0.5" footer="0.5"/>
  <pageSetup scale="75" firstPageNumber="33" orientation="landscape" r:id="rId4"/>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customSheetViews>
    <customSheetView guid="{66701A8A-4B70-4BC6-A23C-3FE9EE52CAD0}" scale="110" showGridLines="0">
      <selection activeCell="AF38" sqref="AF38"/>
      <pageMargins left="0.75" right="0.75" top="1" bottom="0.5" header="0.5" footer="0.5"/>
      <printOptions horizontalCentered="1"/>
      <pageSetup scale="75" firstPageNumber="34" orientation="landscape" r:id="rId1"/>
      <headerFooter>
        <oddHeader>&amp;C
&amp;"Times New Roman,Regular"FOR THE YEAR ENDED JUNE 30, 2018</oddHeader>
        <oddFooter>&amp;C&amp;"Times New Roman,Regular"See Independent Auditor's Reports
&amp;P</oddFooter>
      </headerFooter>
    </customSheetView>
    <customSheetView guid="{21F80B28-2D59-4A2F-B7F1-982D582C738E}" scale="110" showPageBreaks="1" showGridLines="0">
      <selection activeCell="AF38" sqref="AF38"/>
      <pageMargins left="0.75" right="0.75" top="1" bottom="0.5" header="0.5" footer="0.5"/>
      <printOptions horizontalCentered="1"/>
      <pageSetup scale="75" firstPageNumber="34" orientation="landscape" r:id="rId2"/>
      <headerFooter>
        <oddHeader>&amp;C
&amp;"Times New Roman,Regular"FOR THE YEAR ENDED JUNE 30, 2018</oddHeader>
        <oddFooter>&amp;C&amp;"Times New Roman,Regular"See Independent Auditor's Reports
&amp;P</oddFooter>
      </headerFooter>
    </customSheetView>
    <customSheetView guid="{659D510F-1045-4226-8DAF-5F1FF14245AE}" scale="110" showGridLines="0">
      <selection activeCell="AF38" sqref="AF38"/>
      <pageMargins left="0.75" right="0.75" top="1" bottom="0.5" header="0.5" footer="0.5"/>
      <printOptions horizontalCentered="1"/>
      <pageSetup scale="75" firstPageNumber="34" orientation="landscape" r:id="rId3"/>
      <headerFooter>
        <oddHeader>&amp;C
&amp;"Times New Roman,Regular"FOR THE YEAR ENDED JUNE 30, 2018</oddHeader>
        <oddFooter>&amp;C&amp;"Times New Roman,Regular"See Independent Auditor's Reports
&amp;P</oddFooter>
      </headerFooter>
    </customSheetView>
  </customSheetViews>
  <mergeCells count="1">
    <mergeCell ref="A18:B18"/>
  </mergeCells>
  <phoneticPr fontId="12" type="noConversion"/>
  <printOptions horizontalCentered="1"/>
  <pageMargins left="0.75" right="0.75" top="1" bottom="0.5" header="0.5" footer="0.5"/>
  <pageSetup scale="75" firstPageNumber="34" orientation="landscape" r:id="rId4"/>
  <headerFooter>
    <oddHeader>&amp;C
&amp;"Times New Roman,Regular"FOR THE YEAR ENDED JUNE 30, 2018</oddHeader>
    <oddFooter>&amp;C&amp;"Times New Roman,Regular"See Independent Auditor's Reports
&amp;P</oddFooter>
  </headerFooter>
  <drawing r:id="rId5"/>
  <legacyDrawing r:id="rId6"/>
  <oleObjects>
    <mc:AlternateContent xmlns:mc="http://schemas.openxmlformats.org/markup-compatibility/2006">
      <mc:Choice Requires="x14">
        <oleObject progId="Acrobat Document" dvAspect="DVASPECT_ICON" shapeId="35841" r:id="rId7">
          <objectPr defaultSize="0" r:id="rId8">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N22" sqref="N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2053</v>
      </c>
      <c r="B4" s="2373"/>
      <c r="C4" s="2373"/>
      <c r="D4" s="2373"/>
      <c r="E4" s="2373"/>
      <c r="F4" s="2374"/>
      <c r="G4" s="1075"/>
      <c r="H4" s="1075"/>
    </row>
    <row r="5" spans="1:8" ht="14.25" customHeight="1" x14ac:dyDescent="0.2">
      <c r="A5" s="2375" t="s">
        <v>2054</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7938373</v>
      </c>
      <c r="C8" s="1838">
        <f>'Acct Summary 7-8'!D8</f>
        <v>598102</v>
      </c>
      <c r="D8" s="1838">
        <f>'Acct Summary 7-8'!F8</f>
        <v>315551</v>
      </c>
      <c r="E8" s="1838">
        <f>'Acct Summary 7-8'!I8</f>
        <v>37987</v>
      </c>
      <c r="F8" s="1838">
        <f>SUM(B8:E8)</f>
        <v>8890013</v>
      </c>
    </row>
    <row r="9" spans="1:8" s="1080" customFormat="1" ht="14.25" customHeight="1" thickBot="1" x14ac:dyDescent="0.25">
      <c r="A9" s="1079" t="s">
        <v>1436</v>
      </c>
      <c r="B9" s="1839">
        <f>'Acct Summary 7-8'!C17</f>
        <v>7793894</v>
      </c>
      <c r="C9" s="1839">
        <f>'Acct Summary 7-8'!D17</f>
        <v>611340</v>
      </c>
      <c r="D9" s="1839">
        <f>'Acct Summary 7-8'!F17</f>
        <v>253385</v>
      </c>
      <c r="E9" s="1838"/>
      <c r="F9" s="1838">
        <f>SUM(B9:E9)</f>
        <v>8658619</v>
      </c>
    </row>
    <row r="10" spans="1:8" s="1080" customFormat="1" ht="14.25" thickTop="1" thickBot="1" x14ac:dyDescent="0.25">
      <c r="A10" s="1081" t="s">
        <v>1437</v>
      </c>
      <c r="B10" s="1840">
        <f>(B8-B9)</f>
        <v>144479</v>
      </c>
      <c r="C10" s="1840">
        <f>(C8-C9)</f>
        <v>-13238</v>
      </c>
      <c r="D10" s="1840">
        <f>(D8-D9)</f>
        <v>62166</v>
      </c>
      <c r="E10" s="1839">
        <f>(E8-E9)</f>
        <v>37987</v>
      </c>
      <c r="F10" s="1841">
        <f>SUM(F8-F9)</f>
        <v>231394</v>
      </c>
    </row>
    <row r="11" spans="1:8" s="1080" customFormat="1" ht="14.25" thickTop="1" thickBot="1" x14ac:dyDescent="0.25">
      <c r="A11" s="1082" t="s">
        <v>1785</v>
      </c>
      <c r="B11" s="1842">
        <f>'Acct Summary 7-8'!C81</f>
        <v>560685</v>
      </c>
      <c r="C11" s="1842">
        <f>'Acct Summary 7-8'!D81</f>
        <v>157636</v>
      </c>
      <c r="D11" s="1842">
        <f>'Acct Summary 7-8'!F81</f>
        <v>44577</v>
      </c>
      <c r="E11" s="1842">
        <f>'Acct Summary 7-8'!I81</f>
        <v>1394660</v>
      </c>
      <c r="F11" s="1843">
        <f>SUM(B11:E11)</f>
        <v>2157558</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66701A8A-4B70-4BC6-A23C-3FE9EE52CAD0}" scale="110" showGridLines="0" zeroValues="0" hiddenRows="1">
      <selection activeCell="N22" sqref="N22"/>
      <pageMargins left="0.75" right="0.75" top="1.5" bottom="0.5" header="0.5" footer="0.5"/>
      <printOptions horizontalCentered="1"/>
      <pageSetup firstPageNumber="19" fitToHeight="0" orientation="landscape" r:id="rId1"/>
      <headerFooter>
        <oddHeader>&amp;C&amp;"Times New Roman,Regular"EAST ALTON ELEMENTARY SCHOOL DISTRICT NO. 13
DEFICIT ANNUAL FINANCIAL REPORT (AFR) SUMMARY INFORMATION
FOR THE YEAR ENDED JUNE 30, 2018</oddHeader>
        <oddFooter>&amp;C&amp;"Times New Roman,Regular"See Independent Auditor's Reports
&amp;P</oddFooter>
      </headerFooter>
    </customSheetView>
    <customSheetView guid="{21F80B28-2D59-4A2F-B7F1-982D582C738E}" scale="110" showPageBreaks="1" showGridLines="0" zeroValues="0" hiddenRows="1">
      <selection activeCell="N22" sqref="N22"/>
      <pageMargins left="0.75" right="0.75" top="1.5" bottom="0.5" header="0.5" footer="0.5"/>
      <printOptions horizontalCentered="1"/>
      <pageSetup firstPageNumber="19" fitToHeight="0" orientation="landscape" r:id="rId2"/>
      <headerFooter>
        <oddHeader>&amp;C&amp;"Times New Roman,Regular"EAST ALTON ELEMENTARY SCHOOL DISTRICT NO. 13
DEFICIT ANNUAL FINANCIAL REPORT (AFR) SUMMARY INFORMATION
FOR THE YEAR ENDED JUNE 30, 2018</oddHeader>
        <oddFooter>&amp;C&amp;"Times New Roman,Regular"See Independent Auditor's Reports
&amp;P</oddFooter>
      </headerFooter>
    </customSheetView>
    <customSheetView guid="{659D510F-1045-4226-8DAF-5F1FF14245AE}" scale="110" showGridLines="0" zeroValues="0" hiddenRows="1">
      <selection activeCell="N22" sqref="N22"/>
      <pageMargins left="0.75" right="0.75" top="1.5" bottom="0.5" header="0.5" footer="0.5"/>
      <printOptions horizontalCentered="1"/>
      <pageSetup firstPageNumber="19" fitToHeight="0" orientation="landscape" r:id="rId3"/>
      <headerFooter>
        <oddHeader>&amp;C&amp;"Times New Roman,Regular"EAST ALTON ELEMENTARY SCHOOL DISTRICT NO. 13
DEFICIT ANNUAL FINANCIAL REPORT (AFR) SUMMARY INFORMATION
FOR THE YEAR ENDED JUNE 30, 2018</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4"/>
  <headerFooter>
    <oddHeader>&amp;C&amp;"Times New Roman,Regular"EAST ALTON ELEMENTARY SCHOOL DISTRICT NO. 13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D76" sqref="D7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66701A8A-4B70-4BC6-A23C-3FE9EE52CAD0}" scale="110" colorId="8" showGridLines="0" hiddenRows="1" topLeftCell="A50">
      <selection activeCell="D76" sqref="D76"/>
      <pageMargins left="0.75" right="0.75" top="1" bottom="0.5" header="0.5" footer="0.5"/>
      <printOptions horizontalCentered="1"/>
      <pageSetup scale="75" firstPageNumber="32" orientation="landscape" r:id="rId1"/>
      <headerFooter>
        <oddHeader>&amp;C
&amp;"Times New Roman,Regular"FOR THE YEAR ENDED JUNE 30, 2018</oddHeader>
        <oddFooter>&amp;C&amp;"Times New Roman,Regular"See Independent Auditor's Reports
&amp;P</oddFooter>
      </headerFooter>
    </customSheetView>
    <customSheetView guid="{21F80B28-2D59-4A2F-B7F1-982D582C738E}" scale="110" colorId="8" showPageBreaks="1" showGridLines="0" hiddenRows="1" topLeftCell="A50">
      <selection activeCell="D76" sqref="D76"/>
      <pageMargins left="0.75" right="0.75" top="1" bottom="0.5" header="0.5" footer="0.5"/>
      <printOptions horizontalCentered="1"/>
      <pageSetup scale="75" firstPageNumber="32" orientation="landscape" r:id="rId2"/>
      <headerFooter>
        <oddHeader>&amp;C
&amp;"Times New Roman,Regular"FOR THE YEAR ENDED JUNE 30, 2018</oddHeader>
        <oddFooter>&amp;C&amp;"Times New Roman,Regular"See Independent Auditor's Reports
&amp;P</oddFooter>
      </headerFooter>
    </customSheetView>
    <customSheetView guid="{659D510F-1045-4226-8DAF-5F1FF14245AE}" scale="110" colorId="8" showGridLines="0" hiddenRows="1" topLeftCell="A50">
      <selection activeCell="D76" sqref="D76"/>
      <pageMargins left="0.75" right="0.75" top="1" bottom="0.5" header="0.5" footer="0.5"/>
      <printOptions horizontalCentered="1"/>
      <pageSetup scale="75" firstPageNumber="32" orientation="landscape" r:id="rId3"/>
      <headerFooter>
        <oddHeader>&amp;C
&amp;"Times New Roman,Regular"FOR THE YEAR ENDED JUNE 30, 2018</oddHeader>
        <oddFooter>&amp;C&amp;"Times New Roman,Regular"See Independent Auditor's Reports
&amp;P</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4"/>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41057013002</v>
      </c>
    </row>
    <row r="3" spans="1:2" x14ac:dyDescent="0.2">
      <c r="A3" t="s">
        <v>1013</v>
      </c>
      <c r="B3" s="138" t="str">
        <f>COVER!A15</f>
        <v>MADISON</v>
      </c>
    </row>
    <row r="4" spans="1:2" x14ac:dyDescent="0.2">
      <c r="A4" t="s">
        <v>1064</v>
      </c>
      <c r="B4" s="138" t="str">
        <f>COVER!A17</f>
        <v>East Alton SD 13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066-005060</v>
      </c>
    </row>
    <row r="16" spans="1:2" x14ac:dyDescent="0.2">
      <c r="A16" t="s">
        <v>442</v>
      </c>
      <c r="B16" s="138" t="str">
        <f>COVER!T13</f>
        <v>DENNIS ROSE &amp; ASSOCIATES, P.C.</v>
      </c>
    </row>
    <row r="17" spans="1:2" x14ac:dyDescent="0.2">
      <c r="A17" t="s">
        <v>939</v>
      </c>
      <c r="B17" s="138" t="str">
        <f>COVER!T15</f>
        <v>DENNIS ROSE</v>
      </c>
    </row>
    <row r="18" spans="1:2" x14ac:dyDescent="0.2">
      <c r="A18" t="s">
        <v>1212</v>
      </c>
      <c r="B18" s="138" t="str">
        <f>COVER!T17</f>
        <v xml:space="preserve">1904 STATE STREET </v>
      </c>
    </row>
    <row r="19" spans="1:2" x14ac:dyDescent="0.2">
      <c r="A19" t="s">
        <v>941</v>
      </c>
      <c r="B19" s="138" t="str">
        <f>COVER!T25</f>
        <v>DROSECPA@DRA-CPA.COM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560685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560685</v>
      </c>
      <c r="D92" s="2" t="str">
        <f t="shared" si="0"/>
        <v>Error?</v>
      </c>
    </row>
    <row r="93" spans="1:4" x14ac:dyDescent="0.2">
      <c r="A93" s="5">
        <v>32</v>
      </c>
      <c r="B93" s="138">
        <f>'Assets-Liab 5-6'!C41</f>
        <v>560685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157636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157636</v>
      </c>
      <c r="D123" s="2" t="str">
        <f t="shared" si="0"/>
        <v>Error?</v>
      </c>
    </row>
    <row r="124" spans="1:4" x14ac:dyDescent="0.2">
      <c r="A124" s="5">
        <v>63</v>
      </c>
      <c r="B124" s="138">
        <f>'Assets-Liab 5-6'!D41</f>
        <v>157636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66200</v>
      </c>
      <c r="C139" s="2" t="s">
        <v>594</v>
      </c>
      <c r="D139" s="2" t="str">
        <f t="shared" si="1"/>
        <v>Error?</v>
      </c>
    </row>
    <row r="140" spans="1:4" x14ac:dyDescent="0.2">
      <c r="A140" s="5">
        <v>79</v>
      </c>
      <c r="B140" s="138">
        <f>'Assets-Liab 5-6'!E39</f>
        <v>-66197</v>
      </c>
      <c r="D140" s="2" t="str">
        <f t="shared" si="1"/>
        <v>Error?</v>
      </c>
    </row>
    <row r="141" spans="1:4" x14ac:dyDescent="0.2">
      <c r="A141" s="5">
        <v>80</v>
      </c>
      <c r="B141" s="138">
        <f>'Assets-Liab 5-6'!E41</f>
        <v>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44577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44577</v>
      </c>
      <c r="D170" s="2" t="str">
        <f t="shared" si="1"/>
        <v>Error?</v>
      </c>
    </row>
    <row r="171" spans="1:4" x14ac:dyDescent="0.2">
      <c r="A171" s="5">
        <v>110</v>
      </c>
      <c r="B171" s="138">
        <f>'Assets-Liab 5-6'!F41</f>
        <v>44577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54091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26808</v>
      </c>
      <c r="D189" s="2" t="str">
        <f t="shared" si="1"/>
        <v>Error?</v>
      </c>
    </row>
    <row r="190" spans="1:4" x14ac:dyDescent="0.2">
      <c r="A190" s="5">
        <v>129</v>
      </c>
      <c r="B190" s="138">
        <f>'Assets-Liab 5-6'!G41</f>
        <v>54091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888</v>
      </c>
      <c r="D212" s="2" t="str">
        <f t="shared" si="2"/>
        <v>Error?</v>
      </c>
    </row>
    <row r="213" spans="1:4" x14ac:dyDescent="0.2">
      <c r="A213" s="12">
        <v>152</v>
      </c>
      <c r="B213" s="138">
        <f>'Assets-Liab 5-6'!H41</f>
        <v>888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100686</v>
      </c>
      <c r="D273" s="2" t="str">
        <f t="shared" si="3"/>
        <v>Error?</v>
      </c>
    </row>
    <row r="274" spans="1:4" x14ac:dyDescent="0.2">
      <c r="A274" s="5">
        <v>213</v>
      </c>
      <c r="B274" s="138">
        <f>'Assets-Liab 5-6'!M17</f>
        <v>11690654</v>
      </c>
      <c r="D274" s="2" t="str">
        <f t="shared" si="3"/>
        <v>Error?</v>
      </c>
    </row>
    <row r="275" spans="1:4" x14ac:dyDescent="0.2">
      <c r="A275" s="5">
        <v>214</v>
      </c>
      <c r="B275" s="138">
        <f>'Assets-Liab 5-6'!M18</f>
        <v>3295725</v>
      </c>
      <c r="D275" s="2" t="str">
        <f t="shared" si="3"/>
        <v>Error?</v>
      </c>
    </row>
    <row r="276" spans="1:4" x14ac:dyDescent="0.2">
      <c r="A276" s="5">
        <v>215</v>
      </c>
      <c r="B276" s="138">
        <f>'Assets-Liab 5-6'!M19</f>
        <v>4953170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20040235</v>
      </c>
      <c r="C279" s="2" t="s">
        <v>594</v>
      </c>
      <c r="D279" s="2" t="str">
        <f t="shared" si="3"/>
        <v>Error?</v>
      </c>
    </row>
    <row r="280" spans="1:4" x14ac:dyDescent="0.2">
      <c r="A280" s="5">
        <v>219</v>
      </c>
      <c r="B280" s="138">
        <f>'Assets-Liab 5-6'!M40</f>
        <v>20040235</v>
      </c>
      <c r="D280" s="2" t="str">
        <f t="shared" si="3"/>
        <v>Error?</v>
      </c>
    </row>
    <row r="281" spans="1:4" x14ac:dyDescent="0.2">
      <c r="A281" s="5">
        <v>220</v>
      </c>
      <c r="B281" s="138">
        <f>'Assets-Liab 5-6'!M41</f>
        <v>20040235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4832549</v>
      </c>
      <c r="D283" s="2" t="str">
        <f t="shared" si="3"/>
        <v>Error?</v>
      </c>
    </row>
    <row r="284" spans="1:4" x14ac:dyDescent="0.2">
      <c r="A284" s="5">
        <v>223</v>
      </c>
      <c r="B284" s="138">
        <f>'Assets-Liab 5-6'!N23</f>
        <v>4832549</v>
      </c>
      <c r="C284" s="2" t="s">
        <v>594</v>
      </c>
      <c r="D284" s="2" t="str">
        <f t="shared" si="3"/>
        <v>Error?</v>
      </c>
    </row>
    <row r="285" spans="1:4" x14ac:dyDescent="0.2">
      <c r="A285" s="5">
        <v>224</v>
      </c>
      <c r="B285" s="138">
        <f>'Assets-Liab 5-6'!N36</f>
        <v>4832549</v>
      </c>
      <c r="D285" s="2" t="str">
        <f t="shared" si="3"/>
        <v>Error?</v>
      </c>
    </row>
    <row r="286" spans="1:4" x14ac:dyDescent="0.2">
      <c r="A286" s="10">
        <v>225</v>
      </c>
      <c r="D286" s="2" t="str">
        <f t="shared" si="3"/>
        <v>OK</v>
      </c>
    </row>
    <row r="287" spans="1:4" x14ac:dyDescent="0.2">
      <c r="A287" s="5">
        <v>226</v>
      </c>
      <c r="B287" s="138">
        <f>'Assets-Liab 5-6'!N37</f>
        <v>4832549</v>
      </c>
      <c r="C287" s="2" t="s">
        <v>594</v>
      </c>
      <c r="D287" s="2" t="str">
        <f t="shared" si="3"/>
        <v>Error?</v>
      </c>
    </row>
    <row r="288" spans="1:4" x14ac:dyDescent="0.2">
      <c r="A288" s="5">
        <v>227</v>
      </c>
      <c r="B288" s="138">
        <f>'Assets-Liab 5-6'!N41</f>
        <v>4832549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11026</v>
      </c>
      <c r="D321" s="2" t="str">
        <f t="shared" si="4"/>
        <v>Error?</v>
      </c>
    </row>
    <row r="322" spans="1:4" x14ac:dyDescent="0.2">
      <c r="A322" s="10">
        <v>261</v>
      </c>
      <c r="D322" s="2" t="str">
        <f t="shared" si="4"/>
        <v>OK</v>
      </c>
    </row>
    <row r="323" spans="1:4" x14ac:dyDescent="0.2">
      <c r="A323" s="5">
        <v>262</v>
      </c>
      <c r="B323" s="138">
        <f>'Acct Summary 7-8'!C33</f>
        <v>108707</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1842369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321434</v>
      </c>
      <c r="D718" s="2" t="str">
        <f t="shared" si="10"/>
        <v>Error?</v>
      </c>
    </row>
    <row r="719" spans="1:4" x14ac:dyDescent="0.2">
      <c r="A719" s="5">
        <v>658</v>
      </c>
      <c r="B719" s="138">
        <f>'Expenditures 15-22'!C15</f>
        <v>23373</v>
      </c>
      <c r="D719" s="2" t="str">
        <f t="shared" si="10"/>
        <v>Error?</v>
      </c>
    </row>
    <row r="720" spans="1:4" x14ac:dyDescent="0.2">
      <c r="A720" s="5">
        <v>659</v>
      </c>
      <c r="B720" s="138">
        <f>'Expenditures 15-22'!C33</f>
        <v>3416270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24077</v>
      </c>
      <c r="D723" s="2" t="str">
        <f t="shared" si="10"/>
        <v>Error?</v>
      </c>
    </row>
    <row r="724" spans="1:4" x14ac:dyDescent="0.2">
      <c r="A724" s="5">
        <v>663</v>
      </c>
      <c r="B724" s="138">
        <f>'Expenditures 15-22'!C39</f>
        <v>58750</v>
      </c>
      <c r="D724" s="2" t="str">
        <f t="shared" si="10"/>
        <v>Error?</v>
      </c>
    </row>
    <row r="725" spans="1:4" x14ac:dyDescent="0.2">
      <c r="A725" s="5">
        <v>664</v>
      </c>
      <c r="B725" s="138">
        <f>'Expenditures 15-22'!C40</f>
        <v>124848</v>
      </c>
      <c r="D725" s="2" t="str">
        <f t="shared" si="10"/>
        <v>Error?</v>
      </c>
    </row>
    <row r="726" spans="1:4" x14ac:dyDescent="0.2">
      <c r="A726" s="5">
        <v>665</v>
      </c>
      <c r="B726" s="138">
        <f>'Expenditures 15-22'!C41</f>
        <v>24942</v>
      </c>
      <c r="D726" s="2" t="str">
        <f t="shared" si="10"/>
        <v>Error?</v>
      </c>
    </row>
    <row r="727" spans="1:4" x14ac:dyDescent="0.2">
      <c r="A727" s="5">
        <v>666</v>
      </c>
      <c r="B727" s="138">
        <f>'Expenditures 15-22'!C42</f>
        <v>232617</v>
      </c>
      <c r="C727" s="2" t="s">
        <v>594</v>
      </c>
      <c r="D727" s="2" t="str">
        <f t="shared" si="10"/>
        <v>Error?</v>
      </c>
    </row>
    <row r="728" spans="1:4" x14ac:dyDescent="0.2">
      <c r="A728" s="5">
        <v>667</v>
      </c>
      <c r="B728" s="138">
        <f>'Expenditures 15-22'!C44</f>
        <v>205539</v>
      </c>
      <c r="D728" s="2" t="str">
        <f t="shared" si="10"/>
        <v>Error?</v>
      </c>
    </row>
    <row r="729" spans="1:4" x14ac:dyDescent="0.2">
      <c r="A729" s="5">
        <v>668</v>
      </c>
      <c r="B729" s="138">
        <f>'Expenditures 15-22'!C45</f>
        <v>48719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254258</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176159</v>
      </c>
      <c r="D733" s="2" t="str">
        <f t="shared" si="10"/>
        <v>Error?</v>
      </c>
    </row>
    <row r="734" spans="1:4" x14ac:dyDescent="0.2">
      <c r="A734" s="5">
        <v>673</v>
      </c>
      <c r="B734" s="138">
        <f>'Expenditures 15-22'!C53</f>
        <v>343199</v>
      </c>
      <c r="C734" s="2" t="s">
        <v>594</v>
      </c>
      <c r="D734" s="2" t="str">
        <f t="shared" si="10"/>
        <v>Error?</v>
      </c>
    </row>
    <row r="735" spans="1:4" x14ac:dyDescent="0.2">
      <c r="A735" s="5">
        <v>674</v>
      </c>
      <c r="B735" s="138">
        <f>'Expenditures 15-22'!C55</f>
        <v>324602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324602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50689</v>
      </c>
      <c r="D739" s="2" t="str">
        <f t="shared" si="10"/>
        <v>Error?</v>
      </c>
    </row>
    <row r="740" spans="1:4" x14ac:dyDescent="0.2">
      <c r="A740" s="5">
        <v>679</v>
      </c>
      <c r="B740" s="138">
        <f>'Expenditures 15-22'!C61</f>
        <v>44241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194875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289805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24051</v>
      </c>
      <c r="D751" s="2" t="str">
        <f t="shared" si="10"/>
        <v>Error?</v>
      </c>
    </row>
    <row r="752" spans="1:4" x14ac:dyDescent="0.2">
      <c r="A752" s="10">
        <v>691</v>
      </c>
      <c r="D752" s="2" t="str">
        <f t="shared" si="10"/>
        <v>OK</v>
      </c>
    </row>
    <row r="753" spans="1:4" x14ac:dyDescent="0.2">
      <c r="A753" s="5">
        <v>692</v>
      </c>
      <c r="B753" s="138">
        <f>'Expenditures 15-22'!C72</f>
        <v>24051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1468532</v>
      </c>
      <c r="C755" s="2" t="s">
        <v>594</v>
      </c>
      <c r="D755" s="2" t="str">
        <f t="shared" si="10"/>
        <v>Error?</v>
      </c>
    </row>
    <row r="756" spans="1:4" x14ac:dyDescent="0.2">
      <c r="A756" s="5">
        <v>695</v>
      </c>
      <c r="B756" s="138">
        <f>'Expenditures 15-22'!C75</f>
        <v>163214</v>
      </c>
      <c r="D756" s="2" t="str">
        <f t="shared" si="10"/>
        <v>Error?</v>
      </c>
    </row>
    <row r="757" spans="1:4" x14ac:dyDescent="0.2">
      <c r="A757" s="5">
        <v>696</v>
      </c>
      <c r="B757" s="138">
        <f>'Expenditures 15-22'!C114</f>
        <v>5048016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501275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74429</v>
      </c>
      <c r="D776" s="2" t="str">
        <f t="shared" si="11"/>
        <v>Error?</v>
      </c>
    </row>
    <row r="777" spans="1:4" x14ac:dyDescent="0.2">
      <c r="A777" s="5">
        <v>716</v>
      </c>
      <c r="B777" s="138">
        <f>'Expenditures 15-22'!D15</f>
        <v>2753</v>
      </c>
      <c r="D777" s="2" t="str">
        <f t="shared" si="11"/>
        <v>Error?</v>
      </c>
    </row>
    <row r="778" spans="1:4" x14ac:dyDescent="0.2">
      <c r="A778" s="5">
        <v>717</v>
      </c>
      <c r="B778" s="138">
        <f>'Expenditures 15-22'!D33</f>
        <v>957614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8218</v>
      </c>
      <c r="D781" s="2" t="str">
        <f t="shared" si="11"/>
        <v>Error?</v>
      </c>
    </row>
    <row r="782" spans="1:4" x14ac:dyDescent="0.2">
      <c r="A782" s="5">
        <v>721</v>
      </c>
      <c r="B782" s="138">
        <f>'Expenditures 15-22'!D39</f>
        <v>20871</v>
      </c>
      <c r="D782" s="2" t="str">
        <f t="shared" si="11"/>
        <v>Error?</v>
      </c>
    </row>
    <row r="783" spans="1:4" x14ac:dyDescent="0.2">
      <c r="A783" s="5">
        <v>722</v>
      </c>
      <c r="B783" s="138">
        <f>'Expenditures 15-22'!D40</f>
        <v>22277</v>
      </c>
      <c r="D783" s="2" t="str">
        <f t="shared" si="11"/>
        <v>Error?</v>
      </c>
    </row>
    <row r="784" spans="1:4" x14ac:dyDescent="0.2">
      <c r="A784" s="5">
        <v>723</v>
      </c>
      <c r="B784" s="138">
        <f>'Expenditures 15-22'!D41</f>
        <v>11</v>
      </c>
      <c r="D784" s="2" t="str">
        <f t="shared" si="11"/>
        <v>Error?</v>
      </c>
    </row>
    <row r="785" spans="1:4" x14ac:dyDescent="0.2">
      <c r="A785" s="5">
        <v>724</v>
      </c>
      <c r="B785" s="138">
        <f>'Expenditures 15-22'!D42</f>
        <v>51377</v>
      </c>
      <c r="C785" s="2" t="s">
        <v>594</v>
      </c>
      <c r="D785" s="2" t="str">
        <f t="shared" si="11"/>
        <v>Error?</v>
      </c>
    </row>
    <row r="786" spans="1:4" x14ac:dyDescent="0.2">
      <c r="A786" s="5">
        <v>725</v>
      </c>
      <c r="B786" s="138">
        <f>'Expenditures 15-22'!D44</f>
        <v>24976</v>
      </c>
      <c r="D786" s="2" t="str">
        <f t="shared" si="11"/>
        <v>Error?</v>
      </c>
    </row>
    <row r="787" spans="1:4" x14ac:dyDescent="0.2">
      <c r="A787" s="5">
        <v>726</v>
      </c>
      <c r="B787" s="138">
        <f>'Expenditures 15-22'!D45</f>
        <v>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24992</v>
      </c>
      <c r="C789" s="2" t="s">
        <v>594</v>
      </c>
      <c r="D789" s="2" t="str">
        <f t="shared" si="11"/>
        <v>Error?</v>
      </c>
    </row>
    <row r="790" spans="1:4" x14ac:dyDescent="0.2">
      <c r="A790" s="5">
        <v>729</v>
      </c>
      <c r="B790" s="138">
        <f>'Expenditures 15-22'!D49</f>
        <v>12866</v>
      </c>
      <c r="D790" s="2" t="str">
        <f t="shared" si="11"/>
        <v>Error?</v>
      </c>
    </row>
    <row r="791" spans="1:4" x14ac:dyDescent="0.2">
      <c r="A791" s="5">
        <v>730</v>
      </c>
      <c r="B791" s="138">
        <f>'Expenditures 15-22'!D50</f>
        <v>52968</v>
      </c>
      <c r="D791" s="2" t="str">
        <f t="shared" si="11"/>
        <v>Error?</v>
      </c>
    </row>
    <row r="792" spans="1:4" x14ac:dyDescent="0.2">
      <c r="A792" s="5">
        <v>731</v>
      </c>
      <c r="B792" s="138">
        <f>'Expenditures 15-22'!D53</f>
        <v>99550</v>
      </c>
      <c r="C792" s="2" t="s">
        <v>594</v>
      </c>
      <c r="D792" s="2" t="str">
        <f t="shared" si="11"/>
        <v>Error?</v>
      </c>
    </row>
    <row r="793" spans="1:4" x14ac:dyDescent="0.2">
      <c r="A793" s="5">
        <v>732</v>
      </c>
      <c r="B793" s="138">
        <f>'Expenditures 15-22'!D55</f>
        <v>71332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71332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10520</v>
      </c>
      <c r="D797" s="2" t="str">
        <f t="shared" si="11"/>
        <v>Error?</v>
      </c>
    </row>
    <row r="798" spans="1:4" x14ac:dyDescent="0.2">
      <c r="A798" s="5">
        <v>737</v>
      </c>
      <c r="B798" s="138">
        <f>'Expenditures 15-22'!D61</f>
        <v>6160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18858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266109</v>
      </c>
      <c r="C813" s="2" t="s">
        <v>594</v>
      </c>
      <c r="D813" s="2" t="str">
        <f t="shared" si="11"/>
        <v>Error?</v>
      </c>
    </row>
    <row r="814" spans="1:4" x14ac:dyDescent="0.2">
      <c r="A814" s="5">
        <v>753</v>
      </c>
      <c r="B814" s="138">
        <f>'Expenditures 15-22'!D75</f>
        <v>22718</v>
      </c>
      <c r="D814" s="2" t="str">
        <f t="shared" si="11"/>
        <v>Error?</v>
      </c>
    </row>
    <row r="815" spans="1:4" x14ac:dyDescent="0.2">
      <c r="A815" s="5">
        <v>754</v>
      </c>
      <c r="B815" s="138">
        <f>'Expenditures 15-22'!D114</f>
        <v>1246441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15195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3797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227832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729</v>
      </c>
      <c r="D839" s="2" t="str">
        <f t="shared" si="12"/>
        <v>Error?</v>
      </c>
    </row>
    <row r="840" spans="1:4" x14ac:dyDescent="0.2">
      <c r="A840" s="5">
        <v>779</v>
      </c>
      <c r="B840" s="138">
        <f>'Expenditures 15-22'!E39</f>
        <v>956</v>
      </c>
      <c r="D840" s="2" t="str">
        <f t="shared" si="12"/>
        <v>Error?</v>
      </c>
    </row>
    <row r="841" spans="1:4" x14ac:dyDescent="0.2">
      <c r="A841" s="5">
        <v>780</v>
      </c>
      <c r="B841" s="138">
        <f>'Expenditures 15-22'!E40</f>
        <v>180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1865</v>
      </c>
      <c r="C843" s="2" t="s">
        <v>594</v>
      </c>
      <c r="D843" s="2" t="str">
        <f t="shared" si="12"/>
        <v>Error?</v>
      </c>
    </row>
    <row r="844" spans="1:4" x14ac:dyDescent="0.2">
      <c r="A844" s="5">
        <v>783</v>
      </c>
      <c r="B844" s="138">
        <f>'Expenditures 15-22'!E44</f>
        <v>15024</v>
      </c>
      <c r="D844" s="2" t="str">
        <f t="shared" si="12"/>
        <v>Error?</v>
      </c>
    </row>
    <row r="845" spans="1:4" x14ac:dyDescent="0.2">
      <c r="A845" s="5">
        <v>784</v>
      </c>
      <c r="B845" s="138">
        <f>'Expenditures 15-22'!E45</f>
        <v>7911</v>
      </c>
      <c r="D845" s="2" t="str">
        <f t="shared" si="12"/>
        <v>Error?</v>
      </c>
    </row>
    <row r="846" spans="1:4" x14ac:dyDescent="0.2">
      <c r="A846" s="5">
        <v>785</v>
      </c>
      <c r="B846" s="138">
        <f>'Expenditures 15-22'!E46</f>
        <v>10728</v>
      </c>
      <c r="D846" s="2" t="str">
        <f t="shared" si="12"/>
        <v>Error?</v>
      </c>
    </row>
    <row r="847" spans="1:4" x14ac:dyDescent="0.2">
      <c r="A847" s="5">
        <v>786</v>
      </c>
      <c r="B847" s="138">
        <f>'Expenditures 15-22'!E47</f>
        <v>33663</v>
      </c>
      <c r="C847" s="2" t="s">
        <v>594</v>
      </c>
      <c r="D847" s="2" t="str">
        <f t="shared" si="12"/>
        <v>Error?</v>
      </c>
    </row>
    <row r="848" spans="1:4" x14ac:dyDescent="0.2">
      <c r="A848" s="5">
        <v>787</v>
      </c>
      <c r="B848" s="138">
        <f>'Expenditures 15-22'!E49</f>
        <v>35312</v>
      </c>
      <c r="D848" s="2" t="str">
        <f t="shared" si="12"/>
        <v>Error?</v>
      </c>
    </row>
    <row r="849" spans="1:4" x14ac:dyDescent="0.2">
      <c r="A849" s="5">
        <v>788</v>
      </c>
      <c r="B849" s="138">
        <f>'Expenditures 15-22'!E50</f>
        <v>3035</v>
      </c>
      <c r="D849" s="2" t="str">
        <f t="shared" si="12"/>
        <v>Error?</v>
      </c>
    </row>
    <row r="850" spans="1:4" x14ac:dyDescent="0.2">
      <c r="A850" s="5">
        <v>789</v>
      </c>
      <c r="B850" s="138">
        <f>'Expenditures 15-22'!E53</f>
        <v>46167</v>
      </c>
      <c r="C850" s="2" t="s">
        <v>594</v>
      </c>
      <c r="D850" s="2" t="str">
        <f t="shared" si="12"/>
        <v>Error?</v>
      </c>
    </row>
    <row r="851" spans="1:4" x14ac:dyDescent="0.2">
      <c r="A851" s="5">
        <v>790</v>
      </c>
      <c r="B851" s="138">
        <f>'Expenditures 15-22'!E55</f>
        <v>699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1489</v>
      </c>
      <c r="D855" s="2" t="str">
        <f t="shared" si="12"/>
        <v>Error?</v>
      </c>
    </row>
    <row r="856" spans="1:4" x14ac:dyDescent="0.2">
      <c r="A856" s="5">
        <v>795</v>
      </c>
      <c r="B856" s="138">
        <f>'Expenditures 15-22'!E61</f>
        <v>1084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12747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15320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2025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2025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99739</v>
      </c>
      <c r="C871" s="2" t="s">
        <v>594</v>
      </c>
      <c r="D871" s="2" t="str">
        <f t="shared" si="12"/>
        <v>Error?</v>
      </c>
    </row>
    <row r="872" spans="1:4" x14ac:dyDescent="0.2">
      <c r="A872" s="5">
        <v>811</v>
      </c>
      <c r="B872" s="138">
        <f>'Expenditures 15-22'!E75</f>
        <v>3665</v>
      </c>
      <c r="D872" s="2" t="str">
        <f t="shared" si="12"/>
        <v>Error?</v>
      </c>
    </row>
    <row r="873" spans="1:4" x14ac:dyDescent="0.2">
      <c r="A873" s="5">
        <v>812</v>
      </c>
      <c r="B873" s="138">
        <f>'Expenditures 15-22'!E114</f>
        <v>358118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11166</v>
      </c>
      <c r="D892" s="2" t="str">
        <f t="shared" si="12"/>
        <v>Error?</v>
      </c>
    </row>
    <row r="893" spans="1:4" x14ac:dyDescent="0.2">
      <c r="A893" s="5">
        <v>832</v>
      </c>
      <c r="B893" s="138">
        <f>'Expenditures 15-22'!F15</f>
        <v>1425</v>
      </c>
      <c r="D893" s="2" t="str">
        <f t="shared" si="12"/>
        <v>Error?</v>
      </c>
    </row>
    <row r="894" spans="1:4" x14ac:dyDescent="0.2">
      <c r="A894" s="5">
        <v>833</v>
      </c>
      <c r="B894" s="138">
        <f>'Expenditures 15-22'!F33</f>
        <v>52303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4417</v>
      </c>
      <c r="D897" s="2" t="str">
        <f t="shared" si="13"/>
        <v>Error?</v>
      </c>
    </row>
    <row r="898" spans="1:4" x14ac:dyDescent="0.2">
      <c r="A898" s="5">
        <v>837</v>
      </c>
      <c r="B898" s="138">
        <f>'Expenditures 15-22'!F39</f>
        <v>3538</v>
      </c>
      <c r="D898" s="2" t="str">
        <f t="shared" si="13"/>
        <v>Error?</v>
      </c>
    </row>
    <row r="899" spans="1:4" x14ac:dyDescent="0.2">
      <c r="A899" s="5">
        <v>838</v>
      </c>
      <c r="B899" s="138">
        <f>'Expenditures 15-22'!F40</f>
        <v>631</v>
      </c>
      <c r="D899" s="2" t="str">
        <f t="shared" si="13"/>
        <v>Error?</v>
      </c>
    </row>
    <row r="900" spans="1:4" x14ac:dyDescent="0.2">
      <c r="A900" s="5">
        <v>839</v>
      </c>
      <c r="B900" s="138">
        <f>'Expenditures 15-22'!F41</f>
        <v>1823</v>
      </c>
      <c r="D900" s="2" t="str">
        <f t="shared" si="13"/>
        <v>Error?</v>
      </c>
    </row>
    <row r="901" spans="1:4" x14ac:dyDescent="0.2">
      <c r="A901" s="5">
        <v>840</v>
      </c>
      <c r="B901" s="138">
        <f>'Expenditures 15-22'!F42</f>
        <v>10409</v>
      </c>
      <c r="C901" s="2" t="s">
        <v>594</v>
      </c>
      <c r="D901" s="2" t="str">
        <f t="shared" si="13"/>
        <v>Error?</v>
      </c>
    </row>
    <row r="902" spans="1:4" x14ac:dyDescent="0.2">
      <c r="A902" s="5">
        <v>841</v>
      </c>
      <c r="B902" s="138">
        <f>'Expenditures 15-22'!F44</f>
        <v>13191</v>
      </c>
      <c r="D902" s="2" t="str">
        <f t="shared" si="13"/>
        <v>Error?</v>
      </c>
    </row>
    <row r="903" spans="1:4" x14ac:dyDescent="0.2">
      <c r="A903" s="5">
        <v>842</v>
      </c>
      <c r="B903" s="138">
        <f>'Expenditures 15-22'!F45</f>
        <v>39372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52563</v>
      </c>
      <c r="C905" s="2" t="s">
        <v>594</v>
      </c>
      <c r="D905" s="2" t="str">
        <f t="shared" si="13"/>
        <v>Error?</v>
      </c>
    </row>
    <row r="906" spans="1:4" x14ac:dyDescent="0.2">
      <c r="A906" s="5">
        <v>845</v>
      </c>
      <c r="B906" s="138">
        <f>'Expenditures 15-22'!F49</f>
        <v>3606</v>
      </c>
      <c r="D906" s="2" t="str">
        <f t="shared" si="13"/>
        <v>Error?</v>
      </c>
    </row>
    <row r="907" spans="1:4" x14ac:dyDescent="0.2">
      <c r="A907" s="5">
        <v>846</v>
      </c>
      <c r="B907" s="138">
        <f>'Expenditures 15-22'!F50</f>
        <v>4718</v>
      </c>
      <c r="D907" s="2" t="str">
        <f t="shared" si="13"/>
        <v>Error?</v>
      </c>
    </row>
    <row r="908" spans="1:4" x14ac:dyDescent="0.2">
      <c r="A908" s="5">
        <v>847</v>
      </c>
      <c r="B908" s="138">
        <f>'Expenditures 15-22'!F53</f>
        <v>14193</v>
      </c>
      <c r="C908" s="2" t="s">
        <v>594</v>
      </c>
      <c r="D908" s="2" t="str">
        <f t="shared" si="13"/>
        <v>Error?</v>
      </c>
    </row>
    <row r="909" spans="1:4" x14ac:dyDescent="0.2">
      <c r="A909" s="5">
        <v>848</v>
      </c>
      <c r="B909" s="138">
        <f>'Expenditures 15-22'!F55</f>
        <v>13900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16277</v>
      </c>
      <c r="D913" s="2" t="str">
        <f t="shared" si="13"/>
        <v>Error?</v>
      </c>
    </row>
    <row r="914" spans="1:4" x14ac:dyDescent="0.2">
      <c r="A914" s="5">
        <v>853</v>
      </c>
      <c r="B914" s="138">
        <f>'Expenditures 15-22'!F61</f>
        <v>11464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305612</v>
      </c>
      <c r="D916" s="2" t="str">
        <f t="shared" si="13"/>
        <v>Error?</v>
      </c>
    </row>
    <row r="917" spans="1:4" x14ac:dyDescent="0.2">
      <c r="A917" s="5">
        <v>856</v>
      </c>
      <c r="B917" s="138">
        <f>'Expenditures 15-22'!F64</f>
        <v>602</v>
      </c>
      <c r="D917" s="2" t="str">
        <f t="shared" si="13"/>
        <v>Error?</v>
      </c>
    </row>
    <row r="918" spans="1:4" x14ac:dyDescent="0.2">
      <c r="A918" s="10">
        <v>857</v>
      </c>
      <c r="D918" s="2" t="str">
        <f t="shared" si="13"/>
        <v>OK</v>
      </c>
    </row>
    <row r="919" spans="1:4" x14ac:dyDescent="0.2">
      <c r="A919" s="5">
        <v>858</v>
      </c>
      <c r="B919" s="138">
        <f>'Expenditures 15-22'!F65</f>
        <v>333955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425020</v>
      </c>
      <c r="C929" s="2" t="s">
        <v>594</v>
      </c>
      <c r="D929" s="2" t="str">
        <f t="shared" si="13"/>
        <v>Error?</v>
      </c>
    </row>
    <row r="930" spans="1:4" x14ac:dyDescent="0.2">
      <c r="A930" s="5">
        <v>869</v>
      </c>
      <c r="B930" s="138">
        <f>'Expenditures 15-22'!F75</f>
        <v>3728</v>
      </c>
      <c r="D930" s="2" t="str">
        <f t="shared" si="13"/>
        <v>Error?</v>
      </c>
    </row>
    <row r="931" spans="1:4" x14ac:dyDescent="0.2">
      <c r="A931" s="5">
        <v>870</v>
      </c>
      <c r="B931" s="138">
        <f>'Expenditures 15-22'!F114</f>
        <v>481051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108707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108707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50071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50071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69683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69683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119754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228461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163360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594</v>
      </c>
      <c r="D1017" s="2" t="str">
        <f t="shared" si="14"/>
        <v>Error?</v>
      </c>
    </row>
    <row r="1018" spans="1:4" x14ac:dyDescent="0.2">
      <c r="A1018" s="5">
        <v>957</v>
      </c>
      <c r="B1018" s="138">
        <f>'Expenditures 15-22'!H44</f>
        <v>211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211</v>
      </c>
      <c r="C1021" s="2" t="s">
        <v>594</v>
      </c>
      <c r="D1021" s="2" t="str">
        <f t="shared" si="14"/>
        <v>Error?</v>
      </c>
    </row>
    <row r="1022" spans="1:4" x14ac:dyDescent="0.2">
      <c r="A1022" s="5">
        <v>961</v>
      </c>
      <c r="B1022" s="138">
        <f>'Expenditures 15-22'!H49</f>
        <v>5826</v>
      </c>
      <c r="D1022" s="2" t="str">
        <f t="shared" si="14"/>
        <v>Error?</v>
      </c>
    </row>
    <row r="1023" spans="1:4" x14ac:dyDescent="0.2">
      <c r="A1023" s="5">
        <v>962</v>
      </c>
      <c r="B1023" s="138">
        <f>'Expenditures 15-22'!H50</f>
        <v>6086</v>
      </c>
      <c r="D1023" s="2" t="str">
        <f t="shared" ref="D1023:D1086" si="15">IF(ISBLANK(B1023),"OK",IF(A1023-B1023=0,"OK","Error?"))</f>
        <v>Error?</v>
      </c>
    </row>
    <row r="1024" spans="1:4" x14ac:dyDescent="0.2">
      <c r="A1024" s="5">
        <v>963</v>
      </c>
      <c r="B1024" s="138">
        <f>'Expenditures 15-22'!H53</f>
        <v>11912</v>
      </c>
      <c r="C1024" s="2" t="s">
        <v>594</v>
      </c>
      <c r="D1024" s="2" t="str">
        <f t="shared" si="15"/>
        <v>Error?</v>
      </c>
    </row>
    <row r="1025" spans="1:4" x14ac:dyDescent="0.2">
      <c r="A1025" s="5">
        <v>964</v>
      </c>
      <c r="B1025" s="138">
        <f>'Expenditures 15-22'!H55</f>
        <v>1060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6230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6230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19473</v>
      </c>
      <c r="C1045" s="2" t="s">
        <v>594</v>
      </c>
      <c r="D1045" s="2" t="str">
        <f t="shared" si="15"/>
        <v>Error?</v>
      </c>
    </row>
    <row r="1046" spans="1:4" x14ac:dyDescent="0.2">
      <c r="A1046" s="5">
        <v>985</v>
      </c>
      <c r="B1046" s="138">
        <f>'Expenditures 15-22'!H75</f>
        <v>5098</v>
      </c>
      <c r="D1046" s="2" t="str">
        <f t="shared" si="15"/>
        <v>Error?</v>
      </c>
    </row>
    <row r="1047" spans="1:4" x14ac:dyDescent="0.2">
      <c r="A1047" s="5">
        <v>986</v>
      </c>
      <c r="B1047" s="138">
        <f>'Expenditures 15-22'!H102</f>
        <v>243876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431807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2476761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413013</v>
      </c>
      <c r="C1106" s="2" t="s">
        <v>594</v>
      </c>
      <c r="D1106" s="2" t="str">
        <f t="shared" si="16"/>
        <v>Error?</v>
      </c>
    </row>
    <row r="1107" spans="1:4" x14ac:dyDescent="0.2">
      <c r="A1107" s="5">
        <v>1046</v>
      </c>
      <c r="B1107" s="138">
        <f>'Expenditures 15-22'!K15</f>
        <v>27551</v>
      </c>
      <c r="C1107" s="2" t="s">
        <v>594</v>
      </c>
      <c r="D1107" s="2" t="str">
        <f t="shared" si="16"/>
        <v>Error?</v>
      </c>
    </row>
    <row r="1108" spans="1:4" x14ac:dyDescent="0.2">
      <c r="A1108" s="5">
        <v>1047</v>
      </c>
      <c r="B1108" s="138">
        <f>'Expenditures 15-22'!K33</f>
        <v>4926086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37501</v>
      </c>
      <c r="C1111" s="2" t="s">
        <v>594</v>
      </c>
      <c r="D1111" s="2" t="str">
        <f t="shared" si="16"/>
        <v>Error?</v>
      </c>
    </row>
    <row r="1112" spans="1:4" x14ac:dyDescent="0.2">
      <c r="A1112" s="5">
        <v>1051</v>
      </c>
      <c r="B1112" s="138">
        <f>'Expenditures 15-22'!K39</f>
        <v>84115</v>
      </c>
      <c r="C1112" s="2" t="s">
        <v>594</v>
      </c>
      <c r="D1112" s="2" t="str">
        <f t="shared" si="16"/>
        <v>Error?</v>
      </c>
    </row>
    <row r="1113" spans="1:4" x14ac:dyDescent="0.2">
      <c r="A1113" s="5">
        <v>1052</v>
      </c>
      <c r="B1113" s="138">
        <f>'Expenditures 15-22'!K40</f>
        <v>147936</v>
      </c>
      <c r="C1113" s="2" t="s">
        <v>594</v>
      </c>
      <c r="D1113" s="2" t="str">
        <f t="shared" si="16"/>
        <v>Error?</v>
      </c>
    </row>
    <row r="1114" spans="1:4" x14ac:dyDescent="0.2">
      <c r="A1114" s="5">
        <v>1053</v>
      </c>
      <c r="B1114" s="138">
        <f>'Expenditures 15-22'!K41</f>
        <v>26776</v>
      </c>
      <c r="C1114" s="2" t="s">
        <v>594</v>
      </c>
      <c r="D1114" s="2" t="str">
        <f t="shared" si="16"/>
        <v>Error?</v>
      </c>
    </row>
    <row r="1115" spans="1:4" x14ac:dyDescent="0.2">
      <c r="A1115" s="5">
        <v>1054</v>
      </c>
      <c r="B1115" s="138">
        <f>'Expenditures 15-22'!K42</f>
        <v>296328</v>
      </c>
      <c r="C1115" s="2" t="s">
        <v>594</v>
      </c>
      <c r="D1115" s="2" t="str">
        <f t="shared" si="16"/>
        <v>Error?</v>
      </c>
    </row>
    <row r="1116" spans="1:4" x14ac:dyDescent="0.2">
      <c r="A1116" s="5">
        <v>1055</v>
      </c>
      <c r="B1116" s="138">
        <f>'Expenditures 15-22'!K44</f>
        <v>258941</v>
      </c>
      <c r="C1116" s="2" t="s">
        <v>594</v>
      </c>
      <c r="D1116" s="2" t="str">
        <f t="shared" si="16"/>
        <v>Error?</v>
      </c>
    </row>
    <row r="1117" spans="1:4" x14ac:dyDescent="0.2">
      <c r="A1117" s="5">
        <v>1056</v>
      </c>
      <c r="B1117" s="138">
        <f>'Expenditures 15-22'!K45</f>
        <v>146089</v>
      </c>
      <c r="C1117" s="2" t="s">
        <v>594</v>
      </c>
      <c r="D1117" s="2" t="str">
        <f t="shared" si="16"/>
        <v>Error?</v>
      </c>
    </row>
    <row r="1118" spans="1:4" x14ac:dyDescent="0.2">
      <c r="A1118" s="5">
        <v>1057</v>
      </c>
      <c r="B1118" s="138">
        <f>'Expenditures 15-22'!K46</f>
        <v>10728</v>
      </c>
      <c r="C1118" s="2" t="s">
        <v>594</v>
      </c>
      <c r="D1118" s="2" t="str">
        <f t="shared" si="16"/>
        <v>Error?</v>
      </c>
    </row>
    <row r="1119" spans="1:4" x14ac:dyDescent="0.2">
      <c r="A1119" s="5">
        <v>1058</v>
      </c>
      <c r="B1119" s="138">
        <f>'Expenditures 15-22'!K47</f>
        <v>415758</v>
      </c>
      <c r="C1119" s="2" t="s">
        <v>594</v>
      </c>
      <c r="D1119" s="2" t="str">
        <f t="shared" si="16"/>
        <v>Error?</v>
      </c>
    </row>
    <row r="1120" spans="1:4" x14ac:dyDescent="0.2">
      <c r="A1120" s="5">
        <v>1059</v>
      </c>
      <c r="B1120" s="138">
        <f>'Expenditures 15-22'!K49</f>
        <v>59610</v>
      </c>
      <c r="C1120" s="2" t="s">
        <v>594</v>
      </c>
      <c r="D1120" s="2" t="str">
        <f t="shared" si="16"/>
        <v>Error?</v>
      </c>
    </row>
    <row r="1121" spans="1:4" x14ac:dyDescent="0.2">
      <c r="A1121" s="5">
        <v>1060</v>
      </c>
      <c r="B1121" s="138">
        <f>'Expenditures 15-22'!K50</f>
        <v>242966</v>
      </c>
      <c r="C1121" s="2" t="s">
        <v>594</v>
      </c>
      <c r="D1121" s="2" t="str">
        <f t="shared" si="16"/>
        <v>Error?</v>
      </c>
    </row>
    <row r="1122" spans="1:4" x14ac:dyDescent="0.2">
      <c r="A1122" s="5">
        <v>1061</v>
      </c>
      <c r="B1122" s="138">
        <f>'Expenditures 15-22'!K53</f>
        <v>515021</v>
      </c>
      <c r="C1122" s="2" t="s">
        <v>594</v>
      </c>
      <c r="D1122" s="2" t="str">
        <f t="shared" si="16"/>
        <v>Error?</v>
      </c>
    </row>
    <row r="1123" spans="1:4" x14ac:dyDescent="0.2">
      <c r="A1123" s="5">
        <v>1062</v>
      </c>
      <c r="B1123" s="138">
        <f>'Expenditures 15-22'!K55</f>
        <v>411593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411593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78975</v>
      </c>
      <c r="C1127" s="2" t="s">
        <v>594</v>
      </c>
      <c r="D1127" s="2" t="str">
        <f t="shared" si="16"/>
        <v>Error?</v>
      </c>
    </row>
    <row r="1128" spans="1:4" x14ac:dyDescent="0.2">
      <c r="A1128" s="5">
        <v>1067</v>
      </c>
      <c r="B1128" s="138">
        <f>'Expenditures 15-22'!K61</f>
        <v>132632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521642</v>
      </c>
      <c r="C1130" s="2" t="s">
        <v>594</v>
      </c>
      <c r="D1130" s="2" t="str">
        <f t="shared" si="16"/>
        <v>Error?</v>
      </c>
    </row>
    <row r="1131" spans="1:4" x14ac:dyDescent="0.2">
      <c r="A1131" s="5">
        <v>1070</v>
      </c>
      <c r="B1131" s="138">
        <f>'Expenditures 15-22'!K64</f>
        <v>602</v>
      </c>
      <c r="C1131" s="2" t="s">
        <v>594</v>
      </c>
      <c r="D1131" s="2" t="str">
        <f t="shared" si="16"/>
        <v>Error?</v>
      </c>
    </row>
    <row r="1132" spans="1:4" x14ac:dyDescent="0.2">
      <c r="A1132" s="10">
        <v>1071</v>
      </c>
      <c r="D1132" s="2" t="str">
        <f t="shared" si="16"/>
        <v>OK</v>
      </c>
    </row>
    <row r="1133" spans="1:4" x14ac:dyDescent="0.2">
      <c r="A1133" s="5">
        <v>1072</v>
      </c>
      <c r="B1133" s="138">
        <f>'Expenditures 15-22'!K65</f>
        <v>733851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2025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24051</v>
      </c>
      <c r="C1139" s="2" t="s">
        <v>594</v>
      </c>
      <c r="D1139" s="2" t="str">
        <f t="shared" si="16"/>
        <v>Error?</v>
      </c>
    </row>
    <row r="1140" spans="1:4" x14ac:dyDescent="0.2">
      <c r="A1140" s="10">
        <v>1079</v>
      </c>
      <c r="D1140" s="2" t="str">
        <f t="shared" si="16"/>
        <v>OK</v>
      </c>
    </row>
    <row r="1141" spans="1:4" x14ac:dyDescent="0.2">
      <c r="A1141" s="5">
        <v>1080</v>
      </c>
      <c r="B1141" s="138">
        <f>'Expenditures 15-22'!K72</f>
        <v>26076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2398627</v>
      </c>
      <c r="C1143" s="2" t="s">
        <v>594</v>
      </c>
      <c r="D1143" s="2" t="str">
        <f t="shared" si="16"/>
        <v>Error?</v>
      </c>
    </row>
    <row r="1144" spans="1:4" x14ac:dyDescent="0.2">
      <c r="A1144" s="5">
        <v>1083</v>
      </c>
      <c r="B1144" s="138">
        <f>'Expenditures 15-22'!K75</f>
        <v>198423</v>
      </c>
      <c r="C1144" s="2" t="s">
        <v>594</v>
      </c>
      <c r="D1144" s="2" t="str">
        <f t="shared" si="16"/>
        <v>Error?</v>
      </c>
    </row>
    <row r="1145" spans="1:4" x14ac:dyDescent="0.2">
      <c r="A1145" s="5">
        <v>1084</v>
      </c>
      <c r="B1145" s="138">
        <f>'Expenditures 15-22'!K102</f>
        <v>270758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7793894</v>
      </c>
      <c r="C1152" s="2" t="s">
        <v>594</v>
      </c>
      <c r="D1152" s="2" t="str">
        <f t="shared" si="17"/>
        <v>Error?</v>
      </c>
    </row>
    <row r="1153" spans="1:4" x14ac:dyDescent="0.2">
      <c r="A1153" s="5">
        <v>1092</v>
      </c>
      <c r="B1153" s="138">
        <f>'Expenditures 15-22'!K115</f>
        <v>144479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220526</v>
      </c>
      <c r="D1221" s="2" t="str">
        <f t="shared" si="18"/>
        <v>Error?</v>
      </c>
    </row>
    <row r="1222" spans="1:4" x14ac:dyDescent="0.2">
      <c r="A1222" s="10">
        <v>1161</v>
      </c>
      <c r="D1222" s="2" t="str">
        <f t="shared" si="18"/>
        <v>OK</v>
      </c>
    </row>
    <row r="1223" spans="1:4" x14ac:dyDescent="0.2">
      <c r="A1223" s="5">
        <v>1162</v>
      </c>
      <c r="B1223" s="138">
        <f>'Expenditures 15-22'!C127</f>
        <v>220526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220526</v>
      </c>
      <c r="C1225" s="2" t="s">
        <v>594</v>
      </c>
      <c r="D1225" s="2" t="str">
        <f t="shared" si="18"/>
        <v>Error?</v>
      </c>
    </row>
    <row r="1226" spans="1:4" x14ac:dyDescent="0.2">
      <c r="A1226" s="5">
        <v>1165</v>
      </c>
      <c r="B1226" s="138">
        <f>'Expenditures 15-22'!C151</f>
        <v>220526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36053</v>
      </c>
      <c r="D1229" s="2" t="str">
        <f t="shared" si="18"/>
        <v>Error?</v>
      </c>
    </row>
    <row r="1230" spans="1:4" x14ac:dyDescent="0.2">
      <c r="A1230" s="10">
        <v>1169</v>
      </c>
      <c r="D1230" s="2" t="str">
        <f t="shared" si="18"/>
        <v>OK</v>
      </c>
    </row>
    <row r="1231" spans="1:4" x14ac:dyDescent="0.2">
      <c r="A1231" s="5">
        <v>1170</v>
      </c>
      <c r="B1231" s="138">
        <f>'Expenditures 15-22'!D127</f>
        <v>36053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36053</v>
      </c>
      <c r="C1233" s="2" t="s">
        <v>594</v>
      </c>
      <c r="D1233" s="2" t="str">
        <f t="shared" si="18"/>
        <v>Error?</v>
      </c>
    </row>
    <row r="1234" spans="1:4" x14ac:dyDescent="0.2">
      <c r="A1234" s="5">
        <v>1173</v>
      </c>
      <c r="B1234" s="138">
        <f>'Expenditures 15-22'!D151</f>
        <v>36053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182663</v>
      </c>
      <c r="D1237" s="2" t="str">
        <f t="shared" si="18"/>
        <v>Error?</v>
      </c>
    </row>
    <row r="1238" spans="1:4" x14ac:dyDescent="0.2">
      <c r="A1238" s="10">
        <v>1177</v>
      </c>
      <c r="D1238" s="2" t="str">
        <f t="shared" si="18"/>
        <v>OK</v>
      </c>
    </row>
    <row r="1239" spans="1:4" x14ac:dyDescent="0.2">
      <c r="A1239" s="5">
        <v>1178</v>
      </c>
      <c r="B1239" s="138">
        <f>'Expenditures 15-22'!E127</f>
        <v>182663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182663</v>
      </c>
      <c r="C1241" s="2" t="s">
        <v>594</v>
      </c>
      <c r="D1241" s="2" t="str">
        <f t="shared" si="18"/>
        <v>Error?</v>
      </c>
    </row>
    <row r="1242" spans="1:4" x14ac:dyDescent="0.2">
      <c r="A1242" s="5">
        <v>1181</v>
      </c>
      <c r="B1242" s="138">
        <f>'Expenditures 15-22'!E151</f>
        <v>182663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164164</v>
      </c>
      <c r="D1245" s="2" t="str">
        <f t="shared" si="18"/>
        <v>Error?</v>
      </c>
    </row>
    <row r="1246" spans="1:4" x14ac:dyDescent="0.2">
      <c r="A1246" s="10">
        <v>1185</v>
      </c>
      <c r="D1246" s="2" t="str">
        <f t="shared" si="18"/>
        <v>OK</v>
      </c>
    </row>
    <row r="1247" spans="1:4" x14ac:dyDescent="0.2">
      <c r="A1247" s="5">
        <v>1186</v>
      </c>
      <c r="B1247" s="138">
        <f>'Expenditures 15-22'!F127</f>
        <v>164164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164164</v>
      </c>
      <c r="C1249" s="2" t="s">
        <v>594</v>
      </c>
      <c r="D1249" s="2" t="str">
        <f t="shared" si="18"/>
        <v>Error?</v>
      </c>
    </row>
    <row r="1250" spans="1:4" x14ac:dyDescent="0.2">
      <c r="A1250" s="5">
        <v>1189</v>
      </c>
      <c r="B1250" s="138">
        <f>'Expenditures 15-22'!F151</f>
        <v>164164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7934</v>
      </c>
      <c r="D1262" s="2" t="str">
        <f t="shared" si="18"/>
        <v>Error?</v>
      </c>
    </row>
    <row r="1263" spans="1:4" x14ac:dyDescent="0.2">
      <c r="A1263" s="10">
        <v>1202</v>
      </c>
      <c r="D1263" s="2" t="str">
        <f t="shared" si="18"/>
        <v>OK</v>
      </c>
    </row>
    <row r="1264" spans="1:4" x14ac:dyDescent="0.2">
      <c r="A1264" s="5">
        <v>1203</v>
      </c>
      <c r="B1264" s="138">
        <f>'Expenditures 15-22'!H127</f>
        <v>7934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7934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7934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611340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611340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611340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611340</v>
      </c>
      <c r="C1288" s="2" t="s">
        <v>594</v>
      </c>
      <c r="D1288" s="2" t="str">
        <f t="shared" si="19"/>
        <v>Error?</v>
      </c>
    </row>
    <row r="1289" spans="1:4" x14ac:dyDescent="0.2">
      <c r="A1289" s="5">
        <v>1228</v>
      </c>
      <c r="B1289" s="138">
        <f>'Expenditures 15-22'!K152</f>
        <v>-13238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72648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537458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610106</v>
      </c>
      <c r="C1317" s="2" t="s">
        <v>594</v>
      </c>
      <c r="D1317" s="2" t="str">
        <f t="shared" si="19"/>
        <v>Error?</v>
      </c>
    </row>
    <row r="1318" spans="1:4" x14ac:dyDescent="0.2">
      <c r="A1318" s="5">
        <v>1257</v>
      </c>
      <c r="B1318" s="138">
        <f>'Expenditures 15-22'!H174</f>
        <v>610106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72648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537458</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610106</v>
      </c>
      <c r="C1331" s="2" t="s">
        <v>594</v>
      </c>
      <c r="D1331" s="2" t="str">
        <f t="shared" si="19"/>
        <v>Error?</v>
      </c>
    </row>
    <row r="1332" spans="1:4" x14ac:dyDescent="0.2">
      <c r="A1332" s="5">
        <v>1271</v>
      </c>
      <c r="B1332" s="138">
        <f>'Expenditures 15-22'!K174</f>
        <v>610106</v>
      </c>
      <c r="C1332" s="2" t="s">
        <v>594</v>
      </c>
      <c r="D1332" s="2" t="str">
        <f t="shared" si="19"/>
        <v>Error?</v>
      </c>
    </row>
    <row r="1333" spans="1:4" x14ac:dyDescent="0.2">
      <c r="A1333" s="5">
        <v>1272</v>
      </c>
      <c r="B1333" s="138">
        <f>'Expenditures 15-22'!K175</f>
        <v>-69431</v>
      </c>
      <c r="C1333" s="2" t="s">
        <v>594</v>
      </c>
      <c r="D1333" s="2" t="str">
        <f t="shared" si="19"/>
        <v>Error?</v>
      </c>
    </row>
    <row r="1334" spans="1:4" x14ac:dyDescent="0.2">
      <c r="A1334" s="10">
        <v>1273</v>
      </c>
      <c r="D1334" s="2" t="str">
        <f t="shared" si="19"/>
        <v>OK</v>
      </c>
    </row>
    <row r="1335" spans="1:4" x14ac:dyDescent="0.2">
      <c r="A1335" s="5">
        <v>1274</v>
      </c>
      <c r="B1335" s="138">
        <f>'Expenditures 15-22'!C182</f>
        <v>171201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171201</v>
      </c>
      <c r="C1339" s="2" t="s">
        <v>594</v>
      </c>
      <c r="D1339" s="2" t="str">
        <f t="shared" si="19"/>
        <v>Error?</v>
      </c>
    </row>
    <row r="1340" spans="1:4" x14ac:dyDescent="0.2">
      <c r="A1340" s="5">
        <v>1279</v>
      </c>
      <c r="B1340" s="138">
        <f>'Expenditures 15-22'!C210</f>
        <v>171201</v>
      </c>
      <c r="C1340" s="2" t="s">
        <v>594</v>
      </c>
      <c r="D1340" s="2" t="str">
        <f t="shared" si="19"/>
        <v>Error?</v>
      </c>
    </row>
    <row r="1341" spans="1:4" x14ac:dyDescent="0.2">
      <c r="A1341" s="5">
        <v>1280</v>
      </c>
      <c r="B1341" s="138">
        <f>'Expenditures 15-22'!D182</f>
        <v>18071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18071</v>
      </c>
      <c r="C1345" s="2" t="s">
        <v>594</v>
      </c>
      <c r="D1345" s="2" t="str">
        <f t="shared" si="20"/>
        <v>Error?</v>
      </c>
    </row>
    <row r="1346" spans="1:4" x14ac:dyDescent="0.2">
      <c r="A1346" s="5">
        <v>1285</v>
      </c>
      <c r="B1346" s="138">
        <f>'Expenditures 15-22'!D210</f>
        <v>18071</v>
      </c>
      <c r="C1346" s="2" t="s">
        <v>594</v>
      </c>
      <c r="D1346" s="2" t="str">
        <f t="shared" si="20"/>
        <v>Error?</v>
      </c>
    </row>
    <row r="1347" spans="1:4" x14ac:dyDescent="0.2">
      <c r="A1347" s="5">
        <v>1286</v>
      </c>
      <c r="B1347" s="138">
        <f>'Expenditures 15-22'!E182</f>
        <v>24542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25191</v>
      </c>
      <c r="D1350" s="2" t="str">
        <f t="shared" si="20"/>
        <v>Error?</v>
      </c>
    </row>
    <row r="1351" spans="1:4" x14ac:dyDescent="0.2">
      <c r="A1351" s="5">
        <v>1290</v>
      </c>
      <c r="B1351" s="138">
        <f>'Expenditures 15-22'!E184</f>
        <v>49733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49733</v>
      </c>
      <c r="C1353" s="2" t="s">
        <v>594</v>
      </c>
      <c r="D1353" s="2" t="str">
        <f t="shared" si="20"/>
        <v>Error?</v>
      </c>
    </row>
    <row r="1354" spans="1:4" x14ac:dyDescent="0.2">
      <c r="A1354" s="5">
        <v>1293</v>
      </c>
      <c r="B1354" s="138">
        <f>'Expenditures 15-22'!F182</f>
        <v>14380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14380</v>
      </c>
      <c r="C1358" s="2" t="s">
        <v>594</v>
      </c>
      <c r="D1358" s="2" t="str">
        <f t="shared" si="20"/>
        <v>Error?</v>
      </c>
    </row>
    <row r="1359" spans="1:4" x14ac:dyDescent="0.2">
      <c r="A1359" s="5">
        <v>1298</v>
      </c>
      <c r="B1359" s="138">
        <f>'Expenditures 15-22'!F210</f>
        <v>14380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228194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25191</v>
      </c>
      <c r="C1380" s="2" t="s">
        <v>594</v>
      </c>
      <c r="D1380" s="2" t="str">
        <f t="shared" si="20"/>
        <v>Error?</v>
      </c>
    </row>
    <row r="1381" spans="1:4" x14ac:dyDescent="0.2">
      <c r="A1381" s="5">
        <v>1320</v>
      </c>
      <c r="B1381" s="138">
        <f>'Expenditures 15-22'!K184</f>
        <v>253385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253385</v>
      </c>
      <c r="C1388" s="2" t="s">
        <v>594</v>
      </c>
      <c r="D1388" s="2" t="str">
        <f t="shared" si="20"/>
        <v>Error?</v>
      </c>
    </row>
    <row r="1389" spans="1:4" x14ac:dyDescent="0.2">
      <c r="A1389" s="5">
        <v>1328</v>
      </c>
      <c r="B1389" s="138">
        <f>'Expenditures 15-22'!K211</f>
        <v>62166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4691</v>
      </c>
      <c r="D1408" s="2" t="str">
        <f t="shared" si="21"/>
        <v>Error?</v>
      </c>
    </row>
    <row r="1409" spans="1:4" x14ac:dyDescent="0.2">
      <c r="A1409" s="5">
        <v>1348</v>
      </c>
      <c r="B1409" s="138">
        <f>'Expenditures 15-22'!D224</f>
        <v>484</v>
      </c>
      <c r="D1409" s="2" t="str">
        <f t="shared" si="21"/>
        <v>Error?</v>
      </c>
    </row>
    <row r="1410" spans="1:4" x14ac:dyDescent="0.2">
      <c r="A1410" s="5">
        <v>1349</v>
      </c>
      <c r="B1410" s="138">
        <f>'Expenditures 15-22'!D229</f>
        <v>93176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8507</v>
      </c>
      <c r="D1413" s="2" t="str">
        <f t="shared" si="21"/>
        <v>Error?</v>
      </c>
    </row>
    <row r="1414" spans="1:4" x14ac:dyDescent="0.2">
      <c r="A1414" s="5">
        <v>1353</v>
      </c>
      <c r="B1414" s="138">
        <f>'Expenditures 15-22'!D235</f>
        <v>1830</v>
      </c>
      <c r="D1414" s="2" t="str">
        <f t="shared" si="21"/>
        <v>Error?</v>
      </c>
    </row>
    <row r="1415" spans="1:4" x14ac:dyDescent="0.2">
      <c r="A1415" s="5">
        <v>1354</v>
      </c>
      <c r="B1415" s="138">
        <f>'Expenditures 15-22'!D236</f>
        <v>1569</v>
      </c>
      <c r="D1415" s="2" t="str">
        <f t="shared" si="21"/>
        <v>Error?</v>
      </c>
    </row>
    <row r="1416" spans="1:4" x14ac:dyDescent="0.2">
      <c r="A1416" s="5">
        <v>1355</v>
      </c>
      <c r="B1416" s="138">
        <f>'Expenditures 15-22'!D237</f>
        <v>5283</v>
      </c>
      <c r="D1416" s="2" t="str">
        <f t="shared" si="21"/>
        <v>Error?</v>
      </c>
    </row>
    <row r="1417" spans="1:4" x14ac:dyDescent="0.2">
      <c r="A1417" s="5">
        <v>1356</v>
      </c>
      <c r="B1417" s="138">
        <f>'Expenditures 15-22'!D238</f>
        <v>17189</v>
      </c>
      <c r="C1417" s="2" t="s">
        <v>594</v>
      </c>
      <c r="D1417" s="2" t="str">
        <f t="shared" si="21"/>
        <v>Error?</v>
      </c>
    </row>
    <row r="1418" spans="1:4" x14ac:dyDescent="0.2">
      <c r="A1418" s="5">
        <v>1357</v>
      </c>
      <c r="B1418" s="138">
        <f>'Expenditures 15-22'!D240</f>
        <v>3066</v>
      </c>
      <c r="D1418" s="2" t="str">
        <f t="shared" si="21"/>
        <v>Error?</v>
      </c>
    </row>
    <row r="1419" spans="1:4" x14ac:dyDescent="0.2">
      <c r="A1419" s="5">
        <v>1358</v>
      </c>
      <c r="B1419" s="138">
        <f>'Expenditures 15-22'!D241</f>
        <v>13564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16630</v>
      </c>
      <c r="C1421" s="2" t="s">
        <v>594</v>
      </c>
      <c r="D1421" s="2" t="str">
        <f t="shared" si="21"/>
        <v>Error?</v>
      </c>
    </row>
    <row r="1422" spans="1:4" x14ac:dyDescent="0.2">
      <c r="A1422" s="5">
        <v>1361</v>
      </c>
      <c r="B1422" s="138">
        <f>'Expenditures 15-22'!D245</f>
        <v>353</v>
      </c>
      <c r="D1422" s="2" t="str">
        <f t="shared" si="21"/>
        <v>Error?</v>
      </c>
    </row>
    <row r="1423" spans="1:4" x14ac:dyDescent="0.2">
      <c r="A1423" s="5">
        <v>1362</v>
      </c>
      <c r="B1423" s="138">
        <f>'Expenditures 15-22'!D246</f>
        <v>11689</v>
      </c>
      <c r="D1423" s="2" t="str">
        <f t="shared" si="21"/>
        <v>Error?</v>
      </c>
    </row>
    <row r="1424" spans="1:4" x14ac:dyDescent="0.2">
      <c r="A1424" s="5">
        <v>1363</v>
      </c>
      <c r="B1424" s="138">
        <f>'Expenditures 15-22'!D257</f>
        <v>30679</v>
      </c>
      <c r="C1424" s="2" t="s">
        <v>594</v>
      </c>
      <c r="D1424" s="2" t="str">
        <f t="shared" si="21"/>
        <v>Error?</v>
      </c>
    </row>
    <row r="1425" spans="1:4" x14ac:dyDescent="0.2">
      <c r="A1425" s="5">
        <v>1364</v>
      </c>
      <c r="B1425" s="138">
        <f>'Expenditures 15-22'!D259</f>
        <v>18742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18742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10026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56371</v>
      </c>
      <c r="D1431" s="2" t="str">
        <f t="shared" si="21"/>
        <v>Error?</v>
      </c>
    </row>
    <row r="1432" spans="1:4" x14ac:dyDescent="0.2">
      <c r="A1432" s="5">
        <v>1371</v>
      </c>
      <c r="B1432" s="138">
        <f>'Expenditures 15-22'!D267</f>
        <v>31693</v>
      </c>
      <c r="D1432" s="2" t="str">
        <f t="shared" si="21"/>
        <v>Error?</v>
      </c>
    </row>
    <row r="1433" spans="1:4" x14ac:dyDescent="0.2">
      <c r="A1433" s="5">
        <v>1372</v>
      </c>
      <c r="B1433" s="138">
        <f>'Expenditures 15-22'!D268</f>
        <v>35380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133470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4463</v>
      </c>
      <c r="D1442" s="2" t="str">
        <f t="shared" si="21"/>
        <v>Error?</v>
      </c>
    </row>
    <row r="1443" spans="1:4" x14ac:dyDescent="0.2">
      <c r="A1443" s="10">
        <v>1382</v>
      </c>
      <c r="D1443" s="2" t="str">
        <f t="shared" si="21"/>
        <v>OK</v>
      </c>
    </row>
    <row r="1444" spans="1:4" x14ac:dyDescent="0.2">
      <c r="A1444" s="5">
        <v>1383</v>
      </c>
      <c r="B1444" s="138">
        <f>'Expenditures 15-22'!D277</f>
        <v>4463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221173</v>
      </c>
      <c r="C1446" s="2" t="s">
        <v>594</v>
      </c>
      <c r="D1446" s="2" t="str">
        <f t="shared" si="21"/>
        <v>Error?</v>
      </c>
    </row>
    <row r="1447" spans="1:4" x14ac:dyDescent="0.2">
      <c r="A1447" s="5">
        <v>1386</v>
      </c>
      <c r="B1447" s="138">
        <f>'Expenditures 15-22'!D280</f>
        <v>26037</v>
      </c>
      <c r="D1447" s="2" t="str">
        <f t="shared" si="21"/>
        <v>Error?</v>
      </c>
    </row>
    <row r="1448" spans="1:4" x14ac:dyDescent="0.2">
      <c r="A1448" s="5">
        <v>1387</v>
      </c>
      <c r="B1448" s="138">
        <f>'Expenditures 15-22'!D295</f>
        <v>340386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4691</v>
      </c>
      <c r="C1472" s="2" t="s">
        <v>594</v>
      </c>
      <c r="D1472" s="2" t="str">
        <f t="shared" si="22"/>
        <v>Error?</v>
      </c>
    </row>
    <row r="1473" spans="1:4" x14ac:dyDescent="0.2">
      <c r="A1473" s="5">
        <v>1412</v>
      </c>
      <c r="B1473" s="138">
        <f>'Expenditures 15-22'!K224</f>
        <v>484</v>
      </c>
      <c r="C1473" s="2" t="s">
        <v>594</v>
      </c>
      <c r="D1473" s="2" t="str">
        <f t="shared" si="22"/>
        <v>Error?</v>
      </c>
    </row>
    <row r="1474" spans="1:4" x14ac:dyDescent="0.2">
      <c r="A1474" s="5">
        <v>1413</v>
      </c>
      <c r="B1474" s="138">
        <f>'Expenditures 15-22'!K229</f>
        <v>93176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8507</v>
      </c>
      <c r="C1477" s="2" t="s">
        <v>594</v>
      </c>
      <c r="D1477" s="2" t="str">
        <f t="shared" si="22"/>
        <v>Error?</v>
      </c>
    </row>
    <row r="1478" spans="1:4" x14ac:dyDescent="0.2">
      <c r="A1478" s="5">
        <v>1417</v>
      </c>
      <c r="B1478" s="138">
        <f>'Expenditures 15-22'!K235</f>
        <v>1830</v>
      </c>
      <c r="C1478" s="2" t="s">
        <v>594</v>
      </c>
      <c r="D1478" s="2" t="str">
        <f t="shared" si="22"/>
        <v>Error?</v>
      </c>
    </row>
    <row r="1479" spans="1:4" x14ac:dyDescent="0.2">
      <c r="A1479" s="5">
        <v>1418</v>
      </c>
      <c r="B1479" s="138">
        <f>'Expenditures 15-22'!K236</f>
        <v>1569</v>
      </c>
      <c r="C1479" s="2" t="s">
        <v>594</v>
      </c>
      <c r="D1479" s="2" t="str">
        <f t="shared" si="22"/>
        <v>Error?</v>
      </c>
    </row>
    <row r="1480" spans="1:4" x14ac:dyDescent="0.2">
      <c r="A1480" s="5">
        <v>1419</v>
      </c>
      <c r="B1480" s="138">
        <f>'Expenditures 15-22'!K237</f>
        <v>5283</v>
      </c>
      <c r="C1480" s="2" t="s">
        <v>594</v>
      </c>
      <c r="D1480" s="2" t="str">
        <f t="shared" si="22"/>
        <v>Error?</v>
      </c>
    </row>
    <row r="1481" spans="1:4" x14ac:dyDescent="0.2">
      <c r="A1481" s="5">
        <v>1420</v>
      </c>
      <c r="B1481" s="138">
        <f>'Expenditures 15-22'!K238</f>
        <v>17189</v>
      </c>
      <c r="C1481" s="2" t="s">
        <v>594</v>
      </c>
      <c r="D1481" s="2" t="str">
        <f t="shared" si="22"/>
        <v>Error?</v>
      </c>
    </row>
    <row r="1482" spans="1:4" x14ac:dyDescent="0.2">
      <c r="A1482" s="5">
        <v>1421</v>
      </c>
      <c r="B1482" s="138">
        <f>'Expenditures 15-22'!K240</f>
        <v>3066</v>
      </c>
      <c r="C1482" s="2" t="s">
        <v>594</v>
      </c>
      <c r="D1482" s="2" t="str">
        <f t="shared" si="22"/>
        <v>Error?</v>
      </c>
    </row>
    <row r="1483" spans="1:4" x14ac:dyDescent="0.2">
      <c r="A1483" s="5">
        <v>1422</v>
      </c>
      <c r="B1483" s="138">
        <f>'Expenditures 15-22'!K241</f>
        <v>13564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16630</v>
      </c>
      <c r="C1485" s="2" t="s">
        <v>594</v>
      </c>
      <c r="D1485" s="2" t="str">
        <f t="shared" si="22"/>
        <v>Error?</v>
      </c>
    </row>
    <row r="1486" spans="1:4" x14ac:dyDescent="0.2">
      <c r="A1486" s="5">
        <v>1425</v>
      </c>
      <c r="B1486" s="138">
        <f>'Expenditures 15-22'!K245</f>
        <v>353</v>
      </c>
      <c r="C1486" s="2" t="s">
        <v>594</v>
      </c>
      <c r="D1486" s="2" t="str">
        <f t="shared" si="22"/>
        <v>Error?</v>
      </c>
    </row>
    <row r="1487" spans="1:4" x14ac:dyDescent="0.2">
      <c r="A1487" s="5">
        <v>1426</v>
      </c>
      <c r="B1487" s="138">
        <f>'Expenditures 15-22'!K246</f>
        <v>11689</v>
      </c>
      <c r="C1487" s="2" t="s">
        <v>594</v>
      </c>
      <c r="D1487" s="2" t="str">
        <f t="shared" si="22"/>
        <v>Error?</v>
      </c>
    </row>
    <row r="1488" spans="1:4" x14ac:dyDescent="0.2">
      <c r="A1488" s="5">
        <v>1427</v>
      </c>
      <c r="B1488" s="138">
        <f>'Expenditures 15-22'!K257</f>
        <v>30679</v>
      </c>
      <c r="C1488" s="2" t="s">
        <v>594</v>
      </c>
      <c r="D1488" s="2" t="str">
        <f t="shared" si="22"/>
        <v>Error?</v>
      </c>
    </row>
    <row r="1489" spans="1:4" x14ac:dyDescent="0.2">
      <c r="A1489" s="5">
        <v>1428</v>
      </c>
      <c r="B1489" s="138">
        <f>'Expenditures 15-22'!K259</f>
        <v>18742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18742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10026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56371</v>
      </c>
      <c r="C1495" s="2" t="s">
        <v>594</v>
      </c>
      <c r="D1495" s="2" t="str">
        <f t="shared" si="22"/>
        <v>Error?</v>
      </c>
    </row>
    <row r="1496" spans="1:4" x14ac:dyDescent="0.2">
      <c r="A1496" s="5">
        <v>1435</v>
      </c>
      <c r="B1496" s="138">
        <f>'Expenditures 15-22'!K267</f>
        <v>31693</v>
      </c>
      <c r="C1496" s="2" t="s">
        <v>594</v>
      </c>
      <c r="D1496" s="2" t="str">
        <f t="shared" si="22"/>
        <v>Error?</v>
      </c>
    </row>
    <row r="1497" spans="1:4" x14ac:dyDescent="0.2">
      <c r="A1497" s="5">
        <v>1436</v>
      </c>
      <c r="B1497" s="138">
        <f>'Expenditures 15-22'!K268</f>
        <v>35380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133470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4463</v>
      </c>
      <c r="C1506" s="2" t="s">
        <v>594</v>
      </c>
      <c r="D1506" s="2" t="str">
        <f t="shared" si="22"/>
        <v>Error?</v>
      </c>
    </row>
    <row r="1507" spans="1:4" x14ac:dyDescent="0.2">
      <c r="A1507" s="10">
        <v>1446</v>
      </c>
      <c r="D1507" s="2" t="str">
        <f t="shared" si="22"/>
        <v>OK</v>
      </c>
    </row>
    <row r="1508" spans="1:4" x14ac:dyDescent="0.2">
      <c r="A1508" s="5">
        <v>1447</v>
      </c>
      <c r="B1508" s="138">
        <f>'Expenditures 15-22'!K277</f>
        <v>4463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221173</v>
      </c>
      <c r="C1510" s="2" t="s">
        <v>594</v>
      </c>
      <c r="D1510" s="2" t="str">
        <f t="shared" si="22"/>
        <v>Error?</v>
      </c>
    </row>
    <row r="1511" spans="1:4" x14ac:dyDescent="0.2">
      <c r="A1511" s="5">
        <v>1450</v>
      </c>
      <c r="B1511" s="138">
        <f>'Expenditures 15-22'!K280</f>
        <v>26037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340386</v>
      </c>
      <c r="C1517" s="2" t="s">
        <v>594</v>
      </c>
      <c r="D1517" s="2" t="str">
        <f t="shared" si="22"/>
        <v>Error?</v>
      </c>
    </row>
    <row r="1518" spans="1:4" x14ac:dyDescent="0.2">
      <c r="A1518" s="5">
        <v>1457</v>
      </c>
      <c r="B1518" s="138">
        <f>'Expenditures 15-22'!K296</f>
        <v>-88856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319508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560685</v>
      </c>
      <c r="C1630" s="2" t="s">
        <v>594</v>
      </c>
      <c r="D1630" s="2" t="str">
        <f t="shared" si="24"/>
        <v>Error?</v>
      </c>
    </row>
    <row r="1631" spans="1:4" x14ac:dyDescent="0.2">
      <c r="A1631" s="5">
        <v>1570</v>
      </c>
      <c r="B1631" s="138">
        <f>'Acct Summary 7-8'!D79</f>
        <v>170874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157636</v>
      </c>
      <c r="C1644" s="2" t="s">
        <v>594</v>
      </c>
      <c r="D1644" s="2" t="str">
        <f t="shared" si="24"/>
        <v>Error?</v>
      </c>
    </row>
    <row r="1645" spans="1:4" x14ac:dyDescent="0.2">
      <c r="A1645" s="5">
        <v>1584</v>
      </c>
      <c r="B1645" s="138">
        <f>'Acct Summary 7-8'!E79</f>
        <v>-19801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-66197</v>
      </c>
      <c r="C1658" s="2" t="s">
        <v>594</v>
      </c>
      <c r="D1658" s="2" t="str">
        <f t="shared" si="24"/>
        <v>Error?</v>
      </c>
    </row>
    <row r="1659" spans="1:4" x14ac:dyDescent="0.2">
      <c r="A1659" s="5">
        <v>1598</v>
      </c>
      <c r="B1659" s="138">
        <f>'Acct Summary 7-8'!F79</f>
        <v>-17589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44577</v>
      </c>
      <c r="C1672" s="2" t="s">
        <v>594</v>
      </c>
      <c r="D1672" s="2" t="str">
        <f t="shared" si="25"/>
        <v>Error?</v>
      </c>
    </row>
    <row r="1673" spans="1:4" x14ac:dyDescent="0.2">
      <c r="A1673" s="5">
        <v>1612</v>
      </c>
      <c r="B1673" s="138">
        <f>'Acct Summary 7-8'!G79</f>
        <v>142947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54091</v>
      </c>
      <c r="C1686" s="2" t="s">
        <v>594</v>
      </c>
      <c r="D1686" s="2" t="str">
        <f t="shared" si="25"/>
        <v>Error?</v>
      </c>
    </row>
    <row r="1687" spans="1:4" x14ac:dyDescent="0.2">
      <c r="A1687" s="5">
        <v>1626</v>
      </c>
      <c r="B1687" s="138">
        <f>'Acct Summary 7-8'!H79</f>
        <v>888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888291</v>
      </c>
      <c r="C1744" s="2" t="s">
        <v>594</v>
      </c>
      <c r="D1744" s="2" t="str">
        <f t="shared" si="26"/>
        <v>Error?</v>
      </c>
    </row>
    <row r="1745" spans="1:5" x14ac:dyDescent="0.2">
      <c r="A1745" s="5">
        <v>1684</v>
      </c>
      <c r="B1745" s="138">
        <f>'Tax Sched 23'!B5</f>
        <v>269210</v>
      </c>
      <c r="C1745" s="2" t="s">
        <v>594</v>
      </c>
      <c r="D1745" s="2" t="str">
        <f t="shared" si="26"/>
        <v>Error?</v>
      </c>
    </row>
    <row r="1746" spans="1:5" x14ac:dyDescent="0.2">
      <c r="A1746" s="5">
        <v>1685</v>
      </c>
      <c r="B1746" s="138">
        <f>'Tax Sched 23'!B6</f>
        <v>540022</v>
      </c>
      <c r="C1746" s="2" t="s">
        <v>594</v>
      </c>
      <c r="D1746" s="2" t="str">
        <f t="shared" si="26"/>
        <v>Error?</v>
      </c>
    </row>
    <row r="1747" spans="1:5" x14ac:dyDescent="0.2">
      <c r="A1747" s="5">
        <v>1686</v>
      </c>
      <c r="B1747" s="138">
        <f>'Tax Sched 23'!B7</f>
        <v>64646</v>
      </c>
      <c r="C1747" s="2" t="s">
        <v>594</v>
      </c>
      <c r="D1747" s="2" t="str">
        <f t="shared" si="26"/>
        <v>Error?</v>
      </c>
    </row>
    <row r="1748" spans="1:5" x14ac:dyDescent="0.2">
      <c r="A1748" s="5">
        <v>1687</v>
      </c>
      <c r="B1748" s="138">
        <f>'Tax Sched 23'!B8</f>
        <v>105520</v>
      </c>
      <c r="C1748" s="2" t="s">
        <v>594</v>
      </c>
      <c r="D1748" s="2" t="str">
        <f t="shared" si="26"/>
        <v>Error?</v>
      </c>
    </row>
    <row r="1749" spans="1:5" x14ac:dyDescent="0.2">
      <c r="A1749" s="5">
        <v>1688</v>
      </c>
      <c r="B1749" s="138">
        <f>'Tax Sched 23'!B10</f>
        <v>26957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625752</v>
      </c>
      <c r="C1752" s="2" t="s">
        <v>594</v>
      </c>
      <c r="D1752" s="2" t="str">
        <f t="shared" si="26"/>
        <v>Error?</v>
      </c>
    </row>
    <row r="1753" spans="1:5" x14ac:dyDescent="0.2">
      <c r="A1753" s="5">
        <v>1692</v>
      </c>
      <c r="B1753" s="138">
        <f>'Tax Sched 23'!B12</f>
        <v>25973</v>
      </c>
      <c r="C1753" s="2" t="s">
        <v>594</v>
      </c>
      <c r="D1753" s="2" t="str">
        <f t="shared" si="26"/>
        <v>Error?</v>
      </c>
    </row>
    <row r="1754" spans="1:5" x14ac:dyDescent="0.2">
      <c r="A1754" s="5">
        <v>1693</v>
      </c>
      <c r="B1754" s="138">
        <f>'Tax Sched 23'!B14</f>
        <v>10785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2679796</v>
      </c>
      <c r="C1759" s="2" t="s">
        <v>594</v>
      </c>
      <c r="D1759" s="2" t="str">
        <f t="shared" si="26"/>
        <v>Error?</v>
      </c>
    </row>
    <row r="1760" spans="1:5" x14ac:dyDescent="0.2">
      <c r="A1760" s="5">
        <v>1699</v>
      </c>
      <c r="B1760" s="138">
        <f>'Tax Sched 23'!D4</f>
        <v>855849</v>
      </c>
      <c r="C1760" s="2" t="s">
        <v>594</v>
      </c>
      <c r="D1760" s="2" t="str">
        <f t="shared" si="26"/>
        <v>Error?</v>
      </c>
    </row>
    <row r="1761" spans="1:5" x14ac:dyDescent="0.2">
      <c r="A1761" s="5">
        <v>1700</v>
      </c>
      <c r="B1761" s="138">
        <f>'Tax Sched 23'!D5</f>
        <v>259379</v>
      </c>
      <c r="C1761" s="2" t="s">
        <v>594</v>
      </c>
      <c r="D1761" s="2" t="str">
        <f t="shared" si="26"/>
        <v>Error?</v>
      </c>
    </row>
    <row r="1762" spans="1:5" s="8" customFormat="1" x14ac:dyDescent="0.2">
      <c r="A1762" s="5">
        <v>1701</v>
      </c>
      <c r="B1762" s="138">
        <f>'Tax Sched 23'!D6</f>
        <v>522548</v>
      </c>
      <c r="C1762" s="2" t="s">
        <v>594</v>
      </c>
      <c r="D1762" s="2" t="str">
        <f t="shared" si="26"/>
        <v>Error?</v>
      </c>
      <c r="E1762" s="9"/>
    </row>
    <row r="1763" spans="1:5" x14ac:dyDescent="0.2">
      <c r="A1763" s="5">
        <v>1702</v>
      </c>
      <c r="B1763" s="138">
        <f>'Tax Sched 23'!D7</f>
        <v>62285</v>
      </c>
      <c r="C1763" s="2" t="s">
        <v>594</v>
      </c>
      <c r="D1763" s="2" t="str">
        <f t="shared" si="26"/>
        <v>Error?</v>
      </c>
    </row>
    <row r="1764" spans="1:5" x14ac:dyDescent="0.2">
      <c r="A1764" s="5">
        <v>1703</v>
      </c>
      <c r="B1764" s="138">
        <f>'Tax Sched 23'!D8</f>
        <v>99844</v>
      </c>
      <c r="C1764" s="2" t="s">
        <v>594</v>
      </c>
      <c r="D1764" s="2" t="str">
        <f t="shared" si="26"/>
        <v>Error?</v>
      </c>
    </row>
    <row r="1765" spans="1:5" x14ac:dyDescent="0.2">
      <c r="A1765" s="5">
        <v>1704</v>
      </c>
      <c r="B1765" s="138">
        <f>'Tax Sched 23'!D10</f>
        <v>25973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603847</v>
      </c>
      <c r="C1768" s="2" t="s">
        <v>594</v>
      </c>
      <c r="D1768" s="2" t="str">
        <f t="shared" si="26"/>
        <v>Error?</v>
      </c>
    </row>
    <row r="1769" spans="1:5" x14ac:dyDescent="0.2">
      <c r="A1769" s="5">
        <v>1708</v>
      </c>
      <c r="B1769" s="138">
        <f>'Tax Sched 23'!D12</f>
        <v>25973</v>
      </c>
      <c r="C1769" s="2" t="s">
        <v>594</v>
      </c>
      <c r="D1769" s="2" t="str">
        <f t="shared" si="26"/>
        <v>Error?</v>
      </c>
    </row>
    <row r="1770" spans="1:5" x14ac:dyDescent="0.2">
      <c r="A1770" s="5">
        <v>1709</v>
      </c>
      <c r="B1770" s="138">
        <f>'Tax Sched 23'!D14</f>
        <v>10391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2582089</v>
      </c>
      <c r="C1775" s="2" t="s">
        <v>594</v>
      </c>
      <c r="D1775" s="2" t="str">
        <f t="shared" si="26"/>
        <v>Error?</v>
      </c>
    </row>
    <row r="1776" spans="1:5" x14ac:dyDescent="0.2">
      <c r="A1776" s="5">
        <v>1715</v>
      </c>
      <c r="B1776" s="138">
        <f>'Tax Sched 23'!C4</f>
        <v>32442</v>
      </c>
      <c r="D1776" s="2" t="str">
        <f t="shared" si="26"/>
        <v>Error?</v>
      </c>
    </row>
    <row r="1777" spans="1:4" x14ac:dyDescent="0.2">
      <c r="A1777" s="5">
        <v>1716</v>
      </c>
      <c r="B1777" s="138">
        <f>'Tax Sched 23'!C5</f>
        <v>9831</v>
      </c>
      <c r="D1777" s="2" t="str">
        <f t="shared" si="26"/>
        <v>Error?</v>
      </c>
    </row>
    <row r="1778" spans="1:4" x14ac:dyDescent="0.2">
      <c r="A1778" s="5">
        <v>1717</v>
      </c>
      <c r="B1778" s="138">
        <f>'Tax Sched 23'!C6</f>
        <v>17474</v>
      </c>
      <c r="D1778" s="2" t="str">
        <f t="shared" si="26"/>
        <v>Error?</v>
      </c>
    </row>
    <row r="1779" spans="1:4" x14ac:dyDescent="0.2">
      <c r="A1779" s="5">
        <v>1718</v>
      </c>
      <c r="B1779" s="138">
        <f>'Tax Sched 23'!C7</f>
        <v>2361</v>
      </c>
      <c r="D1779" s="2" t="str">
        <f t="shared" si="26"/>
        <v>Error?</v>
      </c>
    </row>
    <row r="1780" spans="1:4" x14ac:dyDescent="0.2">
      <c r="A1780" s="5">
        <v>1719</v>
      </c>
      <c r="B1780" s="138">
        <f>'Tax Sched 23'!C8</f>
        <v>5676</v>
      </c>
      <c r="D1780" s="2" t="str">
        <f t="shared" si="26"/>
        <v>Error?</v>
      </c>
    </row>
    <row r="1781" spans="1:4" x14ac:dyDescent="0.2">
      <c r="A1781" s="5">
        <v>1720</v>
      </c>
      <c r="B1781" s="138">
        <f>'Tax Sched 23'!C10</f>
        <v>984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21905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97707</v>
      </c>
      <c r="C1791" s="2" t="s">
        <v>594</v>
      </c>
      <c r="D1791" s="2" t="str">
        <f t="shared" ref="D1791:D1854" si="27">IF(ISBLANK(B1791),"OK",IF(A1791-B1791=0,"OK","Error?"))</f>
        <v>Error?</v>
      </c>
    </row>
    <row r="1792" spans="1:4" x14ac:dyDescent="0.2">
      <c r="A1792" s="5">
        <v>1731</v>
      </c>
      <c r="B1792" s="138">
        <f>'Tax Sched 23'!F4</f>
        <v>929277</v>
      </c>
      <c r="C1792" s="2" t="s">
        <v>594</v>
      </c>
      <c r="D1792" s="2" t="str">
        <f t="shared" si="27"/>
        <v>Error?</v>
      </c>
    </row>
    <row r="1793" spans="1:4" x14ac:dyDescent="0.2">
      <c r="A1793" s="5">
        <v>1732</v>
      </c>
      <c r="B1793" s="138">
        <f>'Tax Sched 23'!F5</f>
        <v>281606</v>
      </c>
      <c r="C1793" s="2" t="s">
        <v>594</v>
      </c>
      <c r="D1793" s="2" t="str">
        <f t="shared" si="27"/>
        <v>Error?</v>
      </c>
    </row>
    <row r="1794" spans="1:4" x14ac:dyDescent="0.2">
      <c r="A1794" s="5">
        <v>1733</v>
      </c>
      <c r="B1794" s="138">
        <f>'Tax Sched 23'!F6</f>
        <v>500530</v>
      </c>
      <c r="C1794" s="2" t="s">
        <v>594</v>
      </c>
      <c r="D1794" s="2" t="str">
        <f t="shared" si="27"/>
        <v>Error?</v>
      </c>
    </row>
    <row r="1795" spans="1:4" x14ac:dyDescent="0.2">
      <c r="A1795" s="5">
        <v>1734</v>
      </c>
      <c r="B1795" s="138">
        <f>'Tax Sched 23'!F7</f>
        <v>67636</v>
      </c>
      <c r="C1795" s="2" t="s">
        <v>594</v>
      </c>
      <c r="D1795" s="2" t="str">
        <f t="shared" si="27"/>
        <v>Error?</v>
      </c>
    </row>
    <row r="1796" spans="1:4" x14ac:dyDescent="0.2">
      <c r="A1796" s="5">
        <v>1735</v>
      </c>
      <c r="B1796" s="138">
        <f>'Tax Sched 23'!F8</f>
        <v>162580</v>
      </c>
      <c r="C1796" s="2" t="s">
        <v>594</v>
      </c>
      <c r="D1796" s="2" t="str">
        <f t="shared" si="27"/>
        <v>Error?</v>
      </c>
    </row>
    <row r="1797" spans="1:4" x14ac:dyDescent="0.2">
      <c r="A1797" s="5">
        <v>1736</v>
      </c>
      <c r="B1797" s="138">
        <f>'Tax Sched 23'!F10</f>
        <v>28172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627449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11292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2798718</v>
      </c>
      <c r="C1807" s="2" t="s">
        <v>594</v>
      </c>
      <c r="D1807" s="2" t="str">
        <f t="shared" si="27"/>
        <v>Error?</v>
      </c>
    </row>
    <row r="1808" spans="1:4" x14ac:dyDescent="0.2">
      <c r="A1808" s="5">
        <v>1747</v>
      </c>
      <c r="B1808" s="138">
        <f>'Tax Sched 23'!E4</f>
        <v>961719</v>
      </c>
      <c r="D1808" s="2" t="str">
        <f t="shared" si="27"/>
        <v>Error?</v>
      </c>
    </row>
    <row r="1809" spans="1:4" x14ac:dyDescent="0.2">
      <c r="A1809" s="5">
        <v>1748</v>
      </c>
      <c r="B1809" s="138">
        <f>'Tax Sched 23'!E5</f>
        <v>291437</v>
      </c>
      <c r="D1809" s="2" t="str">
        <f t="shared" si="27"/>
        <v>Error?</v>
      </c>
    </row>
    <row r="1810" spans="1:4" x14ac:dyDescent="0.2">
      <c r="A1810" s="5">
        <v>1749</v>
      </c>
      <c r="B1810" s="138">
        <f>'Tax Sched 23'!E6</f>
        <v>518004</v>
      </c>
      <c r="D1810" s="2" t="str">
        <f t="shared" si="27"/>
        <v>Error?</v>
      </c>
    </row>
    <row r="1811" spans="1:4" x14ac:dyDescent="0.2">
      <c r="A1811" s="5">
        <v>1750</v>
      </c>
      <c r="B1811" s="138">
        <f>'Tax Sched 23'!E7</f>
        <v>69997</v>
      </c>
      <c r="D1811" s="2" t="str">
        <f t="shared" si="27"/>
        <v>Error?</v>
      </c>
    </row>
    <row r="1812" spans="1:4" x14ac:dyDescent="0.2">
      <c r="A1812" s="5">
        <v>1751</v>
      </c>
      <c r="B1812" s="138">
        <f>'Tax Sched 23'!E8</f>
        <v>168256</v>
      </c>
      <c r="D1812" s="2" t="str">
        <f t="shared" si="27"/>
        <v>Error?</v>
      </c>
    </row>
    <row r="1813" spans="1:4" x14ac:dyDescent="0.2">
      <c r="A1813" s="5">
        <v>1752</v>
      </c>
      <c r="B1813" s="138">
        <f>'Tax Sched 23'!E10</f>
        <v>29156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649354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11686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2896425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5301597</v>
      </c>
      <c r="C1939" s="2" t="s">
        <v>594</v>
      </c>
      <c r="D1939" s="2" t="str">
        <f t="shared" si="29"/>
        <v>Error?</v>
      </c>
    </row>
    <row r="1940" spans="1:5" x14ac:dyDescent="0.2">
      <c r="A1940" s="5">
        <v>1879</v>
      </c>
      <c r="B1940" s="138">
        <f>'Short-Term Long-Term Debt 24'!F49</f>
        <v>108707</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10785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10785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100686</v>
      </c>
      <c r="D2008" s="2" t="str">
        <f t="shared" si="30"/>
        <v>Error?</v>
      </c>
    </row>
    <row r="2009" spans="1:4" x14ac:dyDescent="0.2">
      <c r="A2009" s="5">
        <v>1948</v>
      </c>
      <c r="B2009" s="138">
        <f>'Cap Outlay Deprec 26'!C8</f>
        <v>11690654</v>
      </c>
      <c r="D2009" s="2" t="str">
        <f t="shared" si="30"/>
        <v>Error?</v>
      </c>
    </row>
    <row r="2010" spans="1:4" x14ac:dyDescent="0.2">
      <c r="A2010" s="5">
        <v>1949</v>
      </c>
      <c r="B2010" s="138">
        <f>'Cap Outlay Deprec 26'!C10</f>
        <v>3295725</v>
      </c>
      <c r="D2010" s="2" t="str">
        <f t="shared" si="30"/>
        <v>Error?</v>
      </c>
    </row>
    <row r="2011" spans="1:4" x14ac:dyDescent="0.2">
      <c r="A2011" s="5">
        <v>1950</v>
      </c>
      <c r="B2011" s="138">
        <f>'Cap Outlay Deprec 26'!C12</f>
        <v>3422606</v>
      </c>
      <c r="D2011" s="2" t="str">
        <f t="shared" si="30"/>
        <v>Error?</v>
      </c>
    </row>
    <row r="2012" spans="1:4" x14ac:dyDescent="0.2">
      <c r="A2012" s="5">
        <v>1951</v>
      </c>
      <c r="B2012" s="138">
        <f>'Cap Outlay Deprec 26'!C13</f>
        <v>899332</v>
      </c>
      <c r="D2012" s="2" t="str">
        <f t="shared" si="30"/>
        <v>Error?</v>
      </c>
    </row>
    <row r="2013" spans="1:4" x14ac:dyDescent="0.2">
      <c r="A2013" s="5">
        <v>1952</v>
      </c>
      <c r="B2013" s="138">
        <f>'Cap Outlay Deprec 26'!C16</f>
        <v>19789959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250276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250276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100686</v>
      </c>
      <c r="C2026" s="2" t="s">
        <v>594</v>
      </c>
      <c r="D2026" s="2" t="str">
        <f t="shared" si="30"/>
        <v>Error?</v>
      </c>
    </row>
    <row r="2027" spans="1:4" x14ac:dyDescent="0.2">
      <c r="A2027" s="5">
        <v>1966</v>
      </c>
      <c r="B2027" s="138">
        <f>'Cap Outlay Deprec 26'!F8</f>
        <v>11690654</v>
      </c>
      <c r="C2027" s="2" t="s">
        <v>594</v>
      </c>
      <c r="D2027" s="2" t="str">
        <f t="shared" si="30"/>
        <v>Error?</v>
      </c>
    </row>
    <row r="2028" spans="1:4" x14ac:dyDescent="0.2">
      <c r="A2028" s="5">
        <v>1967</v>
      </c>
      <c r="B2028" s="138">
        <f>'Cap Outlay Deprec 26'!F10</f>
        <v>3295725</v>
      </c>
      <c r="C2028" s="2" t="s">
        <v>594</v>
      </c>
      <c r="D2028" s="2" t="str">
        <f t="shared" si="30"/>
        <v>Error?</v>
      </c>
    </row>
    <row r="2029" spans="1:4" x14ac:dyDescent="0.2">
      <c r="A2029" s="5">
        <v>1968</v>
      </c>
      <c r="B2029" s="138">
        <f>'Cap Outlay Deprec 26'!F12</f>
        <v>3672882</v>
      </c>
      <c r="C2029" s="2" t="s">
        <v>594</v>
      </c>
      <c r="D2029" s="2" t="str">
        <f t="shared" si="30"/>
        <v>Error?</v>
      </c>
    </row>
    <row r="2030" spans="1:4" x14ac:dyDescent="0.2">
      <c r="A2030" s="5">
        <v>1969</v>
      </c>
      <c r="B2030" s="138">
        <f>'Cap Outlay Deprec 26'!F13</f>
        <v>899332</v>
      </c>
      <c r="C2030" s="2" t="s">
        <v>594</v>
      </c>
      <c r="D2030" s="2" t="str">
        <f t="shared" si="30"/>
        <v>Error?</v>
      </c>
    </row>
    <row r="2031" spans="1:4" x14ac:dyDescent="0.2">
      <c r="A2031" s="5">
        <v>1970</v>
      </c>
      <c r="B2031" s="138">
        <f>'Cap Outlay Deprec 26'!F16</f>
        <v>20040235</v>
      </c>
      <c r="C2031" s="2" t="s">
        <v>594</v>
      </c>
      <c r="D2031" s="2" t="str">
        <f t="shared" si="30"/>
        <v>Error?</v>
      </c>
    </row>
    <row r="2032" spans="1:4" x14ac:dyDescent="0.2">
      <c r="A2032" s="10">
        <v>1971</v>
      </c>
      <c r="D2032" s="2" t="str">
        <f t="shared" si="30"/>
        <v>OK</v>
      </c>
    </row>
    <row r="2033" spans="1:4" x14ac:dyDescent="0.2">
      <c r="A2033" s="5">
        <v>1972</v>
      </c>
      <c r="B2033" s="138">
        <f>'Cap Outlay Deprec 26'!H8</f>
        <v>7327844</v>
      </c>
      <c r="D2033" s="2" t="str">
        <f t="shared" si="30"/>
        <v>Error?</v>
      </c>
    </row>
    <row r="2034" spans="1:4" x14ac:dyDescent="0.2">
      <c r="A2034" s="5">
        <v>1973</v>
      </c>
      <c r="B2034" s="138">
        <f>'Cap Outlay Deprec 26'!H10</f>
        <v>1174196</v>
      </c>
      <c r="D2034" s="2" t="str">
        <f t="shared" si="30"/>
        <v>Error?</v>
      </c>
    </row>
    <row r="2035" spans="1:4" x14ac:dyDescent="0.2">
      <c r="A2035" s="5">
        <v>1974</v>
      </c>
      <c r="B2035" s="138">
        <f>'Cap Outlay Deprec 26'!H12</f>
        <v>3331277</v>
      </c>
      <c r="D2035" s="2" t="str">
        <f t="shared" si="30"/>
        <v>Error?</v>
      </c>
    </row>
    <row r="2036" spans="1:4" x14ac:dyDescent="0.2">
      <c r="A2036" s="5">
        <v>1975</v>
      </c>
      <c r="B2036" s="138">
        <f>'Cap Outlay Deprec 26'!H13</f>
        <v>588181</v>
      </c>
      <c r="D2036" s="2" t="str">
        <f t="shared" si="30"/>
        <v>Error?</v>
      </c>
    </row>
    <row r="2037" spans="1:4" x14ac:dyDescent="0.2">
      <c r="A2037" s="5">
        <v>1976</v>
      </c>
      <c r="B2037" s="138">
        <f>'Cap Outlay Deprec 26'!H16</f>
        <v>12802454</v>
      </c>
      <c r="C2037" s="2" t="s">
        <v>594</v>
      </c>
      <c r="D2037" s="2" t="str">
        <f t="shared" si="30"/>
        <v>Error?</v>
      </c>
    </row>
    <row r="2038" spans="1:4" x14ac:dyDescent="0.2">
      <c r="A2038" s="10">
        <v>1977</v>
      </c>
      <c r="D2038" s="2" t="str">
        <f t="shared" si="30"/>
        <v>OK</v>
      </c>
    </row>
    <row r="2039" spans="1:4" x14ac:dyDescent="0.2">
      <c r="A2039" s="5">
        <v>1978</v>
      </c>
      <c r="B2039" s="138">
        <f>'Cap Outlay Deprec 26'!I8</f>
        <v>233813</v>
      </c>
      <c r="D2039" s="2" t="str">
        <f t="shared" si="30"/>
        <v>Error?</v>
      </c>
    </row>
    <row r="2040" spans="1:4" x14ac:dyDescent="0.2">
      <c r="A2040" s="5">
        <v>1979</v>
      </c>
      <c r="B2040" s="138">
        <f>'Cap Outlay Deprec 26'!I10</f>
        <v>135146</v>
      </c>
      <c r="D2040" s="2" t="str">
        <f t="shared" si="30"/>
        <v>Error?</v>
      </c>
    </row>
    <row r="2041" spans="1:4" x14ac:dyDescent="0.2">
      <c r="A2041" s="5">
        <v>1980</v>
      </c>
      <c r="B2041" s="138">
        <f>'Cap Outlay Deprec 26'!I12</f>
        <v>16778</v>
      </c>
      <c r="D2041" s="2" t="str">
        <f t="shared" si="30"/>
        <v>Error?</v>
      </c>
    </row>
    <row r="2042" spans="1:4" x14ac:dyDescent="0.2">
      <c r="A2042" s="5">
        <v>1981</v>
      </c>
      <c r="B2042" s="138">
        <f>'Cap Outlay Deprec 26'!I13</f>
        <v>131058</v>
      </c>
      <c r="D2042" s="2" t="str">
        <f t="shared" si="30"/>
        <v>Error?</v>
      </c>
    </row>
    <row r="2043" spans="1:4" x14ac:dyDescent="0.2">
      <c r="A2043" s="5">
        <v>1982</v>
      </c>
      <c r="B2043" s="138">
        <f>'Cap Outlay Deprec 26'!I16</f>
        <v>516795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7561657</v>
      </c>
      <c r="C2051" s="2" t="s">
        <v>594</v>
      </c>
      <c r="D2051" s="2" t="str">
        <f t="shared" si="31"/>
        <v>Error?</v>
      </c>
    </row>
    <row r="2052" spans="1:4" x14ac:dyDescent="0.2">
      <c r="A2052" s="5">
        <v>1991</v>
      </c>
      <c r="B2052" s="138">
        <f>'Cap Outlay Deprec 26'!K10</f>
        <v>1309342</v>
      </c>
      <c r="C2052" s="2" t="s">
        <v>594</v>
      </c>
      <c r="D2052" s="2" t="str">
        <f t="shared" si="31"/>
        <v>Error?</v>
      </c>
    </row>
    <row r="2053" spans="1:4" x14ac:dyDescent="0.2">
      <c r="A2053" s="5">
        <v>1992</v>
      </c>
      <c r="B2053" s="138">
        <f>'Cap Outlay Deprec 26'!K12</f>
        <v>3348055</v>
      </c>
      <c r="C2053" s="2" t="s">
        <v>594</v>
      </c>
      <c r="D2053" s="2" t="str">
        <f t="shared" si="31"/>
        <v>Error?</v>
      </c>
    </row>
    <row r="2054" spans="1:4" x14ac:dyDescent="0.2">
      <c r="A2054" s="5">
        <v>1993</v>
      </c>
      <c r="B2054" s="138">
        <f>'Cap Outlay Deprec 26'!K13</f>
        <v>719239</v>
      </c>
      <c r="C2054" s="2" t="s">
        <v>594</v>
      </c>
      <c r="D2054" s="2" t="str">
        <f t="shared" si="31"/>
        <v>Error?</v>
      </c>
    </row>
    <row r="2055" spans="1:4" x14ac:dyDescent="0.2">
      <c r="A2055" s="5">
        <v>1994</v>
      </c>
      <c r="B2055" s="138">
        <f>'Cap Outlay Deprec 26'!K16</f>
        <v>13319249</v>
      </c>
      <c r="C2055" s="2" t="s">
        <v>594</v>
      </c>
      <c r="D2055" s="2" t="str">
        <f t="shared" si="31"/>
        <v>Error?</v>
      </c>
    </row>
    <row r="2056" spans="1:4" x14ac:dyDescent="0.2">
      <c r="A2056" s="5">
        <v>1995</v>
      </c>
      <c r="B2056" s="138">
        <f>'Cap Outlay Deprec 26'!L5</f>
        <v>100686</v>
      </c>
      <c r="C2056" s="2" t="s">
        <v>594</v>
      </c>
      <c r="D2056" s="2" t="str">
        <f t="shared" si="31"/>
        <v>Error?</v>
      </c>
    </row>
    <row r="2057" spans="1:4" x14ac:dyDescent="0.2">
      <c r="A2057" s="5">
        <v>1996</v>
      </c>
      <c r="B2057" s="138">
        <f>'Cap Outlay Deprec 26'!L8</f>
        <v>4128997</v>
      </c>
      <c r="C2057" s="2" t="s">
        <v>594</v>
      </c>
      <c r="D2057" s="2" t="str">
        <f t="shared" si="31"/>
        <v>Error?</v>
      </c>
    </row>
    <row r="2058" spans="1:4" x14ac:dyDescent="0.2">
      <c r="A2058" s="5">
        <v>1997</v>
      </c>
      <c r="B2058" s="138">
        <f>'Cap Outlay Deprec 26'!L10</f>
        <v>1986383</v>
      </c>
      <c r="C2058" s="2" t="s">
        <v>594</v>
      </c>
      <c r="D2058" s="2" t="str">
        <f t="shared" si="31"/>
        <v>Error?</v>
      </c>
    </row>
    <row r="2059" spans="1:4" x14ac:dyDescent="0.2">
      <c r="A2059" s="5">
        <v>1998</v>
      </c>
      <c r="B2059" s="138">
        <f>'Cap Outlay Deprec 26'!L12</f>
        <v>324827</v>
      </c>
      <c r="C2059" s="2" t="s">
        <v>594</v>
      </c>
      <c r="D2059" s="2" t="str">
        <f t="shared" si="31"/>
        <v>Error?</v>
      </c>
    </row>
    <row r="2060" spans="1:4" x14ac:dyDescent="0.2">
      <c r="A2060" s="5">
        <v>1999</v>
      </c>
      <c r="B2060" s="138">
        <f>'Cap Outlay Deprec 26'!L13</f>
        <v>180093</v>
      </c>
      <c r="C2060" s="2" t="s">
        <v>594</v>
      </c>
      <c r="D2060" s="2" t="str">
        <f t="shared" si="31"/>
        <v>Error?</v>
      </c>
    </row>
    <row r="2061" spans="1:4" x14ac:dyDescent="0.2">
      <c r="A2061" s="5">
        <v>2000</v>
      </c>
      <c r="B2061" s="138">
        <f>'Cap Outlay Deprec 26'!L16</f>
        <v>6720986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243876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270758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11026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27283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1464714</v>
      </c>
      <c r="C2551" s="2" t="s">
        <v>594</v>
      </c>
      <c r="D2551" s="2" t="str">
        <f t="shared" si="38"/>
        <v>Error?</v>
      </c>
    </row>
    <row r="2552" spans="1:4" x14ac:dyDescent="0.2">
      <c r="A2552" s="10">
        <v>2491</v>
      </c>
      <c r="D2552" s="2" t="str">
        <f t="shared" si="38"/>
        <v>OK</v>
      </c>
    </row>
    <row r="2553" spans="1:4" x14ac:dyDescent="0.2">
      <c r="A2553" s="5">
        <v>2492</v>
      </c>
      <c r="B2553" s="138">
        <f>'Acct Summary 7-8'!C6</f>
        <v>5157570</v>
      </c>
      <c r="C2553" s="2" t="s">
        <v>594</v>
      </c>
      <c r="D2553" s="2" t="str">
        <f t="shared" si="38"/>
        <v>Error?</v>
      </c>
    </row>
    <row r="2554" spans="1:4" x14ac:dyDescent="0.2">
      <c r="A2554" s="5">
        <v>2493</v>
      </c>
      <c r="B2554" s="138">
        <f>'Acct Summary 7-8'!C7</f>
        <v>1316089</v>
      </c>
      <c r="C2554" s="2" t="s">
        <v>594</v>
      </c>
      <c r="D2554" s="2" t="str">
        <f t="shared" si="38"/>
        <v>Error?</v>
      </c>
    </row>
    <row r="2555" spans="1:4" x14ac:dyDescent="0.2">
      <c r="A2555" s="5">
        <v>2494</v>
      </c>
      <c r="B2555" s="138">
        <f>'Acct Summary 7-8'!C8</f>
        <v>7938373</v>
      </c>
      <c r="C2555" s="2" t="s">
        <v>594</v>
      </c>
      <c r="D2555" s="2" t="str">
        <f t="shared" si="38"/>
        <v>Error?</v>
      </c>
    </row>
    <row r="2556" spans="1:4" x14ac:dyDescent="0.2">
      <c r="A2556" s="5">
        <v>2495</v>
      </c>
      <c r="B2556" s="138">
        <f>'Acct Summary 7-8'!C12</f>
        <v>4926086</v>
      </c>
      <c r="C2556" s="2" t="s">
        <v>594</v>
      </c>
      <c r="D2556" s="2" t="str">
        <f t="shared" si="38"/>
        <v>Error?</v>
      </c>
    </row>
    <row r="2557" spans="1:4" x14ac:dyDescent="0.2">
      <c r="A2557" s="5">
        <v>2496</v>
      </c>
      <c r="B2557" s="138">
        <f>'Acct Summary 7-8'!C13</f>
        <v>2398627</v>
      </c>
      <c r="C2557" s="2" t="s">
        <v>594</v>
      </c>
      <c r="D2557" s="2" t="str">
        <f t="shared" si="38"/>
        <v>Error?</v>
      </c>
    </row>
    <row r="2558" spans="1:4" x14ac:dyDescent="0.2">
      <c r="A2558" s="5">
        <v>2497</v>
      </c>
      <c r="B2558" s="138">
        <f>'Acct Summary 7-8'!C14</f>
        <v>198423</v>
      </c>
      <c r="C2558" s="2" t="s">
        <v>594</v>
      </c>
      <c r="D2558" s="2" t="str">
        <f t="shared" si="38"/>
        <v>Error?</v>
      </c>
    </row>
    <row r="2559" spans="1:4" x14ac:dyDescent="0.2">
      <c r="A2559" s="5">
        <v>2498</v>
      </c>
      <c r="B2559" s="138">
        <f>'Acct Summary 7-8'!C15</f>
        <v>270758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7793894</v>
      </c>
      <c r="C2561" s="2" t="s">
        <v>594</v>
      </c>
      <c r="D2561" s="2" t="str">
        <f t="shared" si="39"/>
        <v>Error?</v>
      </c>
    </row>
    <row r="2562" spans="1:4" x14ac:dyDescent="0.2">
      <c r="A2562" s="5">
        <v>2501</v>
      </c>
      <c r="B2562" s="138">
        <f>'Acct Summary 7-8'!C20</f>
        <v>144479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545545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52557</v>
      </c>
      <c r="C2567" s="2" t="s">
        <v>594</v>
      </c>
      <c r="D2567" s="2" t="str">
        <f t="shared" si="39"/>
        <v>Error?</v>
      </c>
    </row>
    <row r="2568" spans="1:4" x14ac:dyDescent="0.2">
      <c r="A2568" s="5">
        <v>2507</v>
      </c>
      <c r="B2568" s="138">
        <f>'Acct Summary 7-8'!D8</f>
        <v>598102</v>
      </c>
      <c r="C2568" s="2" t="s">
        <v>594</v>
      </c>
      <c r="D2568" s="2" t="str">
        <f t="shared" si="39"/>
        <v>Error?</v>
      </c>
    </row>
    <row r="2569" spans="1:4" x14ac:dyDescent="0.2">
      <c r="A2569" s="5">
        <v>2508</v>
      </c>
      <c r="B2569" s="138">
        <f>'Acct Summary 7-8'!D13</f>
        <v>611340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611340</v>
      </c>
      <c r="C2573" s="2" t="s">
        <v>594</v>
      </c>
      <c r="D2573" s="2" t="str">
        <f t="shared" si="39"/>
        <v>Error?</v>
      </c>
    </row>
    <row r="2574" spans="1:4" x14ac:dyDescent="0.2">
      <c r="A2574" s="5">
        <v>2513</v>
      </c>
      <c r="B2574" s="138">
        <f>'Acct Summary 7-8'!D20</f>
        <v>-13238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65941</v>
      </c>
      <c r="C2591" s="2" t="s">
        <v>594</v>
      </c>
      <c r="D2591" s="2" t="str">
        <f t="shared" si="39"/>
        <v>Error?</v>
      </c>
    </row>
    <row r="2592" spans="1:4" x14ac:dyDescent="0.2">
      <c r="A2592" s="10">
        <v>2531</v>
      </c>
      <c r="D2592" s="2" t="str">
        <f t="shared" si="39"/>
        <v>OK</v>
      </c>
    </row>
    <row r="2593" spans="1:4" x14ac:dyDescent="0.2">
      <c r="A2593" s="5">
        <v>2532</v>
      </c>
      <c r="B2593" s="138">
        <f>'Acct Summary 7-8'!F6</f>
        <v>249610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315551</v>
      </c>
      <c r="C2595" s="2" t="s">
        <v>594</v>
      </c>
      <c r="D2595" s="2" t="str">
        <f t="shared" si="39"/>
        <v>Error?</v>
      </c>
    </row>
    <row r="2596" spans="1:4" x14ac:dyDescent="0.2">
      <c r="A2596" s="5">
        <v>2535</v>
      </c>
      <c r="B2596" s="138">
        <f>'Acct Summary 7-8'!F13</f>
        <v>253385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253385</v>
      </c>
      <c r="C2600" s="2" t="s">
        <v>594</v>
      </c>
      <c r="D2600" s="2" t="str">
        <f t="shared" si="39"/>
        <v>Error?</v>
      </c>
    </row>
    <row r="2601" spans="1:4" x14ac:dyDescent="0.2">
      <c r="A2601" s="5">
        <v>2540</v>
      </c>
      <c r="B2601" s="138">
        <f>'Acct Summary 7-8'!F20</f>
        <v>62166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251530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251530</v>
      </c>
      <c r="C2606" s="2" t="s">
        <v>594</v>
      </c>
      <c r="D2606" s="2" t="str">
        <f t="shared" si="39"/>
        <v>Error?</v>
      </c>
    </row>
    <row r="2607" spans="1:4" x14ac:dyDescent="0.2">
      <c r="A2607" s="5">
        <v>2546</v>
      </c>
      <c r="B2607" s="138">
        <f>'Acct Summary 7-8'!G12</f>
        <v>93176</v>
      </c>
      <c r="C2607" s="2" t="s">
        <v>594</v>
      </c>
      <c r="D2607" s="2" t="str">
        <f t="shared" si="39"/>
        <v>Error?</v>
      </c>
    </row>
    <row r="2608" spans="1:4" x14ac:dyDescent="0.2">
      <c r="A2608" s="5">
        <v>2547</v>
      </c>
      <c r="B2608" s="138">
        <f>'Acct Summary 7-8'!G13</f>
        <v>221173</v>
      </c>
      <c r="C2608" s="2" t="s">
        <v>594</v>
      </c>
      <c r="D2608" s="2" t="str">
        <f t="shared" si="39"/>
        <v>Error?</v>
      </c>
    </row>
    <row r="2609" spans="1:4" x14ac:dyDescent="0.2">
      <c r="A2609" s="5">
        <v>2548</v>
      </c>
      <c r="B2609" s="138">
        <f>'Acct Summary 7-8'!G14</f>
        <v>26037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340386</v>
      </c>
      <c r="C2612" s="2" t="s">
        <v>594</v>
      </c>
      <c r="D2612" s="2" t="str">
        <f t="shared" si="39"/>
        <v>Error?</v>
      </c>
    </row>
    <row r="2613" spans="1:4" x14ac:dyDescent="0.2">
      <c r="A2613" s="5">
        <v>2552</v>
      </c>
      <c r="B2613" s="138">
        <f>'Acct Summary 7-8'!G20</f>
        <v>-88856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540675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540675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610106</v>
      </c>
      <c r="C2634" s="2" t="s">
        <v>594</v>
      </c>
      <c r="D2634" s="2" t="str">
        <f t="shared" si="40"/>
        <v>Error?</v>
      </c>
    </row>
    <row r="2635" spans="1:4" x14ac:dyDescent="0.2">
      <c r="A2635" s="5">
        <v>2574</v>
      </c>
      <c r="B2635" s="138">
        <f>'Acct Summary 7-8'!E17</f>
        <v>610106</v>
      </c>
      <c r="C2635" s="2" t="s">
        <v>594</v>
      </c>
      <c r="D2635" s="2" t="str">
        <f t="shared" si="40"/>
        <v>Error?</v>
      </c>
    </row>
    <row r="2636" spans="1:4" x14ac:dyDescent="0.2">
      <c r="A2636" s="5">
        <v>2575</v>
      </c>
      <c r="B2636" s="138">
        <f>'Acct Summary 7-8'!E20</f>
        <v>-69431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165040</v>
      </c>
      <c r="D2718" s="2" t="str">
        <f t="shared" si="41"/>
        <v>Error?</v>
      </c>
    </row>
    <row r="2719" spans="1:4" x14ac:dyDescent="0.2">
      <c r="A2719" s="5">
        <v>2658</v>
      </c>
      <c r="B2719" s="138">
        <f>'Expenditures 15-22'!D51</f>
        <v>33716</v>
      </c>
      <c r="D2719" s="2" t="str">
        <f t="shared" si="41"/>
        <v>Error?</v>
      </c>
    </row>
    <row r="2720" spans="1:4" x14ac:dyDescent="0.2">
      <c r="A2720" s="5">
        <v>2659</v>
      </c>
      <c r="B2720" s="138">
        <f>'Expenditures 15-22'!E51</f>
        <v>7820</v>
      </c>
      <c r="D2720" s="2" t="str">
        <f t="shared" si="41"/>
        <v>Error?</v>
      </c>
    </row>
    <row r="2721" spans="1:4" x14ac:dyDescent="0.2">
      <c r="A2721" s="5">
        <v>2660</v>
      </c>
      <c r="B2721" s="138">
        <f>'Expenditures 15-22'!F51</f>
        <v>5869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212445</v>
      </c>
      <c r="C2724" s="2" t="s">
        <v>594</v>
      </c>
      <c r="D2724" s="2" t="str">
        <f t="shared" si="41"/>
        <v>Error?</v>
      </c>
    </row>
    <row r="2725" spans="1:4" x14ac:dyDescent="0.2">
      <c r="A2725" s="5">
        <v>2664</v>
      </c>
      <c r="B2725" s="138">
        <f>'Expenditures 15-22'!D247</f>
        <v>18637</v>
      </c>
      <c r="D2725" s="2" t="str">
        <f t="shared" si="41"/>
        <v>Error?</v>
      </c>
    </row>
    <row r="2726" spans="1:4" x14ac:dyDescent="0.2">
      <c r="A2726" s="5">
        <v>2665</v>
      </c>
      <c r="B2726" s="138">
        <f>'Expenditures 15-22'!K247</f>
        <v>18637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26882</v>
      </c>
      <c r="C2789" s="2" t="s">
        <v>594</v>
      </c>
      <c r="D2789" s="2" t="str">
        <f t="shared" si="42"/>
        <v>Error?</v>
      </c>
    </row>
    <row r="2790" spans="1:4" x14ac:dyDescent="0.2">
      <c r="A2790" s="5">
        <v>2729</v>
      </c>
      <c r="B2790" s="138">
        <f>'Expenditures 15-22'!E102</f>
        <v>26882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1394660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36686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1394660</v>
      </c>
      <c r="D2912" s="2" t="str">
        <f t="shared" si="44"/>
        <v>Error?</v>
      </c>
    </row>
    <row r="2913" spans="1:4" x14ac:dyDescent="0.2">
      <c r="A2913" s="5">
        <v>2852</v>
      </c>
      <c r="B2913" s="138">
        <f>'Assets-Liab 5-6'!I41</f>
        <v>1394660</v>
      </c>
      <c r="C2913" s="2" t="s">
        <v>594</v>
      </c>
      <c r="D2913" s="2" t="str">
        <f t="shared" si="44"/>
        <v>Error?</v>
      </c>
    </row>
    <row r="2914" spans="1:4" x14ac:dyDescent="0.2">
      <c r="A2914" s="5">
        <v>2853</v>
      </c>
      <c r="B2914" s="138">
        <f>'Assets-Liab 5-6'!L33</f>
        <v>36686</v>
      </c>
      <c r="D2914" s="2" t="str">
        <f t="shared" si="44"/>
        <v>Error?</v>
      </c>
    </row>
    <row r="2915" spans="1:4" x14ac:dyDescent="0.2">
      <c r="A2915" s="10">
        <v>2854</v>
      </c>
      <c r="D2915" s="2" t="str">
        <f t="shared" si="44"/>
        <v>OK</v>
      </c>
    </row>
    <row r="2916" spans="1:4" x14ac:dyDescent="0.2">
      <c r="A2916" s="5">
        <v>2855</v>
      </c>
      <c r="B2916" s="138">
        <f>'Assets-Liab 5-6'!L34</f>
        <v>36686</v>
      </c>
      <c r="C2916" s="2" t="s">
        <v>594</v>
      </c>
      <c r="D2916" s="2" t="str">
        <f t="shared" si="44"/>
        <v>Error?</v>
      </c>
    </row>
    <row r="2917" spans="1:4" x14ac:dyDescent="0.2">
      <c r="A2917" s="5">
        <v>2856</v>
      </c>
      <c r="B2917" s="138">
        <f>'Assets-Liab 5-6'!L41</f>
        <v>36686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26882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243876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270758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94423</v>
      </c>
      <c r="D3055" s="2" t="str">
        <f t="shared" si="46"/>
        <v>Error?</v>
      </c>
    </row>
    <row r="3056" spans="1:4" x14ac:dyDescent="0.2">
      <c r="A3056" s="5">
        <v>2995</v>
      </c>
      <c r="B3056" s="138">
        <f>'Expenditures 15-22'!D10</f>
        <v>3145</v>
      </c>
      <c r="D3056" s="2" t="str">
        <f t="shared" si="46"/>
        <v>Error?</v>
      </c>
    </row>
    <row r="3057" spans="1:4" x14ac:dyDescent="0.2">
      <c r="A3057" s="5">
        <v>2996</v>
      </c>
      <c r="B3057" s="138">
        <f>'Expenditures 15-22'!E10</f>
        <v>204837</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302405</v>
      </c>
      <c r="C3062" s="2" t="s">
        <v>594</v>
      </c>
      <c r="D3062" s="2" t="str">
        <f t="shared" si="46"/>
        <v>Error?</v>
      </c>
    </row>
    <row r="3063" spans="1:4" x14ac:dyDescent="0.2">
      <c r="A3063" s="10">
        <v>3002</v>
      </c>
      <c r="D3063" s="2" t="str">
        <f t="shared" si="46"/>
        <v>OK</v>
      </c>
    </row>
    <row r="3064" spans="1:4" x14ac:dyDescent="0.2">
      <c r="A3064" s="5">
        <v>3003</v>
      </c>
      <c r="B3064" s="138">
        <f>'Expenditures 15-22'!D219</f>
        <v>16658</v>
      </c>
      <c r="D3064" s="2" t="str">
        <f t="shared" si="46"/>
        <v>Error?</v>
      </c>
    </row>
    <row r="3065" spans="1:4" x14ac:dyDescent="0.2">
      <c r="A3065" s="5">
        <v>3004</v>
      </c>
      <c r="B3065" s="138">
        <f>'Expenditures 15-22'!K219</f>
        <v>16658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37987</v>
      </c>
      <c r="C3225" s="2" t="s">
        <v>594</v>
      </c>
      <c r="D3225" s="2" t="str">
        <f t="shared" si="49"/>
        <v>Error?</v>
      </c>
    </row>
    <row r="3226" spans="1:4" x14ac:dyDescent="0.2">
      <c r="A3226" s="5">
        <v>3165</v>
      </c>
      <c r="B3226" s="138">
        <f>'Acct Summary 7-8'!I8</f>
        <v>37987</v>
      </c>
      <c r="C3226" s="2" t="s">
        <v>594</v>
      </c>
      <c r="D3226" s="2" t="str">
        <f t="shared" si="49"/>
        <v>Error?</v>
      </c>
    </row>
    <row r="3227" spans="1:4" x14ac:dyDescent="0.2">
      <c r="A3227" s="5">
        <v>3166</v>
      </c>
      <c r="B3227" s="138">
        <f>'Acct Summary 7-8'!I20</f>
        <v>37987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119733</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23035</v>
      </c>
      <c r="C3231" s="2" t="s">
        <v>594</v>
      </c>
      <c r="D3231" s="2" t="str">
        <f t="shared" si="49"/>
        <v>Error?</v>
      </c>
    </row>
    <row r="3232" spans="1:4" x14ac:dyDescent="0.2">
      <c r="A3232" s="5">
        <v>3171</v>
      </c>
      <c r="B3232" s="138">
        <f>'Acct Summary 7-8'!C77</f>
        <v>96698</v>
      </c>
      <c r="C3232" s="2" t="s">
        <v>594</v>
      </c>
      <c r="D3232" s="2" t="str">
        <f t="shared" si="49"/>
        <v>Error?</v>
      </c>
    </row>
    <row r="3233" spans="1:4" x14ac:dyDescent="0.2">
      <c r="A3233" s="5">
        <v>3172</v>
      </c>
      <c r="B3233" s="138">
        <f>'Acct Summary 7-8'!C78</f>
        <v>241177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-13238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62166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-88856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23035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23035</v>
      </c>
      <c r="C3277" s="2" t="s">
        <v>594</v>
      </c>
      <c r="D3277" s="2" t="str">
        <f t="shared" si="50"/>
        <v>Error?</v>
      </c>
    </row>
    <row r="3278" spans="1:4" x14ac:dyDescent="0.2">
      <c r="A3278" s="5">
        <v>3217</v>
      </c>
      <c r="B3278" s="138">
        <f>'Acct Summary 7-8'!E78</f>
        <v>-46396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11026</v>
      </c>
      <c r="C3318" s="2" t="s">
        <v>594</v>
      </c>
      <c r="D3318" s="2" t="str">
        <f t="shared" si="50"/>
        <v>Error?</v>
      </c>
    </row>
    <row r="3319" spans="1:4" x14ac:dyDescent="0.2">
      <c r="A3319" s="5">
        <v>3258</v>
      </c>
      <c r="B3319" s="138">
        <f>'Acct Summary 7-8'!I77</f>
        <v>-11026</v>
      </c>
      <c r="C3319" s="2" t="s">
        <v>594</v>
      </c>
      <c r="D3319" s="2" t="str">
        <f t="shared" si="50"/>
        <v>Error?</v>
      </c>
    </row>
    <row r="3320" spans="1:4" x14ac:dyDescent="0.2">
      <c r="A3320" s="5">
        <v>3259</v>
      </c>
      <c r="B3320" s="138">
        <f>'Acct Summary 7-8'!I78</f>
        <v>26961</v>
      </c>
      <c r="C3320" s="2" t="s">
        <v>594</v>
      </c>
      <c r="D3320" s="2" t="str">
        <f t="shared" si="50"/>
        <v>Error?</v>
      </c>
    </row>
    <row r="3321" spans="1:4" x14ac:dyDescent="0.2">
      <c r="A3321" s="5">
        <v>3260</v>
      </c>
      <c r="B3321" s="138">
        <f>'Acct Summary 7-8'!I79</f>
        <v>1367699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1394660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829774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202729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1038268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25626</v>
      </c>
      <c r="D3387" s="2" t="str">
        <f t="shared" si="51"/>
        <v>Error?</v>
      </c>
    </row>
    <row r="3388" spans="1:4" x14ac:dyDescent="0.2">
      <c r="A3388" s="5">
        <v>3327</v>
      </c>
      <c r="B3388" s="138">
        <f>'Expenditures 15-22'!D217</f>
        <v>21697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25626</v>
      </c>
      <c r="C3390" s="2" t="s">
        <v>594</v>
      </c>
      <c r="D3390" s="2" t="str">
        <f t="shared" si="51"/>
        <v>Error?</v>
      </c>
    </row>
    <row r="3391" spans="1:4" x14ac:dyDescent="0.2">
      <c r="A3391" s="5">
        <v>3330</v>
      </c>
      <c r="B3391" s="138">
        <f>'Expenditures 15-22'!K217</f>
        <v>21697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560685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157636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v>
      </c>
      <c r="D3417" s="2" t="str">
        <f t="shared" si="52"/>
        <v>Error?</v>
      </c>
    </row>
    <row r="3418" spans="1:4" x14ac:dyDescent="0.2">
      <c r="A3418" s="10">
        <v>3357</v>
      </c>
      <c r="D3418" s="2" t="str">
        <f t="shared" si="52"/>
        <v>OK</v>
      </c>
    </row>
    <row r="3419" spans="1:4" x14ac:dyDescent="0.2">
      <c r="A3419" s="5">
        <v>3358</v>
      </c>
      <c r="B3419" s="138">
        <f>'Assets-Liab 5-6'!F4</f>
        <v>44577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54091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888</v>
      </c>
      <c r="D3425" s="2" t="str">
        <f t="shared" si="52"/>
        <v>Error?</v>
      </c>
    </row>
    <row r="3426" spans="1:4" x14ac:dyDescent="0.2">
      <c r="A3426" s="10">
        <v>3365</v>
      </c>
      <c r="D3426" s="2" t="str">
        <f t="shared" si="52"/>
        <v>OK</v>
      </c>
    </row>
    <row r="3427" spans="1:4" x14ac:dyDescent="0.2">
      <c r="A3427" s="5">
        <v>3366</v>
      </c>
      <c r="B3427" s="138">
        <f>'Assets-Liab 5-6'!I4</f>
        <v>1107960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36686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95683</v>
      </c>
      <c r="C3446" s="2" t="s">
        <v>594</v>
      </c>
      <c r="D3446" s="2" t="str">
        <f t="shared" si="52"/>
        <v>Error?</v>
      </c>
    </row>
    <row r="3447" spans="1:4" x14ac:dyDescent="0.2">
      <c r="A3447" s="5">
        <v>3386</v>
      </c>
      <c r="B3447" s="138">
        <f>'Tax Sched 23'!D16</f>
        <v>90027</v>
      </c>
      <c r="C3447" s="2" t="s">
        <v>594</v>
      </c>
      <c r="D3447" s="2" t="str">
        <f t="shared" si="52"/>
        <v>Error?</v>
      </c>
    </row>
    <row r="3448" spans="1:4" x14ac:dyDescent="0.2">
      <c r="A3448" s="5">
        <v>3387</v>
      </c>
      <c r="B3448" s="138">
        <f>'Tax Sched 23'!C16</f>
        <v>5656</v>
      </c>
      <c r="D3448" s="2" t="str">
        <f t="shared" si="52"/>
        <v>Error?</v>
      </c>
    </row>
    <row r="3449" spans="1:4" x14ac:dyDescent="0.2">
      <c r="A3449" s="5">
        <v>3388</v>
      </c>
      <c r="B3449" s="138">
        <f>'Tax Sched 23'!F16</f>
        <v>162004</v>
      </c>
      <c r="C3449" s="2" t="s">
        <v>594</v>
      </c>
      <c r="D3449" s="2" t="str">
        <f t="shared" si="52"/>
        <v>Error?</v>
      </c>
    </row>
    <row r="3450" spans="1:4" x14ac:dyDescent="0.2">
      <c r="A3450" s="5">
        <v>3389</v>
      </c>
      <c r="B3450" s="138">
        <f>'Tax Sched 23'!E16</f>
        <v>167660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220500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-220488</v>
      </c>
      <c r="D3567" s="2" t="str">
        <f t="shared" si="54"/>
        <v>Error?</v>
      </c>
    </row>
    <row r="3568" spans="1:4" x14ac:dyDescent="0.2">
      <c r="A3568" s="5">
        <v>3507</v>
      </c>
      <c r="B3568" s="138">
        <f>'Assets-Liab 5-6'!K41</f>
        <v>12</v>
      </c>
      <c r="C3568" s="2" t="s">
        <v>594</v>
      </c>
      <c r="D3568" s="2" t="str">
        <f t="shared" si="54"/>
        <v>Error?</v>
      </c>
    </row>
    <row r="3569" spans="1:4" x14ac:dyDescent="0.2">
      <c r="A3569" s="5">
        <v>3508</v>
      </c>
      <c r="B3569" s="138">
        <f>'Acct Summary 7-8'!K4</f>
        <v>25977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25977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25977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25977</v>
      </c>
      <c r="C3588" s="2" t="s">
        <v>594</v>
      </c>
      <c r="D3588" s="2" t="str">
        <f t="shared" si="55"/>
        <v>Error?</v>
      </c>
    </row>
    <row r="3589" spans="1:4" x14ac:dyDescent="0.2">
      <c r="A3589" s="5">
        <v>3528</v>
      </c>
      <c r="B3589" s="138">
        <f>'Acct Summary 7-8'!K79</f>
        <v>-246465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-220488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25977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26957</v>
      </c>
      <c r="C3725" s="2" t="s">
        <v>594</v>
      </c>
      <c r="D3725" s="2" t="str">
        <f t="shared" si="57"/>
        <v>Error?</v>
      </c>
    </row>
    <row r="3726" spans="1:4" x14ac:dyDescent="0.2">
      <c r="A3726" s="5">
        <v>3665</v>
      </c>
      <c r="B3726" s="138">
        <f>'Tax Sched 23'!D13</f>
        <v>25973</v>
      </c>
      <c r="C3726" s="2" t="s">
        <v>594</v>
      </c>
      <c r="D3726" s="2" t="str">
        <f t="shared" si="57"/>
        <v>Error?</v>
      </c>
    </row>
    <row r="3727" spans="1:4" x14ac:dyDescent="0.2">
      <c r="A3727" s="5">
        <v>3666</v>
      </c>
      <c r="B3727" s="138">
        <f>'Tax Sched 23'!C13</f>
        <v>984</v>
      </c>
      <c r="D3727" s="2" t="str">
        <f t="shared" si="57"/>
        <v>Error?</v>
      </c>
    </row>
    <row r="3728" spans="1:4" x14ac:dyDescent="0.2">
      <c r="A3728" s="5">
        <v>3667</v>
      </c>
      <c r="B3728" s="138">
        <f>'Tax Sched 23'!F13</f>
        <v>28172</v>
      </c>
      <c r="C3728" s="2" t="s">
        <v>594</v>
      </c>
      <c r="D3728" s="2" t="str">
        <f t="shared" si="57"/>
        <v>Error?</v>
      </c>
    </row>
    <row r="3729" spans="1:4" x14ac:dyDescent="0.2">
      <c r="A3729" s="5">
        <v>3668</v>
      </c>
      <c r="B3729" s="138">
        <f>'Tax Sched 23'!E13</f>
        <v>29156</v>
      </c>
      <c r="D3729" s="2" t="str">
        <f t="shared" si="57"/>
        <v>Error?</v>
      </c>
    </row>
    <row r="3730" spans="1:4" x14ac:dyDescent="0.2">
      <c r="A3730" s="5">
        <v>3669</v>
      </c>
      <c r="B3730" s="138">
        <f>'ICR Computation 30'!E10</f>
        <v>318359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3524886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11463259</v>
      </c>
      <c r="C4122" s="2" t="s">
        <v>594</v>
      </c>
      <c r="D4122" s="2" t="str">
        <f t="shared" si="63"/>
        <v>Error?</v>
      </c>
    </row>
    <row r="4123" spans="1:4" x14ac:dyDescent="0.2">
      <c r="A4123" s="5">
        <v>4062</v>
      </c>
      <c r="B4123" s="138">
        <f>'Acct Summary 7-8'!D10</f>
        <v>598102</v>
      </c>
      <c r="C4123" s="2" t="s">
        <v>594</v>
      </c>
      <c r="D4123" s="2" t="str">
        <f t="shared" si="63"/>
        <v>Error?</v>
      </c>
    </row>
    <row r="4124" spans="1:4" x14ac:dyDescent="0.2">
      <c r="A4124" s="5">
        <v>4063</v>
      </c>
      <c r="B4124" s="138">
        <f>'Acct Summary 7-8'!E10</f>
        <v>540675</v>
      </c>
      <c r="C4124" s="2" t="s">
        <v>594</v>
      </c>
      <c r="D4124" s="2" t="str">
        <f t="shared" si="63"/>
        <v>Error?</v>
      </c>
    </row>
    <row r="4125" spans="1:4" x14ac:dyDescent="0.2">
      <c r="A4125" s="5">
        <v>4064</v>
      </c>
      <c r="B4125" s="138">
        <f>'Acct Summary 7-8'!F10</f>
        <v>315551</v>
      </c>
      <c r="C4125" s="2" t="s">
        <v>594</v>
      </c>
      <c r="D4125" s="2" t="str">
        <f t="shared" si="63"/>
        <v>Error?</v>
      </c>
    </row>
    <row r="4126" spans="1:4" x14ac:dyDescent="0.2">
      <c r="A4126" s="5">
        <v>4065</v>
      </c>
      <c r="B4126" s="138">
        <f>'Acct Summary 7-8'!G10</f>
        <v>251530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37987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25977</v>
      </c>
      <c r="C4130" s="2" t="s">
        <v>594</v>
      </c>
      <c r="D4130" s="2" t="str">
        <f t="shared" si="63"/>
        <v>Error?</v>
      </c>
    </row>
    <row r="4131" spans="1:4" x14ac:dyDescent="0.2">
      <c r="A4131" s="5">
        <v>4070</v>
      </c>
      <c r="B4131" s="138">
        <f>'Acct Summary 7-8'!C18</f>
        <v>3524886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11318780</v>
      </c>
      <c r="C4136" s="2" t="s">
        <v>594</v>
      </c>
      <c r="D4136" s="2" t="str">
        <f t="shared" si="63"/>
        <v>Error?</v>
      </c>
    </row>
    <row r="4137" spans="1:4" x14ac:dyDescent="0.2">
      <c r="A4137" s="5">
        <v>4076</v>
      </c>
      <c r="B4137" s="138">
        <f>'Acct Summary 7-8'!D19</f>
        <v>611340</v>
      </c>
      <c r="C4137" s="2" t="s">
        <v>594</v>
      </c>
      <c r="D4137" s="2" t="str">
        <f t="shared" si="63"/>
        <v>Error?</v>
      </c>
    </row>
    <row r="4138" spans="1:4" x14ac:dyDescent="0.2">
      <c r="A4138" s="5">
        <v>4077</v>
      </c>
      <c r="B4138" s="138">
        <f>'Acct Summary 7-8'!E19</f>
        <v>610106</v>
      </c>
      <c r="C4138" s="2" t="s">
        <v>594</v>
      </c>
      <c r="D4138" s="2" t="str">
        <f t="shared" si="63"/>
        <v>Error?</v>
      </c>
    </row>
    <row r="4139" spans="1:4" x14ac:dyDescent="0.2">
      <c r="A4139" s="5">
        <v>4078</v>
      </c>
      <c r="B4139" s="138">
        <f>'Acct Summary 7-8'!F19</f>
        <v>253385</v>
      </c>
      <c r="C4139" s="2" t="s">
        <v>594</v>
      </c>
      <c r="D4139" s="2" t="str">
        <f t="shared" si="63"/>
        <v>Error?</v>
      </c>
    </row>
    <row r="4140" spans="1:4" x14ac:dyDescent="0.2">
      <c r="A4140" s="5">
        <v>4079</v>
      </c>
      <c r="B4140" s="138">
        <f>'Acct Summary 7-8'!G19</f>
        <v>340386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4832549</v>
      </c>
      <c r="C4171" s="2" t="s">
        <v>594</v>
      </c>
      <c r="D4171" s="2" t="str">
        <f t="shared" si="64"/>
        <v>Error?</v>
      </c>
    </row>
    <row r="4172" spans="1:4" x14ac:dyDescent="0.2">
      <c r="A4172" s="5">
        <v>4111</v>
      </c>
      <c r="B4172" s="138">
        <f>'Short-Term Long-Term Debt 24'!J49</f>
        <v>4832549</v>
      </c>
      <c r="C4172" s="2" t="s">
        <v>594</v>
      </c>
      <c r="D4172" s="2" t="str">
        <f t="shared" si="64"/>
        <v>Error?</v>
      </c>
    </row>
    <row r="4173" spans="1:4" x14ac:dyDescent="0.2">
      <c r="A4173" s="5">
        <v>4112</v>
      </c>
      <c r="B4173" s="138">
        <f>'Short-Term Long-Term Debt 24'!H49</f>
        <v>537458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-40297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1612.9999999999998</v>
      </c>
      <c r="C4265" s="2" t="s">
        <v>594</v>
      </c>
      <c r="D4265" s="2" t="str">
        <f t="shared" si="65"/>
        <v>Error?</v>
      </c>
      <c r="E4265" s="128"/>
    </row>
    <row r="4266" spans="1:5" x14ac:dyDescent="0.2">
      <c r="A4266" s="12">
        <v>4205</v>
      </c>
      <c r="B4266" s="138">
        <f>('FP Info 3'!F10)*100000</f>
        <v>488.8</v>
      </c>
      <c r="C4266" s="2" t="s">
        <v>594</v>
      </c>
      <c r="D4266" s="2" t="str">
        <f t="shared" si="65"/>
        <v>Error?</v>
      </c>
      <c r="E4266" s="128"/>
    </row>
    <row r="4267" spans="1:5" x14ac:dyDescent="0.2">
      <c r="A4267" s="12">
        <v>4206</v>
      </c>
      <c r="B4267" s="138">
        <f>('FP Info 3'!H10)*100000</f>
        <v>117.39999999999999</v>
      </c>
      <c r="C4267" s="2" t="s">
        <v>594</v>
      </c>
      <c r="D4267" s="2" t="str">
        <f t="shared" si="65"/>
        <v>Error?</v>
      </c>
      <c r="E4267" s="128"/>
    </row>
    <row r="4268" spans="1:5" x14ac:dyDescent="0.2">
      <c r="A4268" s="12">
        <v>4207</v>
      </c>
      <c r="B4268" s="138">
        <f>('FP Info 3'!J10)*100000</f>
        <v>2219</v>
      </c>
      <c r="C4268" s="2" t="s">
        <v>594</v>
      </c>
      <c r="D4268" s="2" t="str">
        <f t="shared" si="65"/>
        <v>Error?</v>
      </c>
    </row>
    <row r="4269" spans="1:5" x14ac:dyDescent="0.2">
      <c r="A4269" s="12">
        <v>4208</v>
      </c>
      <c r="B4269" s="138">
        <f>'FP Info 3'!J16</f>
        <v>2157558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32615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21687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47806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30371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59622983</v>
      </c>
      <c r="D4995" s="2" t="str">
        <f t="shared" si="77"/>
        <v>Error?</v>
      </c>
    </row>
    <row r="4996" spans="1:4" x14ac:dyDescent="0.2">
      <c r="A4996" s="12">
        <v>4935</v>
      </c>
      <c r="B4996" s="138">
        <f>'FP Info 3'!H31</f>
        <v>4113985.8270000005</v>
      </c>
      <c r="D4996" s="2" t="str">
        <f t="shared" si="77"/>
        <v>Error?</v>
      </c>
    </row>
    <row r="4997" spans="1:4" x14ac:dyDescent="0.2">
      <c r="A4997" s="12">
        <v>4936</v>
      </c>
      <c r="B4997" s="138">
        <f>'FP Info 3'!H37</f>
        <v>4832549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26957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888291</v>
      </c>
      <c r="D5061" s="2" t="str">
        <f t="shared" si="78"/>
        <v>Error?</v>
      </c>
    </row>
    <row r="5062" spans="1:4" x14ac:dyDescent="0.2">
      <c r="A5062" s="10">
        <v>5001</v>
      </c>
      <c r="D5062" s="2" t="str">
        <f t="shared" si="78"/>
        <v>OK</v>
      </c>
    </row>
    <row r="5063" spans="1:4" x14ac:dyDescent="0.2">
      <c r="A5063" s="5">
        <v>5002</v>
      </c>
      <c r="B5063" s="138">
        <f>'Revenues 9-14'!C7</f>
        <v>10785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926033</v>
      </c>
      <c r="C5066" s="2" t="s">
        <v>594</v>
      </c>
      <c r="D5066" s="2" t="str">
        <f t="shared" si="78"/>
        <v>Error?</v>
      </c>
    </row>
    <row r="5067" spans="1:4" x14ac:dyDescent="0.2">
      <c r="A5067" s="5">
        <v>5006</v>
      </c>
      <c r="B5067" s="138">
        <f>'Revenues 9-14'!C14</f>
        <v>145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363372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363517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2765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2893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450</v>
      </c>
      <c r="D5094" s="2" t="str">
        <f t="shared" si="78"/>
        <v>Error?</v>
      </c>
    </row>
    <row r="5095" spans="1:4" x14ac:dyDescent="0.2">
      <c r="A5095" s="5">
        <v>5034</v>
      </c>
      <c r="B5095" s="138">
        <f>'Revenues 9-14'!C74</f>
        <v>1377</v>
      </c>
      <c r="D5095" s="2" t="str">
        <f t="shared" si="78"/>
        <v>Error?</v>
      </c>
    </row>
    <row r="5096" spans="1:4" x14ac:dyDescent="0.2">
      <c r="A5096" s="5">
        <v>5035</v>
      </c>
      <c r="B5096" s="138">
        <f>'Revenues 9-14'!C75</f>
        <v>4720</v>
      </c>
      <c r="C5096" s="2" t="s">
        <v>594</v>
      </c>
      <c r="D5096" s="2" t="str">
        <f t="shared" si="78"/>
        <v>Error?</v>
      </c>
    </row>
    <row r="5097" spans="1:4" x14ac:dyDescent="0.2">
      <c r="A5097" s="5">
        <v>5036</v>
      </c>
      <c r="B5097" s="138">
        <f>'Revenues 9-14'!C77</f>
        <v>3485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59336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62821</v>
      </c>
      <c r="C5102" s="2" t="s">
        <v>594</v>
      </c>
      <c r="D5102" s="2" t="str">
        <f t="shared" si="78"/>
        <v>Error?</v>
      </c>
    </row>
    <row r="5103" spans="1:4" x14ac:dyDescent="0.2">
      <c r="A5103" s="5">
        <v>5042</v>
      </c>
      <c r="B5103" s="138">
        <f>'Revenues 9-14'!C84</f>
        <v>29750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29750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1500</v>
      </c>
      <c r="D5114" s="2" t="str">
        <f t="shared" si="78"/>
        <v>Error?</v>
      </c>
    </row>
    <row r="5115" spans="1:4" x14ac:dyDescent="0.2">
      <c r="A5115" s="5">
        <v>5054</v>
      </c>
      <c r="B5115" s="138">
        <f>'Revenues 9-14'!C98</f>
        <v>50335</v>
      </c>
      <c r="D5115" s="2" t="str">
        <f t="shared" si="78"/>
        <v>Error?</v>
      </c>
    </row>
    <row r="5116" spans="1:4" x14ac:dyDescent="0.2">
      <c r="A5116" s="5">
        <v>5055</v>
      </c>
      <c r="B5116" s="138">
        <f>'Revenues 9-14'!C99</f>
        <v>5952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17321</v>
      </c>
      <c r="D5119" s="2" t="str">
        <f t="shared" ref="D5119:D5182" si="79">IF(ISBLANK(B5119),"OK",IF(A5119-B5119=0,"OK","Error?"))</f>
        <v>Error?</v>
      </c>
    </row>
    <row r="5120" spans="1:4" x14ac:dyDescent="0.2">
      <c r="A5120" s="5">
        <v>5059</v>
      </c>
      <c r="B5120" s="138">
        <f>'Revenues 9-14'!C108</f>
        <v>75108</v>
      </c>
      <c r="C5120" s="2" t="s">
        <v>594</v>
      </c>
      <c r="D5120" s="2" t="str">
        <f t="shared" si="79"/>
        <v>Error?</v>
      </c>
    </row>
    <row r="5121" spans="1:4" x14ac:dyDescent="0.2">
      <c r="A5121" s="5">
        <v>5060</v>
      </c>
      <c r="B5121" s="138">
        <f>'Revenues 9-14'!C109</f>
        <v>1464714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3678819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3678819</v>
      </c>
      <c r="C5132" s="2" t="s">
        <v>594</v>
      </c>
      <c r="D5132" s="2" t="str">
        <f t="shared" si="79"/>
        <v>Error?</v>
      </c>
    </row>
    <row r="5133" spans="1:4" x14ac:dyDescent="0.2">
      <c r="A5133" s="5">
        <v>5072</v>
      </c>
      <c r="B5133" s="138">
        <f>'Revenues 9-14'!C124</f>
        <v>89127</v>
      </c>
      <c r="D5133" s="2" t="str">
        <f t="shared" si="79"/>
        <v>Error?</v>
      </c>
    </row>
    <row r="5134" spans="1:4" x14ac:dyDescent="0.2">
      <c r="A5134" s="5">
        <v>5073</v>
      </c>
      <c r="B5134" s="138">
        <f>'Revenues 9-14'!C125</f>
        <v>54711</v>
      </c>
      <c r="D5134" s="2" t="str">
        <f t="shared" si="79"/>
        <v>Error?</v>
      </c>
    </row>
    <row r="5135" spans="1:4" x14ac:dyDescent="0.2">
      <c r="A5135" s="5">
        <v>5074</v>
      </c>
      <c r="B5135" s="138">
        <f>'Revenues 9-14'!C126</f>
        <v>85784</v>
      </c>
      <c r="D5135" s="2" t="str">
        <f t="shared" si="79"/>
        <v>Error?</v>
      </c>
    </row>
    <row r="5136" spans="1:4" x14ac:dyDescent="0.2">
      <c r="A5136" s="10">
        <v>5075</v>
      </c>
      <c r="D5136" s="2" t="str">
        <f t="shared" si="79"/>
        <v>OK</v>
      </c>
    </row>
    <row r="5137" spans="1:4" x14ac:dyDescent="0.2">
      <c r="A5137" s="5">
        <v>5076</v>
      </c>
      <c r="B5137" s="138">
        <f>'Revenues 9-14'!C127</f>
        <v>68354</v>
      </c>
      <c r="D5137" s="2" t="str">
        <f t="shared" si="79"/>
        <v>Error?</v>
      </c>
    </row>
    <row r="5138" spans="1:4" x14ac:dyDescent="0.2">
      <c r="A5138" s="10">
        <v>5077</v>
      </c>
      <c r="D5138" s="2" t="str">
        <f t="shared" si="79"/>
        <v>OK</v>
      </c>
    </row>
    <row r="5139" spans="1:4" x14ac:dyDescent="0.2">
      <c r="A5139" s="5">
        <v>5078</v>
      </c>
      <c r="B5139" s="138">
        <f>'Revenues 9-14'!C128</f>
        <v>2023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299999</v>
      </c>
      <c r="C5147" s="2" t="s">
        <v>594</v>
      </c>
      <c r="D5147" s="2" t="str">
        <f t="shared" si="79"/>
        <v>Error?</v>
      </c>
    </row>
    <row r="5148" spans="1:4" x14ac:dyDescent="0.2">
      <c r="A5148" s="5">
        <v>5087</v>
      </c>
      <c r="B5148" s="138">
        <f>'Revenues 9-14'!C133</f>
        <v>9655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9655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9086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1129640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1478751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5157570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338665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152060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550484</v>
      </c>
      <c r="C5246" s="2" t="s">
        <v>594</v>
      </c>
      <c r="D5246" s="2" t="str">
        <f t="shared" si="80"/>
        <v>Error?</v>
      </c>
    </row>
    <row r="5247" spans="1:4" x14ac:dyDescent="0.2">
      <c r="A5247" s="5">
        <v>5186</v>
      </c>
      <c r="B5247" s="138">
        <f>'Revenues 9-14'!C203</f>
        <v>435179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435179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34615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204224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238839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22094</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1316089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1316089</v>
      </c>
      <c r="C5326" s="2" t="s">
        <v>594</v>
      </c>
      <c r="D5326" s="2" t="str">
        <f t="shared" si="82"/>
        <v>Error?</v>
      </c>
    </row>
    <row r="5327" spans="1:4" x14ac:dyDescent="0.2">
      <c r="A5327" s="5">
        <v>5266</v>
      </c>
      <c r="B5327" s="138">
        <f>'Revenues 9-14'!C275</f>
        <v>7938373</v>
      </c>
      <c r="C5327" s="2" t="s">
        <v>594</v>
      </c>
      <c r="D5327" s="2" t="str">
        <f t="shared" si="82"/>
        <v>Error?</v>
      </c>
    </row>
    <row r="5328" spans="1:4" x14ac:dyDescent="0.2">
      <c r="A5328" s="5">
        <v>5267</v>
      </c>
      <c r="B5328" s="138">
        <f>'Revenues 9-14'!D5</f>
        <v>269210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269210</v>
      </c>
      <c r="C5334" s="2" t="s">
        <v>594</v>
      </c>
      <c r="D5334" s="2" t="str">
        <f t="shared" si="82"/>
        <v>Error?</v>
      </c>
    </row>
    <row r="5335" spans="1:4" x14ac:dyDescent="0.2">
      <c r="A5335" s="5">
        <v>5274</v>
      </c>
      <c r="B5335" s="138">
        <f>'Revenues 9-14'!D14</f>
        <v>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254886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254928</v>
      </c>
      <c r="C5339" s="2" t="s">
        <v>594</v>
      </c>
      <c r="D5339" s="2" t="str">
        <f t="shared" si="82"/>
        <v>Error?</v>
      </c>
    </row>
    <row r="5340" spans="1:4" x14ac:dyDescent="0.2">
      <c r="A5340" s="5">
        <v>5279</v>
      </c>
      <c r="B5340" s="138">
        <f>'Revenues 9-14'!D65</f>
        <v>1711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1711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19666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v>
      </c>
      <c r="D5354" s="2" t="str">
        <f t="shared" si="82"/>
        <v>Error?</v>
      </c>
    </row>
    <row r="5355" spans="1:4" x14ac:dyDescent="0.2">
      <c r="A5355" s="5">
        <v>5294</v>
      </c>
      <c r="B5355" s="138">
        <f>'Revenues 9-14'!D108</f>
        <v>19696</v>
      </c>
      <c r="C5355" s="2" t="s">
        <v>594</v>
      </c>
      <c r="D5355" s="2" t="str">
        <f t="shared" si="82"/>
        <v>Error?</v>
      </c>
    </row>
    <row r="5356" spans="1:4" x14ac:dyDescent="0.2">
      <c r="A5356" s="5">
        <v>5295</v>
      </c>
      <c r="B5356" s="138">
        <f>'Revenues 9-14'!D109</f>
        <v>545545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52557</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52557</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52557</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52557</v>
      </c>
      <c r="C5507" s="2" t="s">
        <v>594</v>
      </c>
      <c r="D5507" s="2" t="str">
        <f t="shared" si="85"/>
        <v>Error?</v>
      </c>
    </row>
    <row r="5508" spans="1:4" x14ac:dyDescent="0.2">
      <c r="A5508" s="5">
        <v>5447</v>
      </c>
      <c r="B5508" s="138">
        <f>'Revenues 9-14'!D275</f>
        <v>598102</v>
      </c>
      <c r="C5508" s="2" t="s">
        <v>594</v>
      </c>
      <c r="D5508" s="2" t="str">
        <f t="shared" si="85"/>
        <v>Error?</v>
      </c>
    </row>
    <row r="5509" spans="1:4" x14ac:dyDescent="0.2">
      <c r="A5509" s="5">
        <v>5448</v>
      </c>
      <c r="B5509" s="138">
        <f>'Revenues 9-14'!E5</f>
        <v>540022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540022</v>
      </c>
      <c r="C5513" s="2" t="s">
        <v>594</v>
      </c>
      <c r="D5513" s="2" t="str">
        <f t="shared" si="85"/>
        <v>Error?</v>
      </c>
    </row>
    <row r="5514" spans="1:4" x14ac:dyDescent="0.2">
      <c r="A5514" s="5">
        <v>5453</v>
      </c>
      <c r="B5514" s="138">
        <f>'Revenues 9-14'!E14</f>
        <v>85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85</v>
      </c>
      <c r="C5518" s="2" t="s">
        <v>594</v>
      </c>
      <c r="D5518" s="2" t="str">
        <f t="shared" si="85"/>
        <v>Error?</v>
      </c>
    </row>
    <row r="5519" spans="1:4" x14ac:dyDescent="0.2">
      <c r="A5519" s="5">
        <v>5458</v>
      </c>
      <c r="B5519" s="138">
        <f>'Revenues 9-14'!E65</f>
        <v>568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568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540675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540675</v>
      </c>
      <c r="C5552" s="2" t="s">
        <v>594</v>
      </c>
      <c r="D5552" s="2" t="str">
        <f t="shared" si="85"/>
        <v>Error?</v>
      </c>
    </row>
    <row r="5553" spans="1:4" x14ac:dyDescent="0.2">
      <c r="A5553" s="5">
        <v>5492</v>
      </c>
      <c r="B5553" s="138">
        <f>'Revenues 9-14'!F5</f>
        <v>64646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64646</v>
      </c>
      <c r="C5557" s="2" t="s">
        <v>594</v>
      </c>
      <c r="D5557" s="2" t="str">
        <f t="shared" si="85"/>
        <v>Error?</v>
      </c>
    </row>
    <row r="5558" spans="1:4" x14ac:dyDescent="0.2">
      <c r="A5558" s="5">
        <v>5497</v>
      </c>
      <c r="B5558" s="138">
        <f>'Revenues 9-14'!F14</f>
        <v>10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1095</v>
      </c>
      <c r="D5586" s="2" t="str">
        <f t="shared" si="86"/>
        <v>Error?</v>
      </c>
    </row>
    <row r="5587" spans="1:4" x14ac:dyDescent="0.2">
      <c r="A5587" s="5">
        <v>5526</v>
      </c>
      <c r="B5587" s="138">
        <f>'Revenues 9-14'!F108</f>
        <v>1095</v>
      </c>
      <c r="C5587" s="2" t="s">
        <v>594</v>
      </c>
      <c r="D5587" s="2" t="str">
        <f t="shared" si="86"/>
        <v>Error?</v>
      </c>
    </row>
    <row r="5588" spans="1:4" x14ac:dyDescent="0.2">
      <c r="A5588" s="5">
        <v>5527</v>
      </c>
      <c r="B5588" s="138">
        <f>'Revenues 9-14'!F109</f>
        <v>65941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2087</v>
      </c>
      <c r="D5615" s="2" t="str">
        <f t="shared" si="86"/>
        <v>Error?</v>
      </c>
    </row>
    <row r="5616" spans="1:4" x14ac:dyDescent="0.2">
      <c r="A5616" s="10">
        <v>5555</v>
      </c>
      <c r="D5616" s="2" t="str">
        <f t="shared" si="86"/>
        <v>OK</v>
      </c>
    </row>
    <row r="5617" spans="1:4" x14ac:dyDescent="0.2">
      <c r="A5617" s="5">
        <v>5556</v>
      </c>
      <c r="B5617" s="138">
        <f>'Revenues 9-14'!F152</f>
        <v>247523</v>
      </c>
      <c r="D5617" s="2" t="str">
        <f t="shared" si="86"/>
        <v>Error?</v>
      </c>
    </row>
    <row r="5618" spans="1:4" x14ac:dyDescent="0.2">
      <c r="A5618" s="5">
        <v>5557</v>
      </c>
      <c r="B5618" s="138">
        <f>'Revenues 9-14'!F154</f>
        <v>249610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249610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249610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315551</v>
      </c>
      <c r="C5720" s="2" t="s">
        <v>594</v>
      </c>
      <c r="D5720" s="2" t="str">
        <f t="shared" si="88"/>
        <v>Error?</v>
      </c>
    </row>
    <row r="5721" spans="1:4" x14ac:dyDescent="0.2">
      <c r="A5721" s="5">
        <v>5660</v>
      </c>
      <c r="B5721" s="138">
        <f>'Revenues 9-14'!G5</f>
        <v>105520</v>
      </c>
      <c r="D5721" s="2" t="str">
        <f t="shared" si="88"/>
        <v>Error?</v>
      </c>
    </row>
    <row r="5722" spans="1:4" x14ac:dyDescent="0.2">
      <c r="A5722" s="5">
        <v>5661</v>
      </c>
      <c r="B5722" s="138">
        <f>'Revenues 9-14'!G7</f>
        <v>0</v>
      </c>
      <c r="D5722" s="2" t="str">
        <f t="shared" si="88"/>
        <v>Error?</v>
      </c>
    </row>
    <row r="5723" spans="1:4" x14ac:dyDescent="0.2">
      <c r="A5723" s="5">
        <v>5662</v>
      </c>
      <c r="B5723" s="138">
        <f>'Revenues 9-14'!G8</f>
        <v>95683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201203</v>
      </c>
      <c r="C5725" s="2" t="s">
        <v>594</v>
      </c>
      <c r="D5725" s="2" t="str">
        <f t="shared" si="88"/>
        <v>Error?</v>
      </c>
    </row>
    <row r="5726" spans="1:4" x14ac:dyDescent="0.2">
      <c r="A5726" s="5">
        <v>5665</v>
      </c>
      <c r="B5726" s="138">
        <f>'Revenues 9-14'!G14</f>
        <v>31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43946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43977</v>
      </c>
      <c r="C5730" s="2" t="s">
        <v>594</v>
      </c>
      <c r="D5730" s="2" t="str">
        <f t="shared" si="88"/>
        <v>Error?</v>
      </c>
    </row>
    <row r="5731" spans="1:4" x14ac:dyDescent="0.2">
      <c r="A5731" s="5">
        <v>5670</v>
      </c>
      <c r="B5731" s="138">
        <f>'Revenues 9-14'!G65</f>
        <v>1251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5099</v>
      </c>
      <c r="D5736" s="2" t="str">
        <f t="shared" si="88"/>
        <v>Error?</v>
      </c>
    </row>
    <row r="5737" spans="1:4" x14ac:dyDescent="0.2">
      <c r="A5737" s="5">
        <v>5676</v>
      </c>
      <c r="B5737" s="138">
        <f>'Revenues 9-14'!G108</f>
        <v>5099</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251530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26957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26957</v>
      </c>
      <c r="C5918" s="2" t="s">
        <v>594</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v>
      </c>
      <c r="C5923" s="2" t="s">
        <v>594</v>
      </c>
      <c r="D5923" s="2" t="str">
        <f t="shared" si="91"/>
        <v>Error?</v>
      </c>
    </row>
    <row r="5924" spans="1:4" x14ac:dyDescent="0.2">
      <c r="A5924" s="5">
        <v>5863</v>
      </c>
      <c r="B5924" s="138">
        <f>'Revenues 9-14'!I65</f>
        <v>11026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11026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37987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25973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25973</v>
      </c>
      <c r="C5987" s="2" t="s">
        <v>594</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25977</v>
      </c>
      <c r="C6023" s="2" t="s">
        <v>594</v>
      </c>
      <c r="D6023" s="2" t="str">
        <f t="shared" si="93"/>
        <v>Error?</v>
      </c>
    </row>
    <row r="6024" spans="1:5" x14ac:dyDescent="0.2">
      <c r="A6024" s="5">
        <v>5963</v>
      </c>
      <c r="B6024" s="138">
        <f>'Revenues 9-14'!G109</f>
        <v>251530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37987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25977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32615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740.26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286700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21905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66200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220500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21905</v>
      </c>
      <c r="D6215" s="2" t="str">
        <f t="shared" si="96"/>
        <v>Error?</v>
      </c>
      <c r="E6215" s="2" t="s">
        <v>199</v>
      </c>
    </row>
    <row r="6216" spans="1:5" x14ac:dyDescent="0.2">
      <c r="A6216">
        <v>6155</v>
      </c>
      <c r="B6216" s="138">
        <f>'Assets-Liab 5-6'!J41</f>
        <v>21905</v>
      </c>
      <c r="D6216" s="2" t="str">
        <f t="shared" si="96"/>
        <v>Error?</v>
      </c>
      <c r="E6216" s="2" t="s">
        <v>199</v>
      </c>
    </row>
    <row r="6217" spans="1:5" x14ac:dyDescent="0.2">
      <c r="A6217">
        <v>6156</v>
      </c>
      <c r="B6217" s="138">
        <f>'Assets-Liab 5-6'!J4</f>
        <v>21905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627089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627089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627089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674290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674290</v>
      </c>
      <c r="D6229" s="2" t="str">
        <f t="shared" si="96"/>
        <v>Error?</v>
      </c>
      <c r="E6229" s="2" t="s">
        <v>199</v>
      </c>
    </row>
    <row r="6230" spans="1:5" x14ac:dyDescent="0.2">
      <c r="A6230">
        <v>6169</v>
      </c>
      <c r="B6230" s="138">
        <f>'Acct Summary 7-8'!J20</f>
        <v>-47201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-47201</v>
      </c>
      <c r="D6263" s="2" t="str">
        <f t="shared" si="96"/>
        <v>Error?</v>
      </c>
      <c r="E6263" s="2" t="s">
        <v>199</v>
      </c>
    </row>
    <row r="6264" spans="1:5" x14ac:dyDescent="0.2">
      <c r="A6264">
        <v>6203</v>
      </c>
      <c r="B6264" s="138">
        <f>'Acct Summary 7-8'!J79</f>
        <v>69106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21905</v>
      </c>
      <c r="D6266" s="2" t="str">
        <f t="shared" si="96"/>
        <v>Error?</v>
      </c>
      <c r="E6266" s="2" t="s">
        <v>199</v>
      </c>
    </row>
    <row r="6267" spans="1:5" x14ac:dyDescent="0.2">
      <c r="A6267">
        <v>6206</v>
      </c>
      <c r="B6267" s="138">
        <f>'Acct Summary 7-8'!C82</f>
        <v>241177</v>
      </c>
      <c r="D6267" s="2" t="str">
        <f t="shared" si="96"/>
        <v>Error?</v>
      </c>
      <c r="E6267" s="2" t="s">
        <v>199</v>
      </c>
    </row>
    <row r="6268" spans="1:5" x14ac:dyDescent="0.2">
      <c r="A6268">
        <v>6207</v>
      </c>
      <c r="B6268" s="138">
        <f>'Acct Summary 7-8'!D82</f>
        <v>-13238</v>
      </c>
      <c r="D6268" s="2" t="str">
        <f t="shared" si="96"/>
        <v>Error?</v>
      </c>
      <c r="E6268" s="2" t="s">
        <v>199</v>
      </c>
    </row>
    <row r="6269" spans="1:5" x14ac:dyDescent="0.2">
      <c r="A6269">
        <v>6208</v>
      </c>
      <c r="B6269" s="138">
        <f>'Acct Summary 7-8'!E82</f>
        <v>-46396</v>
      </c>
      <c r="D6269" s="2" t="str">
        <f t="shared" si="96"/>
        <v>Error?</v>
      </c>
      <c r="E6269" s="2" t="s">
        <v>199</v>
      </c>
    </row>
    <row r="6270" spans="1:5" x14ac:dyDescent="0.2">
      <c r="A6270">
        <v>6209</v>
      </c>
      <c r="B6270" s="138">
        <f>'Acct Summary 7-8'!F82</f>
        <v>62166</v>
      </c>
      <c r="D6270" s="2" t="str">
        <f t="shared" si="96"/>
        <v>Error?</v>
      </c>
      <c r="E6270" s="2" t="s">
        <v>199</v>
      </c>
    </row>
    <row r="6271" spans="1:5" x14ac:dyDescent="0.2">
      <c r="A6271">
        <v>6210</v>
      </c>
      <c r="B6271" s="138">
        <f>'Acct Summary 7-8'!G82</f>
        <v>-88856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26961</v>
      </c>
      <c r="D6273" s="2" t="str">
        <f t="shared" si="97"/>
        <v>Error?</v>
      </c>
      <c r="E6273" s="2" t="s">
        <v>199</v>
      </c>
    </row>
    <row r="6274" spans="1:5" x14ac:dyDescent="0.2">
      <c r="A6274">
        <v>6213</v>
      </c>
      <c r="B6274" s="138">
        <f>'Acct Summary 7-8'!J82</f>
        <v>-47201</v>
      </c>
      <c r="D6274" s="2" t="str">
        <f t="shared" si="97"/>
        <v>Error?</v>
      </c>
      <c r="E6274" s="2" t="s">
        <v>199</v>
      </c>
    </row>
    <row r="6275" spans="1:5" x14ac:dyDescent="0.2">
      <c r="A6275">
        <v>6214</v>
      </c>
      <c r="B6275" s="138">
        <f>'Acct Summary 7-8'!K82</f>
        <v>25977</v>
      </c>
      <c r="D6275" s="2" t="str">
        <f t="shared" si="97"/>
        <v>Error?</v>
      </c>
      <c r="E6275" s="2" t="s">
        <v>199</v>
      </c>
    </row>
    <row r="6276" spans="1:5" x14ac:dyDescent="0.2">
      <c r="A6276">
        <v>6215</v>
      </c>
      <c r="B6276" s="138">
        <f>'Acct Summary 7-8'!C83</f>
        <v>0.43014705226642408</v>
      </c>
      <c r="D6276" s="2" t="str">
        <f t="shared" si="97"/>
        <v>Error?</v>
      </c>
      <c r="E6276" s="2" t="s">
        <v>199</v>
      </c>
    </row>
    <row r="6277" spans="1:5" x14ac:dyDescent="0.2">
      <c r="A6277">
        <v>6216</v>
      </c>
      <c r="B6277" s="138">
        <f>'Acct Summary 7-8'!D83</f>
        <v>-8.3978279073308126E-2</v>
      </c>
      <c r="D6277" s="2" t="str">
        <f t="shared" si="97"/>
        <v>Error?</v>
      </c>
      <c r="E6277" s="2" t="s">
        <v>199</v>
      </c>
    </row>
    <row r="6278" spans="1:5" x14ac:dyDescent="0.2">
      <c r="A6278">
        <v>6217</v>
      </c>
      <c r="B6278" s="138">
        <f>'Acct Summary 7-8'!E83</f>
        <v>0.70087768327869848</v>
      </c>
      <c r="D6278" s="2" t="str">
        <f t="shared" si="97"/>
        <v>Error?</v>
      </c>
      <c r="E6278" s="2" t="s">
        <v>199</v>
      </c>
    </row>
    <row r="6279" spans="1:5" x14ac:dyDescent="0.2">
      <c r="A6279">
        <v>6218</v>
      </c>
      <c r="B6279" s="138">
        <f>'Acct Summary 7-8'!F83</f>
        <v>1.394575678040245</v>
      </c>
      <c r="D6279" s="2" t="str">
        <f t="shared" si="97"/>
        <v>Error?</v>
      </c>
      <c r="E6279" s="2" t="s">
        <v>199</v>
      </c>
    </row>
    <row r="6280" spans="1:5" x14ac:dyDescent="0.2">
      <c r="A6280">
        <v>6219</v>
      </c>
      <c r="B6280" s="138">
        <f>'Acct Summary 7-8'!G83</f>
        <v>-1.6427132055240243</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1.9331593363256995E-2</v>
      </c>
      <c r="D6282" s="2" t="str">
        <f t="shared" si="97"/>
        <v>Error?</v>
      </c>
      <c r="E6282" s="2" t="s">
        <v>199</v>
      </c>
    </row>
    <row r="6283" spans="1:5" x14ac:dyDescent="0.2">
      <c r="A6283">
        <v>6222</v>
      </c>
      <c r="B6283" s="138">
        <f>'Acct Summary 7-8'!J83</f>
        <v>-2.154804839077836</v>
      </c>
      <c r="D6283" s="2" t="str">
        <f t="shared" si="97"/>
        <v>Error?</v>
      </c>
      <c r="E6283" s="2" t="s">
        <v>199</v>
      </c>
    </row>
    <row r="6284" spans="1:5" x14ac:dyDescent="0.2">
      <c r="A6284">
        <v>6223</v>
      </c>
      <c r="B6284" s="138">
        <f>'Acct Summary 7-8'!K83</f>
        <v>-0.11781593556111897</v>
      </c>
      <c r="D6284" s="2" t="str">
        <f t="shared" si="97"/>
        <v>Error?</v>
      </c>
      <c r="E6284" s="2" t="s">
        <v>199</v>
      </c>
    </row>
    <row r="6285" spans="1:5" x14ac:dyDescent="0.2">
      <c r="A6285">
        <v>6224</v>
      </c>
      <c r="B6285" s="138">
        <f>'Acct Summary 7-8'!E37</f>
        <v>20058</v>
      </c>
      <c r="D6285" s="2" t="str">
        <f t="shared" si="97"/>
        <v>Error?</v>
      </c>
      <c r="E6285" s="2" t="s">
        <v>199</v>
      </c>
    </row>
    <row r="6286" spans="1:5" x14ac:dyDescent="0.2">
      <c r="A6286">
        <v>6225</v>
      </c>
      <c r="B6286" s="138">
        <f>'Acct Summary 7-8'!E38</f>
        <v>2977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625752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625752</v>
      </c>
      <c r="D6301" s="2" t="str">
        <f t="shared" si="97"/>
        <v>Error?</v>
      </c>
      <c r="E6301" s="2" t="s">
        <v>199</v>
      </c>
    </row>
    <row r="6302" spans="1:5" x14ac:dyDescent="0.2">
      <c r="A6302">
        <v>6241</v>
      </c>
      <c r="B6302" s="138">
        <f>'Revenues 9-14'!J14</f>
        <v>98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1239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1239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627089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275483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468963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37952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161173</v>
      </c>
      <c r="D6880" s="2" t="str">
        <f t="shared" si="106"/>
        <v>Error?</v>
      </c>
    </row>
    <row r="6881" spans="1:4" x14ac:dyDescent="0.2">
      <c r="A6881">
        <v>6820</v>
      </c>
      <c r="B6881" s="138">
        <f>'Expenditures 15-22'!K22</f>
        <v>161173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674290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627089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22187</v>
      </c>
      <c r="D7073" s="2" t="str">
        <f t="shared" si="109"/>
        <v>Error?</v>
      </c>
    </row>
    <row r="7074" spans="1:4" x14ac:dyDescent="0.2">
      <c r="A7074">
        <v>7013</v>
      </c>
      <c r="B7074" s="138">
        <f>'Expenditures 15-22'!K216</f>
        <v>22187</v>
      </c>
      <c r="D7074" s="2" t="str">
        <f t="shared" si="109"/>
        <v>Error?</v>
      </c>
    </row>
    <row r="7075" spans="1:4" x14ac:dyDescent="0.2">
      <c r="A7075">
        <v>7014</v>
      </c>
      <c r="B7075" s="138">
        <f>'Expenditures 15-22'!D218</f>
        <v>1833</v>
      </c>
      <c r="D7075" s="2" t="str">
        <f t="shared" si="109"/>
        <v>Error?</v>
      </c>
    </row>
    <row r="7076" spans="1:4" x14ac:dyDescent="0.2">
      <c r="A7076">
        <v>7015</v>
      </c>
      <c r="B7076" s="138">
        <f>'Expenditures 15-22'!K218</f>
        <v>1833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44105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44105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7680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7680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3367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3367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182459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13881</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196340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322561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322561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322561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337848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13881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674290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322561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337848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13881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674290</v>
      </c>
      <c r="D7224" s="2" t="str">
        <f t="shared" si="111"/>
        <v>Error?</v>
      </c>
    </row>
    <row r="7225" spans="1:4" x14ac:dyDescent="0.2">
      <c r="A7225">
        <v>7164</v>
      </c>
      <c r="B7225" s="138">
        <f>'Expenditures 15-22'!K343</f>
        <v>-47201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164745</v>
      </c>
      <c r="D7246" s="2" t="str">
        <f t="shared" si="112"/>
        <v>Error?</v>
      </c>
    </row>
    <row r="7247" spans="1:4" x14ac:dyDescent="0.2">
      <c r="A7247">
        <f t="shared" si="113"/>
        <v>7186</v>
      </c>
      <c r="B7247" s="138">
        <f>'Expenditures 15-22'!E7</f>
        <v>2766</v>
      </c>
      <c r="D7247" s="2" t="str">
        <f t="shared" si="112"/>
        <v>Error?</v>
      </c>
    </row>
    <row r="7248" spans="1:4" x14ac:dyDescent="0.2">
      <c r="A7248">
        <f t="shared" si="113"/>
        <v>7187</v>
      </c>
      <c r="B7248" s="138">
        <f>'Expenditures 15-22'!F7</f>
        <v>25969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29414</v>
      </c>
      <c r="D7251" s="2" t="str">
        <f t="shared" si="112"/>
        <v>Error?</v>
      </c>
    </row>
    <row r="7252" spans="1:4" x14ac:dyDescent="0.2">
      <c r="A7252">
        <f t="shared" si="113"/>
        <v>7191</v>
      </c>
      <c r="B7252" s="138">
        <f>'Expenditures 15-22'!D9</f>
        <v>8538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380956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380956</v>
      </c>
      <c r="D7618" s="2" t="str">
        <f t="shared" si="124"/>
        <v>Error?</v>
      </c>
      <c r="E7618" s="2" t="s">
        <v>19</v>
      </c>
    </row>
    <row r="7619" spans="1:5" x14ac:dyDescent="0.2">
      <c r="A7619">
        <f t="shared" si="123"/>
        <v>7558</v>
      </c>
      <c r="B7619" s="138">
        <f>'Cap Outlay Deprec 26'!H14</f>
        <v>380956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380956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516795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20058</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2977</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27144</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85305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85305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14932</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14932</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10785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66701A8A-4B70-4BC6-A23C-3FE9EE52CAD0}"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21F80B28-2D59-4A2F-B7F1-982D582C738E}" showPageBreaks="1"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659D510F-1045-4226-8DAF-5F1FF14245AE}"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s>
  <phoneticPr fontId="12" type="noConversion"/>
  <pageMargins left="0.75" right="0.75" top="1" bottom="1" header="0.5" footer="0.5"/>
  <pageSetup scale="75" orientation="portrait" r:id="rId4"/>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Q35" sqref="Q3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East Alton SD 13</v>
      </c>
      <c r="B7" s="2420"/>
      <c r="C7" s="2420"/>
      <c r="D7" s="2421"/>
      <c r="E7" s="2422">
        <f>COVER!A13</f>
        <v>41057013002</v>
      </c>
      <c r="F7" s="2423"/>
      <c r="G7" s="2429" t="str">
        <f>COVER!T23</f>
        <v>066-005060</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DENNIS ROSE &amp; ASSOCIATES, P.C.</v>
      </c>
      <c r="H9" s="2435"/>
      <c r="I9" s="2435"/>
      <c r="J9" s="2435"/>
      <c r="K9" s="2435"/>
      <c r="L9" s="2436"/>
    </row>
    <row r="10" spans="1:29" ht="13.5" customHeight="1" x14ac:dyDescent="0.2">
      <c r="A10" s="2409">
        <f>COVER!A38</f>
        <v>0</v>
      </c>
      <c r="B10" s="2410"/>
      <c r="C10" s="2410"/>
      <c r="D10" s="2410"/>
      <c r="E10" s="2410"/>
      <c r="F10" s="2411"/>
      <c r="G10" s="2403" t="str">
        <f>COVER!T17</f>
        <v xml:space="preserve">1904 STATE STREET </v>
      </c>
      <c r="H10" s="2404"/>
      <c r="I10" s="2404"/>
      <c r="J10" s="2404"/>
      <c r="K10" s="2404"/>
      <c r="L10" s="2405"/>
    </row>
    <row r="11" spans="1:29" ht="13.5" customHeight="1" x14ac:dyDescent="0.2">
      <c r="A11" s="1185" t="s">
        <v>1599</v>
      </c>
      <c r="B11" s="1186"/>
      <c r="C11" s="1187"/>
      <c r="D11" s="1192"/>
      <c r="E11" s="1187"/>
      <c r="F11" s="1191"/>
      <c r="G11" s="2403" t="str">
        <f>COVER!T19</f>
        <v>ALTON</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DROSECPA@DRA-CPA.COM</v>
      </c>
      <c r="J13" s="2416"/>
      <c r="K13" s="2416"/>
      <c r="L13" s="2417"/>
    </row>
    <row r="14" spans="1:29" ht="13.5" customHeight="1" x14ac:dyDescent="0.2">
      <c r="A14" s="2403" t="str">
        <f>COVER!A19</f>
        <v>210 EAST ST. LOUIS AVENUE</v>
      </c>
      <c r="B14" s="2404"/>
      <c r="C14" s="2404"/>
      <c r="D14" s="2404"/>
      <c r="E14" s="2404"/>
      <c r="F14" s="2405"/>
      <c r="G14" s="1196" t="s">
        <v>1247</v>
      </c>
      <c r="H14" s="1194"/>
      <c r="I14" s="1194"/>
      <c r="J14" s="1194"/>
      <c r="K14" s="1194"/>
      <c r="L14" s="1195"/>
    </row>
    <row r="15" spans="1:29" ht="13.5" customHeight="1" x14ac:dyDescent="0.2">
      <c r="A15" s="2403" t="str">
        <f>COVER!A21</f>
        <v>EAST ALTON, IL</v>
      </c>
      <c r="B15" s="2404"/>
      <c r="C15" s="2404"/>
      <c r="D15" s="2404"/>
      <c r="E15" s="2404"/>
      <c r="F15" s="2405"/>
      <c r="G15" s="2400" t="str">
        <f>COVER!T15</f>
        <v>DENNIS ROSE</v>
      </c>
      <c r="H15" s="2401"/>
      <c r="I15" s="2401"/>
      <c r="J15" s="2401"/>
      <c r="K15" s="2401"/>
      <c r="L15" s="2402"/>
    </row>
    <row r="16" spans="1:29" ht="12.2" customHeight="1" x14ac:dyDescent="0.2">
      <c r="A16" s="2425">
        <f>COVER!A25</f>
        <v>62024</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618-465-4999</v>
      </c>
      <c r="H18" s="2420"/>
      <c r="I18" s="2420"/>
      <c r="J18" s="2420"/>
      <c r="K18" s="2419" t="str">
        <f>COVER!X21</f>
        <v>618-465-5050</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66701A8A-4B70-4BC6-A23C-3FE9EE52CAD0}" scale="110" showGridLines="0" zeroValues="0">
      <selection activeCell="Q35" sqref="Q35"/>
      <pageMargins left="0.75" right="0.75" top="1" bottom="0.5" header="0.5" footer="0.5"/>
      <printOptions horizontalCentered="1"/>
      <pageSetup scale="85" firstPageNumber="53" fitToHeight="0" orientation="portrait" r:id="rId1"/>
      <headerFooter>
        <oddHeader xml:space="preserve">&amp;C
</oddHeader>
        <oddFooter>&amp;C&amp;"Times New Roman,Regular"See Independent Auditor's Reports
&amp;P</oddFooter>
      </headerFooter>
    </customSheetView>
    <customSheetView guid="{21F80B28-2D59-4A2F-B7F1-982D582C738E}" scale="110" showPageBreaks="1" showGridLines="0" zeroValues="0" printArea="1">
      <selection activeCell="Q35" sqref="Q35"/>
      <pageMargins left="0.75" right="0.75" top="1" bottom="0.5" header="0.5" footer="0.5"/>
      <printOptions horizontalCentered="1"/>
      <pageSetup scale="85" firstPageNumber="53" fitToHeight="0" orientation="portrait" r:id="rId2"/>
      <headerFooter>
        <oddHeader xml:space="preserve">&amp;C
</oddHeader>
        <oddFooter>&amp;C&amp;"Times New Roman,Regular"See Independent Auditor's Reports
&amp;P</oddFooter>
      </headerFooter>
    </customSheetView>
    <customSheetView guid="{659D510F-1045-4226-8DAF-5F1FF14245AE}" scale="110" showGridLines="0" zeroValues="0">
      <selection activeCell="Q35" sqref="Q35"/>
      <pageMargins left="0.75" right="0.75" top="1" bottom="0.5" header="0.5" footer="0.5"/>
      <printOptions horizontalCentered="1"/>
      <pageSetup scale="85" firstPageNumber="53" fitToHeight="0" orientation="portrait" r:id="rId3"/>
      <headerFooter>
        <oddHeader xml:space="preserve">&amp;C
</oddHead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53" fitToHeight="0" orientation="portrait" r:id="rId4"/>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82" zoomScale="125" zoomScaleNormal="125" workbookViewId="0">
      <selection activeCell="I33" sqref="I3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East Alton SD 13</v>
      </c>
      <c r="B1" s="2418"/>
      <c r="C1" s="2418"/>
      <c r="D1" s="2418"/>
    </row>
    <row r="2" spans="1:11" s="1215" customFormat="1" ht="12.75" x14ac:dyDescent="0.2">
      <c r="A2" s="2442">
        <f>'Single Audit Cover'!E7</f>
        <v>41057013002</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66701A8A-4B70-4BC6-A23C-3FE9EE52CAD0}" scale="125" showGridLines="0" topLeftCell="A82">
      <selection activeCell="I33" sqref="I33"/>
      <pageMargins left="0.75" right="0.75" top="1" bottom="0.5" header="0.5" footer="0.5"/>
      <printOptions horizontalCentered="1"/>
      <pageSetup scale="64" firstPageNumber="36" fitToHeight="0" orientation="portrait" r:id="rId1"/>
      <headerFooter>
        <oddFooter>&amp;C&amp;"Times New Roman,Regular"See Independent Auditor's Reports
&amp;P</oddFooter>
      </headerFooter>
    </customSheetView>
    <customSheetView guid="{21F80B28-2D59-4A2F-B7F1-982D582C738E}" scale="125" showPageBreaks="1" showGridLines="0" printArea="1" topLeftCell="A82">
      <selection activeCell="I33" sqref="I33"/>
      <pageMargins left="0.75" right="0.75" top="1" bottom="0.5" header="0.5" footer="0.5"/>
      <printOptions horizontalCentered="1"/>
      <pageSetup scale="64" firstPageNumber="36" fitToHeight="0" orientation="portrait" r:id="rId2"/>
      <headerFooter>
        <oddFooter>&amp;C&amp;"Times New Roman,Regular"See Independent Auditor's Reports
&amp;P</oddFooter>
      </headerFooter>
    </customSheetView>
    <customSheetView guid="{659D510F-1045-4226-8DAF-5F1FF14245AE}" scale="125" showGridLines="0" topLeftCell="A82">
      <selection activeCell="I33" sqref="I33"/>
      <pageMargins left="0.75" right="0.75" top="1" bottom="0.5" header="0.5" footer="0.5"/>
      <printOptions horizontalCentered="1"/>
      <pageSetup scale="64" firstPageNumber="36" fitToHeight="0" orientation="portrait" r:id="rId3"/>
      <headerFooter>
        <oddFooter>&amp;C&amp;"Times New Roman,Regular"See Independent Auditor's Reports
&amp;P</oddFooter>
      </headerFooter>
    </customSheetView>
  </customSheetViews>
  <mergeCells count="3">
    <mergeCell ref="A1:D1"/>
    <mergeCell ref="A2:D2"/>
    <mergeCell ref="A3:D3"/>
  </mergeCells>
  <hyperlinks>
    <hyperlink ref="D29" r:id="rId4"/>
    <hyperlink ref="D60" r:id="rId5" display="        Verify Non-Cash Commodities amount on ISBE web site: https://www.isbe.net/Pages/School-Nutrition-Programs-Food-Distribution.aspx"/>
    <hyperlink ref="D64" r:id="rId6"/>
    <hyperlink ref="D68" r:id="rId7"/>
  </hyperlinks>
  <printOptions horizontalCentered="1"/>
  <pageMargins left="0.75" right="0.75" top="1" bottom="0.5" header="0.5" footer="0.5"/>
  <pageSetup scale="64" firstPageNumber="36" fitToHeight="0" orientation="portrait" r:id="rId8"/>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East Alton SD 13</v>
      </c>
      <c r="B1" s="2445"/>
      <c r="C1" s="2445"/>
      <c r="D1" s="2445"/>
      <c r="E1" s="2445"/>
    </row>
    <row r="2" spans="1:5" x14ac:dyDescent="0.2">
      <c r="A2" s="2446">
        <f>'Single Audit Cover'!E7</f>
        <v>41057013002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1368646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32615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-47806</v>
      </c>
    </row>
    <row r="19" spans="1:4" ht="13.5" thickBot="1" x14ac:dyDescent="0.25">
      <c r="A19" s="1265" t="s">
        <v>1297</v>
      </c>
      <c r="D19" s="1266">
        <f>SUM(D10:D17)</f>
        <v>1353455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t="s">
        <v>2094</v>
      </c>
      <c r="B24" s="2447"/>
      <c r="D24" s="1268">
        <v>-32615</v>
      </c>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1320840</v>
      </c>
    </row>
    <row r="33" spans="1:4" x14ac:dyDescent="0.2">
      <c r="D33" s="1269"/>
    </row>
    <row r="34" spans="1:4" x14ac:dyDescent="0.2">
      <c r="A34" s="317" t="s">
        <v>1294</v>
      </c>
    </row>
    <row r="35" spans="1:4" x14ac:dyDescent="0.2">
      <c r="A35" s="317" t="s">
        <v>1293</v>
      </c>
      <c r="B35" s="1258" t="s">
        <v>1292</v>
      </c>
      <c r="D35" s="1270">
        <v>1320840</v>
      </c>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1320840</v>
      </c>
    </row>
    <row r="49" spans="2:4" x14ac:dyDescent="0.2">
      <c r="B49" s="1272" t="s">
        <v>1288</v>
      </c>
      <c r="C49" s="1272"/>
      <c r="D49" s="1273">
        <f>D32-D47</f>
        <v>0</v>
      </c>
    </row>
  </sheetData>
  <sheetProtection sheet="1" objects="1" scenarios="1"/>
  <customSheetViews>
    <customSheetView guid="{66701A8A-4B70-4BC6-A23C-3FE9EE52CAD0}" scale="110" showGridLines="0">
      <selection activeCell="D36" sqref="D36"/>
      <pageMargins left="0.75" right="0.75" top="1" bottom="0.5" header="0.5" footer="0.5"/>
      <printOptions horizontalCentered="1"/>
      <pageSetup scale="95" firstPageNumber="37" orientation="portrait" r:id="rId1"/>
      <headerFooter>
        <oddHeader xml:space="preserve">&amp;C
</oddHeader>
        <oddFooter>&amp;C&amp;"Times New Roman,Regular"See Independent Auditor's Reports
&amp;P</oddFooter>
      </headerFooter>
    </customSheetView>
    <customSheetView guid="{21F80B28-2D59-4A2F-B7F1-982D582C738E}" scale="110" showPageBreaks="1" showGridLines="0" printArea="1">
      <selection activeCell="D36" sqref="D36"/>
      <pageMargins left="0.75" right="0.75" top="1" bottom="0.5" header="0.5" footer="0.5"/>
      <printOptions horizontalCentered="1"/>
      <pageSetup scale="95" firstPageNumber="37" orientation="portrait" r:id="rId2"/>
      <headerFooter>
        <oddHeader xml:space="preserve">&amp;C
</oddHeader>
        <oddFooter>&amp;C&amp;"Times New Roman,Regular"See Independent Auditor's Reports
&amp;P</oddFooter>
      </headerFooter>
    </customSheetView>
    <customSheetView guid="{659D510F-1045-4226-8DAF-5F1FF14245AE}" scale="110" showGridLines="0">
      <selection activeCell="D36" sqref="D36"/>
      <pageMargins left="0.75" right="0.75" top="1" bottom="0.5" header="0.5" footer="0.5"/>
      <printOptions horizontalCentered="1"/>
      <pageSetup scale="95" firstPageNumber="37" orientation="portrait" r:id="rId3"/>
      <headerFooter>
        <oddHeader xml:space="preserve">&amp;C
</oddHead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4"/>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East Alton SD 13</v>
      </c>
      <c r="B1" s="2458"/>
      <c r="C1" s="2458"/>
      <c r="D1" s="2458"/>
      <c r="E1" s="2458"/>
      <c r="F1" s="2458"/>
    </row>
    <row r="2" spans="1:7" ht="13.5" customHeight="1" x14ac:dyDescent="0.2">
      <c r="A2" s="2459">
        <f>'Single Audit Cover'!E7</f>
        <v>41057013002</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2145</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2146</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t="s">
        <v>2095</v>
      </c>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2147</v>
      </c>
      <c r="B32" s="2451"/>
      <c r="C32" s="2451"/>
      <c r="D32" s="2451"/>
      <c r="E32" s="2451"/>
      <c r="F32" s="2451"/>
    </row>
    <row r="33" spans="1:6" ht="13.5" customHeight="1" x14ac:dyDescent="0.2">
      <c r="A33" s="328" t="s">
        <v>1509</v>
      </c>
      <c r="B33" s="328"/>
      <c r="C33" s="1288">
        <v>17560</v>
      </c>
      <c r="D33" s="1928"/>
      <c r="E33" s="1286"/>
    </row>
    <row r="34" spans="1:6" ht="13.5" customHeight="1" x14ac:dyDescent="0.2">
      <c r="A34" s="328" t="s">
        <v>1946</v>
      </c>
      <c r="B34" s="328"/>
      <c r="C34" s="1289">
        <v>15055</v>
      </c>
      <c r="D34" s="1928" t="s">
        <v>1671</v>
      </c>
      <c r="E34" s="2452">
        <f>+C33+C34</f>
        <v>32615</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customSheetViews>
    <customSheetView guid="{66701A8A-4B70-4BC6-A23C-3FE9EE52CAD0}" scale="120" showGridLines="0" topLeftCell="A19">
      <selection activeCell="C44" sqref="C44"/>
      <pageMargins left="0.75" right="0.75" top="1" bottom="0.5" header="0.5" footer="0.5"/>
      <printOptions horizontalCentered="1"/>
      <pageSetup scale="79" firstPageNumber="39" orientation="portrait" r:id="rId1"/>
      <headerFooter>
        <oddHeader xml:space="preserve">&amp;C
</oddHeader>
        <oddFooter>&amp;C&amp;"Times New Roman,Regular"See Independent Auditor's Reports
&amp;P</oddFooter>
      </headerFooter>
    </customSheetView>
    <customSheetView guid="{21F80B28-2D59-4A2F-B7F1-982D582C738E}" scale="120" showPageBreaks="1" showGridLines="0" printArea="1" topLeftCell="A19">
      <selection activeCell="C44" sqref="C44"/>
      <pageMargins left="0.75" right="0.75" top="1" bottom="0.5" header="0.5" footer="0.5"/>
      <printOptions horizontalCentered="1"/>
      <pageSetup scale="79" firstPageNumber="39" orientation="portrait" r:id="rId2"/>
      <headerFooter>
        <oddHeader xml:space="preserve">&amp;C
</oddHeader>
        <oddFooter>&amp;C&amp;"Times New Roman,Regular"See Independent Auditor's Reports
&amp;P</oddFooter>
      </headerFooter>
    </customSheetView>
    <customSheetView guid="{659D510F-1045-4226-8DAF-5F1FF14245AE}" scale="120" showGridLines="0" topLeftCell="A19">
      <selection activeCell="C44" sqref="C44"/>
      <pageMargins left="0.75" right="0.75" top="1" bottom="0.5" header="0.5" footer="0.5"/>
      <printOptions horizontalCentered="1"/>
      <pageSetup scale="79" firstPageNumber="39" orientation="portrait" r:id="rId3"/>
      <headerFooter>
        <oddHeader xml:space="preserve">&amp;C
</oddHead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4"/>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5" sqref="O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East Alton SD 13</v>
      </c>
      <c r="C1" s="2462"/>
      <c r="D1" s="2462"/>
      <c r="E1" s="2462"/>
      <c r="F1" s="2462"/>
      <c r="G1" s="2462"/>
      <c r="H1" s="2462"/>
      <c r="I1" s="2462"/>
      <c r="J1" s="2462"/>
      <c r="K1" s="2462"/>
      <c r="L1" s="2462"/>
      <c r="M1" s="2462"/>
    </row>
    <row r="2" spans="2:14" ht="15" x14ac:dyDescent="0.2">
      <c r="B2" s="2459">
        <f>'Single Audit Cover'!E7</f>
        <v>41057013002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2096</v>
      </c>
      <c r="C11" s="1338"/>
      <c r="D11" s="1339"/>
      <c r="E11" s="1340"/>
      <c r="F11" s="1340"/>
      <c r="G11" s="1340"/>
      <c r="H11" s="1340"/>
      <c r="I11" s="1340"/>
      <c r="J11" s="1340"/>
      <c r="K11" s="1340"/>
      <c r="L11" s="1340"/>
      <c r="M11" s="1340"/>
    </row>
    <row r="12" spans="2:14" ht="20.100000000000001" customHeight="1" x14ac:dyDescent="0.2">
      <c r="B12" s="1337" t="s">
        <v>2097</v>
      </c>
      <c r="C12" s="1341"/>
      <c r="D12" s="1342"/>
      <c r="E12" s="1343"/>
      <c r="F12" s="1343"/>
      <c r="G12" s="1343"/>
      <c r="H12" s="1343"/>
      <c r="I12" s="1343"/>
      <c r="J12" s="1343"/>
      <c r="K12" s="1343"/>
      <c r="L12" s="1340"/>
      <c r="M12" s="1343"/>
    </row>
    <row r="13" spans="2:14" ht="20.100000000000001" customHeight="1" x14ac:dyDescent="0.2">
      <c r="B13" s="1337" t="s">
        <v>2098</v>
      </c>
      <c r="C13" s="1341" t="s">
        <v>2099</v>
      </c>
      <c r="D13" s="1342" t="s">
        <v>2100</v>
      </c>
      <c r="E13" s="1343">
        <v>316842</v>
      </c>
      <c r="F13" s="1343">
        <v>71704</v>
      </c>
      <c r="G13" s="1343">
        <v>367398</v>
      </c>
      <c r="H13" s="1343"/>
      <c r="I13" s="1343">
        <v>21148</v>
      </c>
      <c r="J13" s="1343"/>
      <c r="K13" s="1343"/>
      <c r="L13" s="1340">
        <f t="shared" ref="L13:L27" si="0">+G13+I13+K13</f>
        <v>388546</v>
      </c>
      <c r="M13" s="1343">
        <v>404716</v>
      </c>
    </row>
    <row r="14" spans="2:14" ht="20.100000000000001" customHeight="1" x14ac:dyDescent="0.2">
      <c r="B14" s="1337" t="s">
        <v>2098</v>
      </c>
      <c r="C14" s="1341" t="s">
        <v>2099</v>
      </c>
      <c r="D14" s="1342" t="s">
        <v>2101</v>
      </c>
      <c r="E14" s="1343"/>
      <c r="F14" s="1343">
        <v>363475</v>
      </c>
      <c r="G14" s="1343"/>
      <c r="H14" s="1343"/>
      <c r="I14" s="1343">
        <v>402783</v>
      </c>
      <c r="J14" s="1343"/>
      <c r="K14" s="1343">
        <v>12950</v>
      </c>
      <c r="L14" s="1340">
        <f t="shared" si="0"/>
        <v>415733</v>
      </c>
      <c r="M14" s="1343">
        <v>426793</v>
      </c>
    </row>
    <row r="15" spans="2:14" ht="20.100000000000001" customHeight="1" x14ac:dyDescent="0.2">
      <c r="B15" s="1337" t="s">
        <v>2102</v>
      </c>
      <c r="C15" s="1341" t="s">
        <v>2103</v>
      </c>
      <c r="D15" s="1342" t="s">
        <v>2104</v>
      </c>
      <c r="E15" s="1343">
        <v>40118</v>
      </c>
      <c r="F15" s="1343">
        <v>22094</v>
      </c>
      <c r="G15" s="1343">
        <v>55075</v>
      </c>
      <c r="H15" s="1343"/>
      <c r="I15" s="1343">
        <v>7137</v>
      </c>
      <c r="J15" s="1343"/>
      <c r="K15" s="1343"/>
      <c r="L15" s="1340">
        <f t="shared" si="0"/>
        <v>62212</v>
      </c>
      <c r="M15" s="1343">
        <v>62487</v>
      </c>
    </row>
    <row r="16" spans="2:14" ht="20.100000000000001" customHeight="1" x14ac:dyDescent="0.2">
      <c r="B16" s="1337" t="s">
        <v>2102</v>
      </c>
      <c r="C16" s="1341" t="s">
        <v>2103</v>
      </c>
      <c r="D16" s="1342" t="s">
        <v>2105</v>
      </c>
      <c r="E16" s="1343"/>
      <c r="F16" s="1343"/>
      <c r="G16" s="1343"/>
      <c r="H16" s="1343"/>
      <c r="I16" s="1343">
        <v>440</v>
      </c>
      <c r="J16" s="1343"/>
      <c r="K16" s="1343"/>
      <c r="L16" s="1340">
        <f t="shared" si="0"/>
        <v>440</v>
      </c>
      <c r="M16" s="1343"/>
    </row>
    <row r="17" spans="2:14" ht="20.100000000000001" customHeight="1" x14ac:dyDescent="0.2">
      <c r="B17" s="1337" t="s">
        <v>2106</v>
      </c>
      <c r="C17" s="1341"/>
      <c r="D17" s="1342"/>
      <c r="E17" s="1343">
        <f>SUM(E13:E16)</f>
        <v>356960</v>
      </c>
      <c r="F17" s="1343">
        <f>SUM(F13:F16)</f>
        <v>457273</v>
      </c>
      <c r="G17" s="1343">
        <f>SUM(G13:G16)</f>
        <v>422473</v>
      </c>
      <c r="H17" s="1343"/>
      <c r="I17" s="1343">
        <f>SUM(I13:I16)</f>
        <v>431508</v>
      </c>
      <c r="J17" s="1343"/>
      <c r="K17" s="1343">
        <f>SUM(K13:K16)</f>
        <v>12950</v>
      </c>
      <c r="L17" s="1340">
        <f t="shared" si="0"/>
        <v>866931</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2107</v>
      </c>
      <c r="C20" s="1341"/>
      <c r="D20" s="1342"/>
      <c r="E20" s="1343"/>
      <c r="F20" s="1343"/>
      <c r="G20" s="1343"/>
      <c r="H20" s="1343"/>
      <c r="I20" s="1343"/>
      <c r="J20" s="1343"/>
      <c r="K20" s="1343"/>
      <c r="L20" s="1340"/>
      <c r="M20" s="1343"/>
    </row>
    <row r="21" spans="2:14" ht="20.100000000000001" customHeight="1" x14ac:dyDescent="0.2">
      <c r="B21" s="1337" t="s">
        <v>2112</v>
      </c>
      <c r="C21" s="1341" t="s">
        <v>2108</v>
      </c>
      <c r="D21" s="1342" t="s">
        <v>2109</v>
      </c>
      <c r="E21" s="1343"/>
      <c r="F21" s="1343">
        <v>34615</v>
      </c>
      <c r="G21" s="1343"/>
      <c r="H21" s="1343"/>
      <c r="I21" s="1343">
        <v>34615</v>
      </c>
      <c r="J21" s="1343"/>
      <c r="K21" s="1343"/>
      <c r="L21" s="1340">
        <f t="shared" si="0"/>
        <v>34615</v>
      </c>
      <c r="M21" s="1343">
        <v>34615</v>
      </c>
    </row>
    <row r="22" spans="2:14" ht="20.100000000000001" customHeight="1" x14ac:dyDescent="0.2">
      <c r="B22" s="1337" t="s">
        <v>2111</v>
      </c>
      <c r="C22" s="1341" t="s">
        <v>2108</v>
      </c>
      <c r="D22" s="1342" t="s">
        <v>2110</v>
      </c>
      <c r="E22" s="1343"/>
      <c r="F22" s="1343">
        <v>256781</v>
      </c>
      <c r="G22" s="1343"/>
      <c r="H22" s="1343"/>
      <c r="I22" s="1343">
        <v>256781</v>
      </c>
      <c r="J22" s="1343"/>
      <c r="K22" s="1343"/>
      <c r="L22" s="1340">
        <f t="shared" si="0"/>
        <v>256781</v>
      </c>
      <c r="M22" s="1343">
        <v>256781</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2113</v>
      </c>
      <c r="C24" s="1341"/>
      <c r="D24" s="1342"/>
      <c r="E24" s="1343">
        <f>SUM(E21:E22)</f>
        <v>0</v>
      </c>
      <c r="F24" s="1343">
        <f>SUM(F21:F22)</f>
        <v>291396</v>
      </c>
      <c r="G24" s="1343">
        <f>SUM(G21:G22)</f>
        <v>0</v>
      </c>
      <c r="H24" s="1343"/>
      <c r="I24" s="1343">
        <f>SUM(I21:I22)</f>
        <v>291396</v>
      </c>
      <c r="J24" s="1343"/>
      <c r="K24" s="1343">
        <f>SUM(K21:K22)</f>
        <v>0</v>
      </c>
      <c r="L24" s="1340">
        <f t="shared" si="0"/>
        <v>291396</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2114</v>
      </c>
      <c r="C27" s="1341"/>
      <c r="D27" s="1342"/>
      <c r="E27" s="1343">
        <f>SUM(E17+E24)</f>
        <v>356960</v>
      </c>
      <c r="F27" s="1343">
        <f>SUM(F17+F24)</f>
        <v>748669</v>
      </c>
      <c r="G27" s="1343">
        <f>SUM(G17+G24)</f>
        <v>422473</v>
      </c>
      <c r="H27" s="1343"/>
      <c r="I27" s="1343">
        <f>SUM(I17+I24)</f>
        <v>722904</v>
      </c>
      <c r="J27" s="1343"/>
      <c r="K27" s="1343">
        <f>SUM(K17+K24)</f>
        <v>12950</v>
      </c>
      <c r="L27" s="1340">
        <f t="shared" si="0"/>
        <v>1158327</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66701A8A-4B70-4BC6-A23C-3FE9EE52CAD0}" showGridLines="0">
      <selection activeCell="O25" sqref="O25"/>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21F80B28-2D59-4A2F-B7F1-982D582C738E}" showPageBreaks="1" showGridLines="0" printArea="1">
      <selection activeCell="O25" sqref="O25"/>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 guid="{659D510F-1045-4226-8DAF-5F1FF14245AE}" showGridLines="0">
      <selection activeCell="O25" sqref="O25"/>
      <pageMargins left="0.75" right="0.75" top="1" bottom="0.5" header="0.5" footer="0.5"/>
      <printOptions horizontalCentered="1"/>
      <pageSetup scale="70"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4"/>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66701A8A-4B70-4BC6-A23C-3FE9EE52CAD0}" scale="110" colorId="8" showGridLines="0" hiddenRows="1" topLeftCell="A71">
      <selection activeCell="F85" sqref="F85"/>
      <pageMargins left="0.75" right="0.75" top="0.75" bottom="0.5" header="0.5" footer="0.5"/>
      <printOptions horizontalCentered="1"/>
      <pageSetup scale="48" firstPageNumber="2" orientation="portrait" r:id="rId1"/>
      <headerFooter>
        <oddHeader>&amp;C&amp;"Times New Roman,Regular"EAST ALTON ELEMENTARY SCHOOL DISTRICT NO. 13</oddHeader>
        <oddFooter>&amp;C&amp;"Times New Roman,Regular"
&amp;P</oddFooter>
      </headerFooter>
    </customSheetView>
    <customSheetView guid="{21F80B28-2D59-4A2F-B7F1-982D582C738E}" scale="110" colorId="8" showPageBreaks="1" showGridLines="0" printArea="1" hiddenRows="1" topLeftCell="A71">
      <selection activeCell="F85" sqref="F85"/>
      <pageMargins left="0.75" right="0.75" top="0.75" bottom="0.5" header="0.5" footer="0.5"/>
      <printOptions horizontalCentered="1"/>
      <pageSetup scale="48" firstPageNumber="2" orientation="portrait" r:id="rId2"/>
      <headerFooter>
        <oddHeader>&amp;C&amp;"Times New Roman,Regular"EAST ALTON ELEMENTARY SCHOOL DISTRICT NO. 13</oddHeader>
        <oddFooter>&amp;C&amp;"Times New Roman,Regular"
&amp;P</oddFooter>
      </headerFooter>
    </customSheetView>
    <customSheetView guid="{659D510F-1045-4226-8DAF-5F1FF14245AE}" scale="110" colorId="8" showGridLines="0" hiddenRows="1" topLeftCell="A71">
      <selection activeCell="F85" sqref="F85"/>
      <pageMargins left="0.75" right="0.75" top="0.75" bottom="0.5" header="0.5" footer="0.5"/>
      <printOptions horizontalCentered="1"/>
      <pageSetup scale="48" firstPageNumber="2" orientation="portrait" r:id="rId3"/>
      <headerFooter>
        <oddHeader>&amp;C&amp;"Times New Roman,Regular"EAST ALTON ELEMENTARY SCHOOL DISTRICT NO. 13</oddHeader>
        <oddFooter>&amp;C&amp;"Times New Roman,Regular"
&amp;P</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4"/>
  <headerFooter>
    <oddHeader>&amp;C&amp;"Times New Roman,Regular"EAST ALTON ELEMENTARY SCHOOL DISTRICT NO. 13</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9" sqref="I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East Alton SD 13</v>
      </c>
      <c r="C1" s="2462"/>
      <c r="D1" s="2462"/>
      <c r="E1" s="2462"/>
      <c r="F1" s="2462"/>
      <c r="G1" s="2462"/>
      <c r="H1" s="2462"/>
      <c r="I1" s="2462"/>
      <c r="J1" s="2462"/>
      <c r="K1" s="2462"/>
      <c r="L1" s="2462"/>
      <c r="M1" s="2462"/>
    </row>
    <row r="2" spans="2:14" ht="15" x14ac:dyDescent="0.2">
      <c r="B2" s="2459">
        <f>'Single Audit Cover'!E7</f>
        <v>41057013002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2115</v>
      </c>
      <c r="C11" s="1338"/>
      <c r="D11" s="1339"/>
      <c r="E11" s="1340"/>
      <c r="F11" s="1340"/>
      <c r="G11" s="1340"/>
      <c r="H11" s="1340"/>
      <c r="I11" s="1340"/>
      <c r="J11" s="1340"/>
      <c r="K11" s="1340"/>
      <c r="L11" s="1340"/>
      <c r="M11" s="1340"/>
    </row>
    <row r="12" spans="2:14" ht="20.100000000000001" customHeight="1" x14ac:dyDescent="0.2">
      <c r="B12" s="1337" t="s">
        <v>2097</v>
      </c>
      <c r="C12" s="1341"/>
      <c r="D12" s="1342"/>
      <c r="E12" s="1343"/>
      <c r="F12" s="1343"/>
      <c r="G12" s="1343"/>
      <c r="H12" s="1343"/>
      <c r="I12" s="1343"/>
      <c r="J12" s="1343"/>
      <c r="K12" s="1343"/>
      <c r="L12" s="1340"/>
      <c r="M12" s="1343"/>
    </row>
    <row r="13" spans="2:14" ht="20.100000000000001" customHeight="1" x14ac:dyDescent="0.2">
      <c r="B13" s="1337" t="s">
        <v>2139</v>
      </c>
      <c r="C13" s="1341">
        <v>10.555</v>
      </c>
      <c r="D13" s="1342" t="s">
        <v>2116</v>
      </c>
      <c r="E13" s="1343">
        <v>290227</v>
      </c>
      <c r="F13" s="1343">
        <v>52121</v>
      </c>
      <c r="G13" s="1343">
        <v>290227</v>
      </c>
      <c r="H13" s="1343"/>
      <c r="I13" s="1343">
        <v>52121</v>
      </c>
      <c r="J13" s="1343"/>
      <c r="K13" s="1343"/>
      <c r="L13" s="1340">
        <f t="shared" ref="L13:L23" si="0">+G13+I13+K13</f>
        <v>342348</v>
      </c>
      <c r="M13" s="1343"/>
    </row>
    <row r="14" spans="2:14" ht="20.100000000000001" customHeight="1" x14ac:dyDescent="0.2">
      <c r="B14" s="1337" t="s">
        <v>2139</v>
      </c>
      <c r="C14" s="1341">
        <v>10.555</v>
      </c>
      <c r="D14" s="1342" t="s">
        <v>2117</v>
      </c>
      <c r="E14" s="1343"/>
      <c r="F14" s="1343">
        <v>286544</v>
      </c>
      <c r="G14" s="1343"/>
      <c r="H14" s="1343"/>
      <c r="I14" s="1343">
        <v>286544</v>
      </c>
      <c r="J14" s="1343"/>
      <c r="K14" s="1343"/>
      <c r="L14" s="1340">
        <f t="shared" si="0"/>
        <v>286544</v>
      </c>
      <c r="M14" s="1343"/>
    </row>
    <row r="15" spans="2:14" ht="20.100000000000001" customHeight="1" x14ac:dyDescent="0.2">
      <c r="B15" s="1337" t="s">
        <v>2140</v>
      </c>
      <c r="C15" s="1341">
        <v>10.553000000000001</v>
      </c>
      <c r="D15" s="1342" t="s">
        <v>2118</v>
      </c>
      <c r="E15" s="1343">
        <v>139165</v>
      </c>
      <c r="F15" s="1343">
        <v>25437</v>
      </c>
      <c r="G15" s="1343">
        <v>139165</v>
      </c>
      <c r="H15" s="1343"/>
      <c r="I15" s="1343">
        <v>25437</v>
      </c>
      <c r="J15" s="1343"/>
      <c r="K15" s="1343"/>
      <c r="L15" s="1340">
        <f t="shared" si="0"/>
        <v>164602</v>
      </c>
      <c r="M15" s="1343"/>
    </row>
    <row r="16" spans="2:14" ht="20.100000000000001" customHeight="1" x14ac:dyDescent="0.2">
      <c r="B16" s="1337" t="s">
        <v>2140</v>
      </c>
      <c r="C16" s="1341">
        <v>10.553000000000001</v>
      </c>
      <c r="D16" s="1342" t="s">
        <v>2119</v>
      </c>
      <c r="E16" s="1343"/>
      <c r="F16" s="1343">
        <v>126623</v>
      </c>
      <c r="G16" s="1343"/>
      <c r="H16" s="1343"/>
      <c r="I16" s="1343">
        <v>126623</v>
      </c>
      <c r="J16" s="1343"/>
      <c r="K16" s="1343"/>
      <c r="L16" s="1340">
        <f t="shared" si="0"/>
        <v>126623</v>
      </c>
      <c r="M16" s="1343"/>
    </row>
    <row r="17" spans="2:14" ht="20.100000000000001" customHeight="1" x14ac:dyDescent="0.2">
      <c r="B17" s="1337" t="s">
        <v>2141</v>
      </c>
      <c r="C17" s="1341">
        <v>10.582000000000001</v>
      </c>
      <c r="D17" s="1342" t="s">
        <v>2138</v>
      </c>
      <c r="E17" s="1343">
        <v>16051</v>
      </c>
      <c r="F17" s="1343">
        <v>6156</v>
      </c>
      <c r="G17" s="1343">
        <v>16051</v>
      </c>
      <c r="H17" s="1343"/>
      <c r="I17" s="1343">
        <v>6156</v>
      </c>
      <c r="J17" s="1343"/>
      <c r="K17" s="1343"/>
      <c r="L17" s="1340">
        <f t="shared" si="0"/>
        <v>22207</v>
      </c>
      <c r="M17" s="1343"/>
    </row>
    <row r="18" spans="2:14" ht="20.100000000000001" customHeight="1" x14ac:dyDescent="0.2">
      <c r="B18" s="1337" t="s">
        <v>2141</v>
      </c>
      <c r="C18" s="1341">
        <v>10.582000000000001</v>
      </c>
      <c r="D18" s="1342" t="s">
        <v>2120</v>
      </c>
      <c r="E18" s="1343"/>
      <c r="F18" s="1343">
        <v>20988</v>
      </c>
      <c r="G18" s="1343"/>
      <c r="H18" s="1343"/>
      <c r="I18" s="1343">
        <v>20988</v>
      </c>
      <c r="J18" s="1343"/>
      <c r="K18" s="1343"/>
      <c r="L18" s="1340">
        <f t="shared" ref="L18:L20" si="1">+G18+I18+K18</f>
        <v>20988</v>
      </c>
      <c r="M18" s="1343"/>
    </row>
    <row r="19" spans="2:14" ht="20.100000000000001" customHeight="1" x14ac:dyDescent="0.2">
      <c r="B19" s="1337" t="s">
        <v>2142</v>
      </c>
      <c r="C19" s="1341">
        <v>10.555</v>
      </c>
      <c r="D19" s="1342"/>
      <c r="E19" s="1343"/>
      <c r="F19" s="1343">
        <v>17560</v>
      </c>
      <c r="G19" s="1343"/>
      <c r="H19" s="1343"/>
      <c r="I19" s="1343">
        <v>17560</v>
      </c>
      <c r="J19" s="1343"/>
      <c r="K19" s="1343"/>
      <c r="L19" s="1340">
        <f t="shared" si="1"/>
        <v>17560</v>
      </c>
      <c r="M19" s="1343"/>
    </row>
    <row r="20" spans="2:14" ht="20.100000000000001" customHeight="1" x14ac:dyDescent="0.2">
      <c r="B20" s="1337" t="s">
        <v>2115</v>
      </c>
      <c r="C20" s="1341"/>
      <c r="D20" s="1342"/>
      <c r="E20" s="1343">
        <f>SUM(E13:E19)</f>
        <v>445443</v>
      </c>
      <c r="F20" s="1343">
        <f>SUM(F13:F19)</f>
        <v>535429</v>
      </c>
      <c r="G20" s="1343">
        <f>SUM(G13:G19)</f>
        <v>445443</v>
      </c>
      <c r="H20" s="1343"/>
      <c r="I20" s="1343">
        <f>SUM(I13:I19)</f>
        <v>535429</v>
      </c>
      <c r="J20" s="1343"/>
      <c r="K20" s="1343"/>
      <c r="L20" s="1340">
        <f t="shared" si="1"/>
        <v>980872</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2121</v>
      </c>
      <c r="C22" s="1341"/>
      <c r="D22" s="1342"/>
      <c r="E22" s="1343"/>
      <c r="F22" s="1343"/>
      <c r="G22" s="1343"/>
      <c r="H22" s="1343"/>
      <c r="I22" s="1343"/>
      <c r="J22" s="1343"/>
      <c r="K22" s="1343"/>
      <c r="L22" s="1340"/>
      <c r="M22" s="1343"/>
    </row>
    <row r="23" spans="2:14" ht="20.100000000000001" customHeight="1" x14ac:dyDescent="0.2">
      <c r="B23" s="1337" t="s">
        <v>2142</v>
      </c>
      <c r="C23" s="1341">
        <v>10.555</v>
      </c>
      <c r="D23" s="1342"/>
      <c r="E23" s="1343"/>
      <c r="F23" s="1343">
        <v>15055</v>
      </c>
      <c r="G23" s="1343"/>
      <c r="H23" s="1343"/>
      <c r="I23" s="1343">
        <v>15055</v>
      </c>
      <c r="J23" s="1343"/>
      <c r="K23" s="1343"/>
      <c r="L23" s="1340">
        <f t="shared" si="0"/>
        <v>15055</v>
      </c>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66701A8A-4B70-4BC6-A23C-3FE9EE52CAD0}" showGridLines="0">
      <selection activeCell="I29" sqref="I29"/>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21F80B28-2D59-4A2F-B7F1-982D582C738E}" showPageBreaks="1" showGridLines="0" printArea="1">
      <selection activeCell="I29" sqref="I29"/>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 guid="{659D510F-1045-4226-8DAF-5F1FF14245AE}" showGridLines="0">
      <selection activeCell="I29" sqref="I29"/>
      <pageMargins left="0.75" right="0.75" top="1" bottom="0.5" header="0.5" footer="0.5"/>
      <printOptions horizontalCentered="1"/>
      <pageSetup scale="70"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4"/>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East Alton SD 13</v>
      </c>
      <c r="C1" s="2462"/>
      <c r="D1" s="2462"/>
      <c r="E1" s="2462"/>
      <c r="F1" s="2462"/>
      <c r="G1" s="2462"/>
      <c r="H1" s="2462"/>
      <c r="I1" s="2462"/>
      <c r="J1" s="2462"/>
      <c r="K1" s="2462"/>
      <c r="L1" s="2462"/>
      <c r="M1" s="2462"/>
    </row>
    <row r="2" spans="2:14" ht="15" x14ac:dyDescent="0.2">
      <c r="B2" s="2459">
        <f>'Single Audit Cover'!E7</f>
        <v>41057013002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2122</v>
      </c>
      <c r="C11" s="1338"/>
      <c r="D11" s="1339"/>
      <c r="E11" s="1340"/>
      <c r="F11" s="1340"/>
      <c r="G11" s="1340"/>
      <c r="H11" s="1340"/>
      <c r="I11" s="1340"/>
      <c r="J11" s="1340"/>
      <c r="K11" s="1340"/>
      <c r="L11" s="1340"/>
      <c r="M11" s="1340"/>
    </row>
    <row r="12" spans="2:14" ht="20.100000000000001" customHeight="1" x14ac:dyDescent="0.2">
      <c r="B12" s="1337" t="s">
        <v>2123</v>
      </c>
      <c r="C12" s="1341"/>
      <c r="D12" s="1342"/>
      <c r="E12" s="1343"/>
      <c r="F12" s="1343"/>
      <c r="G12" s="1343"/>
      <c r="H12" s="1343"/>
      <c r="I12" s="1343"/>
      <c r="J12" s="1343"/>
      <c r="K12" s="1343"/>
      <c r="L12" s="1340"/>
      <c r="M12" s="1343"/>
    </row>
    <row r="13" spans="2:14" ht="20.100000000000001" customHeight="1" x14ac:dyDescent="0.2">
      <c r="B13" s="1337" t="s">
        <v>2124</v>
      </c>
      <c r="C13" s="1341">
        <v>93.778000000000006</v>
      </c>
      <c r="D13" s="1342">
        <v>2018</v>
      </c>
      <c r="E13" s="1343"/>
      <c r="F13" s="1343">
        <v>21687</v>
      </c>
      <c r="G13" s="1343"/>
      <c r="H13" s="1343"/>
      <c r="I13" s="1343">
        <v>21687</v>
      </c>
      <c r="J13" s="1343"/>
      <c r="K13" s="1343"/>
      <c r="L13" s="1340">
        <f t="shared" ref="L13:L17" si="0">+G13+I13+K13</f>
        <v>21687</v>
      </c>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2125</v>
      </c>
      <c r="C17" s="1341"/>
      <c r="D17" s="1342"/>
      <c r="E17" s="1343">
        <f>' SEFA'!E27+' SEFA (2)'!E20+' SEFA (2)'!E23+' SEFA (3)'!E13</f>
        <v>802403</v>
      </c>
      <c r="F17" s="1343">
        <f>' SEFA'!F27+' SEFA (2)'!F20+' SEFA (2)'!F23+' SEFA (3)'!F13</f>
        <v>1320840</v>
      </c>
      <c r="G17" s="1343">
        <f>' SEFA'!G27+' SEFA (2)'!G20+' SEFA (2)'!G23+' SEFA (3)'!G13</f>
        <v>867916</v>
      </c>
      <c r="H17" s="1343"/>
      <c r="I17" s="1343">
        <f>' SEFA'!I27+' SEFA (2)'!I20+' SEFA (2)'!I23+' SEFA (3)'!I13</f>
        <v>1295075</v>
      </c>
      <c r="J17" s="1343"/>
      <c r="K17" s="1343">
        <f>' SEFA'!K27+' SEFA (2)'!K20+' SEFA (2)'!K23+' SEFA (3)'!K13</f>
        <v>12950</v>
      </c>
      <c r="L17" s="1340">
        <f t="shared" si="0"/>
        <v>2175941</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66701A8A-4B70-4BC6-A23C-3FE9EE52CAD0}" showGridLines="0">
      <selection activeCell="B22" sqref="B22"/>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21F80B28-2D59-4A2F-B7F1-982D582C738E}" showPageBreaks="1" showGridLines="0" printArea="1">
      <selection activeCell="B22" sqref="B22"/>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 guid="{659D510F-1045-4226-8DAF-5F1FF14245AE}" showGridLines="0">
      <selection activeCell="B22" sqref="B22"/>
      <pageMargins left="0.75" right="0.75" top="1" bottom="0.5" header="0.5" footer="0.5"/>
      <printOptions horizontalCentered="1"/>
      <pageSetup scale="70"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4"/>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K22" sqref="K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East Alton SD 13</v>
      </c>
      <c r="C1" s="2462"/>
      <c r="D1" s="2462"/>
      <c r="E1" s="2462"/>
      <c r="F1" s="2462"/>
      <c r="G1" s="2462"/>
      <c r="H1" s="2462"/>
      <c r="I1" s="2462"/>
      <c r="J1" s="2462"/>
      <c r="K1" s="2462"/>
      <c r="L1" s="2462"/>
      <c r="M1" s="2462"/>
    </row>
    <row r="2" spans="2:14" ht="15" x14ac:dyDescent="0.2">
      <c r="B2" s="2459">
        <f>'Single Audit Cover'!E7</f>
        <v>41057013002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2126</v>
      </c>
      <c r="C11" s="1338"/>
      <c r="D11" s="1339"/>
      <c r="E11" s="1340"/>
      <c r="F11" s="1340"/>
      <c r="G11" s="1340"/>
      <c r="H11" s="1340"/>
      <c r="I11" s="1340"/>
      <c r="J11" s="1340"/>
      <c r="K11" s="1340"/>
      <c r="L11" s="1340">
        <f>+G11+I11+K11</f>
        <v>0</v>
      </c>
      <c r="M11" s="1340"/>
    </row>
    <row r="12" spans="2:14" ht="20.100000000000001" customHeight="1" x14ac:dyDescent="0.2">
      <c r="B12" s="1337" t="s">
        <v>2127</v>
      </c>
      <c r="C12" s="1341"/>
      <c r="D12" s="1342"/>
      <c r="E12" s="1343">
        <f>' SEFA'!E13+' SEFA'!E14</f>
        <v>316842</v>
      </c>
      <c r="F12" s="1343">
        <f>' SEFA'!F13+' SEFA'!F14</f>
        <v>435179</v>
      </c>
      <c r="G12" s="1343">
        <f>' SEFA'!G13+' SEFA'!G14</f>
        <v>367398</v>
      </c>
      <c r="H12" s="1343"/>
      <c r="I12" s="1343">
        <f>' SEFA'!I13+' SEFA'!I14</f>
        <v>423931</v>
      </c>
      <c r="J12" s="1343"/>
      <c r="K12" s="1343">
        <f>' SEFA'!K13+' SEFA'!K14</f>
        <v>12950</v>
      </c>
      <c r="L12" s="1340">
        <f t="shared" ref="L12:L27" si="0">+G12+I12+K12</f>
        <v>804279</v>
      </c>
      <c r="M12" s="1343"/>
    </row>
    <row r="13" spans="2:14" ht="20.100000000000001" customHeight="1" x14ac:dyDescent="0.2">
      <c r="B13" s="1337" t="s">
        <v>2128</v>
      </c>
      <c r="C13" s="1341"/>
      <c r="D13" s="1342"/>
      <c r="E13" s="1343">
        <f>' SEFA'!E15+' SEFA'!E16</f>
        <v>40118</v>
      </c>
      <c r="F13" s="1343">
        <f>' SEFA'!F15+' SEFA'!F16</f>
        <v>22094</v>
      </c>
      <c r="G13" s="1343">
        <f>' SEFA'!G15+' SEFA'!G16</f>
        <v>55075</v>
      </c>
      <c r="H13" s="1343"/>
      <c r="I13" s="1343">
        <f>' SEFA'!I15+' SEFA'!I16</f>
        <v>7577</v>
      </c>
      <c r="J13" s="1343"/>
      <c r="K13" s="1343">
        <f>' SEFA'!K15+' SEFA'!K16</f>
        <v>0</v>
      </c>
      <c r="L13" s="1340">
        <f t="shared" si="0"/>
        <v>62652</v>
      </c>
      <c r="M13" s="1343"/>
    </row>
    <row r="14" spans="2:14" ht="20.100000000000001" customHeight="1" x14ac:dyDescent="0.2">
      <c r="B14" s="1337" t="s">
        <v>2129</v>
      </c>
      <c r="C14" s="1341"/>
      <c r="D14" s="1342"/>
      <c r="E14" s="1343">
        <f>' SEFA'!E21+' SEFA'!E22</f>
        <v>0</v>
      </c>
      <c r="F14" s="1343">
        <f>' SEFA'!F21+' SEFA'!F22</f>
        <v>291396</v>
      </c>
      <c r="G14" s="1343">
        <f>' SEFA'!G21+' SEFA'!G22</f>
        <v>0</v>
      </c>
      <c r="H14" s="1343"/>
      <c r="I14" s="1343">
        <f>' SEFA'!I21+' SEFA'!I22</f>
        <v>291396</v>
      </c>
      <c r="J14" s="1343"/>
      <c r="K14" s="1343">
        <f>' SEFA'!K21+' SEFA'!K22</f>
        <v>0</v>
      </c>
      <c r="L14" s="1340">
        <f t="shared" si="0"/>
        <v>291396</v>
      </c>
      <c r="M14" s="1343"/>
    </row>
    <row r="15" spans="2:14" ht="20.100000000000001" customHeight="1" x14ac:dyDescent="0.2">
      <c r="B15" s="1337" t="s">
        <v>2130</v>
      </c>
      <c r="C15" s="1341"/>
      <c r="D15" s="1342"/>
      <c r="E15" s="1343">
        <f>' SEFA (2)'!E15+' SEFA (2)'!E16</f>
        <v>139165</v>
      </c>
      <c r="F15" s="1343">
        <f>' SEFA (2)'!F15+' SEFA (2)'!F16</f>
        <v>152060</v>
      </c>
      <c r="G15" s="1343">
        <f>' SEFA (2)'!G15+' SEFA (2)'!G16</f>
        <v>139165</v>
      </c>
      <c r="H15" s="1343"/>
      <c r="I15" s="1343">
        <f>' SEFA (2)'!I15+' SEFA (2)'!I16</f>
        <v>152060</v>
      </c>
      <c r="J15" s="1343"/>
      <c r="K15" s="1343">
        <f>' SEFA (2)'!K15+' SEFA (2)'!K16</f>
        <v>0</v>
      </c>
      <c r="L15" s="1340">
        <f t="shared" si="0"/>
        <v>291225</v>
      </c>
      <c r="M15" s="1343"/>
    </row>
    <row r="16" spans="2:14" ht="20.100000000000001" customHeight="1" x14ac:dyDescent="0.2">
      <c r="B16" s="1337" t="s">
        <v>2131</v>
      </c>
      <c r="C16" s="1341"/>
      <c r="D16" s="1342"/>
      <c r="E16" s="1343">
        <f>' SEFA (2)'!E13+' SEFA (2)'!E14+' SEFA (2)'!E19+' SEFA (2)'!E23</f>
        <v>290227</v>
      </c>
      <c r="F16" s="1343">
        <f>' SEFA (2)'!F13+' SEFA (2)'!F14+' SEFA (2)'!F19+' SEFA (2)'!F23</f>
        <v>371280</v>
      </c>
      <c r="G16" s="1343">
        <f>' SEFA (2)'!G13+' SEFA (2)'!G14+' SEFA (2)'!G19+' SEFA (2)'!G23</f>
        <v>290227</v>
      </c>
      <c r="H16" s="1343"/>
      <c r="I16" s="1343">
        <f>' SEFA (2)'!I13+' SEFA (2)'!I14+' SEFA (2)'!I19+' SEFA (2)'!I23</f>
        <v>371280</v>
      </c>
      <c r="J16" s="1343"/>
      <c r="K16" s="1343">
        <f>' SEFA (2)'!K13+' SEFA (2)'!K14+' SEFA (2)'!K19+' SEFA (2)'!K23</f>
        <v>0</v>
      </c>
      <c r="L16" s="1340">
        <f t="shared" si="0"/>
        <v>661507</v>
      </c>
      <c r="M16" s="1343"/>
    </row>
    <row r="17" spans="2:14" ht="20.100000000000001" customHeight="1" x14ac:dyDescent="0.2">
      <c r="B17" s="1337" t="s">
        <v>2132</v>
      </c>
      <c r="C17" s="1341"/>
      <c r="D17" s="1342"/>
      <c r="E17" s="1343">
        <f>' SEFA (2)'!E17+' SEFA (2)'!E18</f>
        <v>16051</v>
      </c>
      <c r="F17" s="1343">
        <f>' SEFA (2)'!F17+' SEFA (2)'!F18</f>
        <v>27144</v>
      </c>
      <c r="G17" s="1343">
        <f>' SEFA (2)'!G17+' SEFA (2)'!G18</f>
        <v>16051</v>
      </c>
      <c r="H17" s="1343"/>
      <c r="I17" s="1343">
        <f>' SEFA (2)'!I17+' SEFA (2)'!I18</f>
        <v>27144</v>
      </c>
      <c r="J17" s="1343"/>
      <c r="K17" s="1343">
        <f>' SEFA (2)'!K17+' SEFA (2)'!K18</f>
        <v>0</v>
      </c>
      <c r="L17" s="1340">
        <f t="shared" si="0"/>
        <v>43195</v>
      </c>
      <c r="M17" s="1343"/>
    </row>
    <row r="18" spans="2:14" ht="20.100000000000001" customHeight="1" x14ac:dyDescent="0.2">
      <c r="B18" s="1337" t="s">
        <v>2133</v>
      </c>
      <c r="C18" s="1341"/>
      <c r="D18" s="1342"/>
      <c r="E18" s="1343">
        <f>' SEFA (3)'!E13</f>
        <v>0</v>
      </c>
      <c r="F18" s="1343">
        <f>' SEFA (3)'!F13</f>
        <v>21687</v>
      </c>
      <c r="G18" s="1343">
        <f>' SEFA (3)'!G13</f>
        <v>0</v>
      </c>
      <c r="H18" s="1343"/>
      <c r="I18" s="1343">
        <f>' SEFA (3)'!I13</f>
        <v>21687</v>
      </c>
      <c r="J18" s="1343"/>
      <c r="K18" s="1343">
        <f>' SEFA (3)'!K13</f>
        <v>0</v>
      </c>
      <c r="L18" s="1340">
        <f t="shared" si="0"/>
        <v>21687</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2134</v>
      </c>
      <c r="C22" s="1341"/>
      <c r="D22" s="1342"/>
      <c r="E22" s="1343">
        <f>SUM(E12:E18)</f>
        <v>802403</v>
      </c>
      <c r="F22" s="1343">
        <f>SUM(F12:F18)</f>
        <v>1320840</v>
      </c>
      <c r="G22" s="1343">
        <f>SUM(G12:G18)</f>
        <v>867916</v>
      </c>
      <c r="H22" s="1343"/>
      <c r="I22" s="1343">
        <f>SUM(I12:I18)</f>
        <v>1295075</v>
      </c>
      <c r="J22" s="1343"/>
      <c r="K22" s="1343">
        <f>SUM(K12:K18)</f>
        <v>12950</v>
      </c>
      <c r="L22" s="1340">
        <f t="shared" si="0"/>
        <v>2175941</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2137</v>
      </c>
      <c r="C25" s="1341"/>
      <c r="D25" s="1342"/>
      <c r="E25" s="1343"/>
      <c r="F25" s="1343"/>
      <c r="G25" s="1343"/>
      <c r="H25" s="1343"/>
      <c r="I25" s="1343"/>
      <c r="J25" s="1343"/>
      <c r="K25" s="1343"/>
      <c r="L25" s="1340">
        <f t="shared" si="0"/>
        <v>0</v>
      </c>
      <c r="M25" s="1343"/>
    </row>
    <row r="26" spans="2:14" ht="20.100000000000001" customHeight="1" x14ac:dyDescent="0.2">
      <c r="B26" s="1337" t="s">
        <v>2143</v>
      </c>
      <c r="C26" s="1341"/>
      <c r="D26" s="1342"/>
      <c r="E26" s="1343">
        <f>' SEFA (2)'!E20+' SEFA (2)'!E23</f>
        <v>445443</v>
      </c>
      <c r="F26" s="1343">
        <f>' SEFA (2)'!F20+' SEFA (2)'!F23</f>
        <v>550484</v>
      </c>
      <c r="G26" s="1343">
        <f>' SEFA (2)'!G20+' SEFA (2)'!G23</f>
        <v>445443</v>
      </c>
      <c r="H26" s="1343">
        <f>' SEFA (2)'!H20+' SEFA (2)'!H23</f>
        <v>0</v>
      </c>
      <c r="I26" s="1343">
        <f>' SEFA (2)'!I20+' SEFA (2)'!I23</f>
        <v>550484</v>
      </c>
      <c r="J26" s="1343"/>
      <c r="K26" s="1343">
        <f>' SEFA (2)'!K20+' SEFA (2)'!K23</f>
        <v>0</v>
      </c>
      <c r="L26" s="1340">
        <f t="shared" si="0"/>
        <v>995927</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66701A8A-4B70-4BC6-A23C-3FE9EE52CAD0}" showGridLines="0" topLeftCell="A7">
      <selection activeCell="K22" sqref="K22"/>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21F80B28-2D59-4A2F-B7F1-982D582C738E}" showPageBreaks="1" showGridLines="0" printArea="1" topLeftCell="A7">
      <selection activeCell="K22" sqref="K22"/>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 guid="{659D510F-1045-4226-8DAF-5F1FF14245AE}" showGridLines="0" topLeftCell="A7">
      <selection activeCell="K22" sqref="K22"/>
      <pageMargins left="0.75" right="0.75" top="1" bottom="0.5" header="0.5" footer="0.5"/>
      <printOptions horizontalCentered="1"/>
      <pageSetup scale="70"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4"/>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O34" sqref="O3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East Alton SD 13</v>
      </c>
      <c r="C1" s="2477"/>
      <c r="D1" s="2477"/>
      <c r="E1" s="2477"/>
      <c r="F1" s="2477"/>
      <c r="G1" s="2477"/>
      <c r="H1" s="2477"/>
      <c r="I1" s="2477"/>
      <c r="J1" s="1422"/>
    </row>
    <row r="2" spans="2:10" s="317" customFormat="1" ht="12.75" customHeight="1" x14ac:dyDescent="0.2">
      <c r="B2" s="2478">
        <f>'Single Audit Cover'!E7</f>
        <v>41057013002</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2135</v>
      </c>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2136</v>
      </c>
      <c r="E29" s="2483"/>
      <c r="F29" s="2483"/>
      <c r="G29" s="2483"/>
      <c r="H29" s="2483"/>
      <c r="I29" s="248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4" t="s">
        <v>1851</v>
      </c>
      <c r="D37" s="2485"/>
      <c r="E37" s="2485"/>
      <c r="F37" s="2486"/>
      <c r="G37" s="2484" t="s">
        <v>1674</v>
      </c>
      <c r="H37" s="2485"/>
      <c r="I37" s="2486"/>
    </row>
    <row r="38" spans="2:9" ht="16.5" customHeight="1" x14ac:dyDescent="0.2">
      <c r="B38" s="1444" t="s">
        <v>2143</v>
      </c>
      <c r="C38" s="2472" t="s">
        <v>2144</v>
      </c>
      <c r="D38" s="2473"/>
      <c r="E38" s="2473"/>
      <c r="F38" s="2474"/>
      <c r="G38" s="2487">
        <v>550483</v>
      </c>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550483</v>
      </c>
      <c r="H43" s="2468"/>
      <c r="I43" s="2468"/>
    </row>
    <row r="44" spans="2:9" ht="12.75" customHeight="1" x14ac:dyDescent="0.2"/>
    <row r="45" spans="2:9" ht="12.75" customHeight="1" x14ac:dyDescent="0.2">
      <c r="B45" s="1435" t="s">
        <v>1949</v>
      </c>
      <c r="D45" s="2469">
        <v>1295074</v>
      </c>
      <c r="E45" s="2470"/>
    </row>
    <row r="46" spans="2:9" ht="5.25" customHeight="1" x14ac:dyDescent="0.2">
      <c r="B46" s="1445"/>
      <c r="D46" s="1446"/>
      <c r="E46" s="1447"/>
    </row>
    <row r="47" spans="2:9" ht="12.75" customHeight="1" x14ac:dyDescent="0.2">
      <c r="B47" s="1300" t="s">
        <v>1676</v>
      </c>
      <c r="C47" s="1300"/>
      <c r="D47" s="1448">
        <f>+G43/D45</f>
        <v>0.42505910859147816</v>
      </c>
      <c r="E47" s="1449"/>
      <c r="F47" s="1450"/>
      <c r="I47" s="1451"/>
    </row>
    <row r="48" spans="2:9" ht="9.9499999999999993" customHeight="1" x14ac:dyDescent="0.2"/>
    <row r="49" spans="1:9" x14ac:dyDescent="0.2">
      <c r="B49" s="1368" t="s">
        <v>1335</v>
      </c>
      <c r="C49" s="1282"/>
      <c r="D49" s="1282"/>
      <c r="E49" s="2471">
        <v>750000</v>
      </c>
      <c r="F49" s="2471"/>
      <c r="G49" s="2471"/>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customSheetViews>
    <customSheetView guid="{66701A8A-4B70-4BC6-A23C-3FE9EE52CAD0}" scale="110" showGridLines="0" topLeftCell="A25">
      <selection activeCell="O34" sqref="O34"/>
      <pageMargins left="0.75" right="0.75" top="1" bottom="0.5" header="0.5" footer="0.5"/>
      <printOptions horizontalCentered="1"/>
      <pageSetup scale="89" firstPageNumber="40" orientation="portrait" r:id="rId1"/>
      <headerFooter>
        <oddFooter>&amp;C&amp;"Times New Roman,Regular"See Independent Auditor's Reports
&amp;P</oddFooter>
      </headerFooter>
    </customSheetView>
    <customSheetView guid="{21F80B28-2D59-4A2F-B7F1-982D582C738E}" scale="110" showPageBreaks="1" showGridLines="0" printArea="1" topLeftCell="A25">
      <selection activeCell="O34" sqref="O34"/>
      <pageMargins left="0.75" right="0.75" top="1" bottom="0.5" header="0.5" footer="0.5"/>
      <printOptions horizontalCentered="1"/>
      <pageSetup scale="89" firstPageNumber="40" orientation="portrait" r:id="rId2"/>
      <headerFooter>
        <oddFooter>&amp;C&amp;"Times New Roman,Regular"See Independent Auditor's Reports
&amp;P</oddFooter>
      </headerFooter>
    </customSheetView>
    <customSheetView guid="{659D510F-1045-4226-8DAF-5F1FF14245AE}" scale="110" showGridLines="0" topLeftCell="A25">
      <selection activeCell="O34" sqref="O34"/>
      <pageMargins left="0.75" right="0.75" top="1" bottom="0.5" header="0.5" footer="0.5"/>
      <printOptions horizontalCentered="1"/>
      <pageSetup scale="89" firstPageNumber="40" orientation="portrait" r:id="rId3"/>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4"/>
  <headerFooter>
    <oddFooter>&amp;C&amp;"Times New Roman,Regular"See Independent Auditor's Reports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East Alton SD 13</v>
      </c>
      <c r="C1" s="2476"/>
      <c r="D1" s="2476"/>
      <c r="E1" s="2476"/>
      <c r="F1" s="2476"/>
      <c r="G1" s="2476"/>
      <c r="H1" s="2476"/>
      <c r="I1" s="2476"/>
      <c r="J1" s="2476"/>
      <c r="K1" s="2476"/>
      <c r="L1" s="1374"/>
      <c r="M1" s="1374"/>
    </row>
    <row r="2" spans="1:13" ht="12" customHeight="1" x14ac:dyDescent="0.2">
      <c r="B2" s="2478">
        <f>'Single Audit Cover'!E7</f>
        <v>41057013002</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2095</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customSheetViews>
    <customSheetView guid="{66701A8A-4B70-4BC6-A23C-3FE9EE52CAD0}" scale="110" showGridLines="0">
      <selection activeCell="B15" sqref="B15"/>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21F80B28-2D59-4A2F-B7F1-982D582C738E}" scale="110" showPageBreaks="1" showGridLines="0">
      <selection activeCell="B15" sqref="B15"/>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659D510F-1045-4226-8DAF-5F1FF14245AE}" scale="110" showGridLines="0">
      <selection activeCell="B15" sqref="B15"/>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4"/>
  <headerFooter>
    <oddFooter>&amp;C&amp;"Times New Roman,Regular"See Independent Auditor's Reports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1"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East Alton SD 13</v>
      </c>
      <c r="C1" s="2499"/>
      <c r="D1" s="2499"/>
      <c r="E1" s="2499"/>
      <c r="F1" s="2499"/>
      <c r="G1" s="2499"/>
      <c r="H1" s="2499"/>
      <c r="I1" s="2499"/>
      <c r="J1" s="2499"/>
      <c r="K1" s="2499"/>
      <c r="L1" s="1465"/>
    </row>
    <row r="2" spans="1:12" ht="12.75" customHeight="1" x14ac:dyDescent="0.2">
      <c r="B2" s="2500">
        <f>'Single Audit Cover'!E7</f>
        <v>41057013002</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t="s">
        <v>2095</v>
      </c>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customSheetViews>
    <customSheetView guid="{66701A8A-4B70-4BC6-A23C-3FE9EE52CAD0}" scale="110" showGridLines="0" topLeftCell="A11">
      <selection activeCell="B21" sqref="B21"/>
      <pageMargins left="0.75" right="0.75" top="1" bottom="0.5" header="0.5" footer="0.5"/>
      <printOptions horizontalCentered="1"/>
      <pageSetup scale="85" firstPageNumber="42" orientation="portrait" r:id="rId1"/>
      <headerFooter>
        <oddFooter>&amp;C&amp;"Times New Roman,Regular"See Independent Auditor's Reports
&amp;P</oddFooter>
      </headerFooter>
    </customSheetView>
    <customSheetView guid="{21F80B28-2D59-4A2F-B7F1-982D582C738E}" scale="110" showPageBreaks="1" showGridLines="0" printArea="1" topLeftCell="A11">
      <selection activeCell="B21" sqref="B21"/>
      <pageMargins left="0.75" right="0.75" top="1" bottom="0.5" header="0.5" footer="0.5"/>
      <printOptions horizontalCentered="1"/>
      <pageSetup scale="85" firstPageNumber="42" orientation="portrait" r:id="rId2"/>
      <headerFooter>
        <oddFooter>&amp;C&amp;"Times New Roman,Regular"See Independent Auditor's Reports
&amp;P</oddFooter>
      </headerFooter>
    </customSheetView>
    <customSheetView guid="{659D510F-1045-4226-8DAF-5F1FF14245AE}" scale="110" showGridLines="0" topLeftCell="A11">
      <selection activeCell="B21" sqref="B21"/>
      <pageMargins left="0.75" right="0.75" top="1" bottom="0.5" header="0.5" footer="0.5"/>
      <printOptions horizontalCentered="1"/>
      <pageSetup scale="85" firstPageNumber="42" orientation="portrait" r:id="rId3"/>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4"/>
  <headerFooter>
    <oddFooter>&amp;C&amp;"Times New Roman,Regular"See Independent Auditor's Reports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6"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East Alton SD 13</v>
      </c>
      <c r="C1" s="2476"/>
      <c r="D1" s="2476"/>
      <c r="E1" s="1491"/>
    </row>
    <row r="2" spans="2:5" s="1282" customFormat="1" ht="12.75" customHeight="1" x14ac:dyDescent="0.2">
      <c r="B2" s="2478">
        <f>'Single Audit Cover'!E7</f>
        <v>41057013002</v>
      </c>
      <c r="C2" s="2478"/>
      <c r="D2" s="2478"/>
      <c r="E2" s="1492"/>
    </row>
    <row r="3" spans="2:5" ht="12.75" customHeight="1" x14ac:dyDescent="0.2">
      <c r="B3" s="2492" t="s">
        <v>1866</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2095</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66701A8A-4B70-4BC6-A23C-3FE9EE52CAD0}" scale="110" showGridLines="0" topLeftCell="A6">
      <selection activeCell="B8" sqref="B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21F80B28-2D59-4A2F-B7F1-982D582C738E}" scale="110" showPageBreaks="1" showGridLines="0" topLeftCell="A6">
      <selection activeCell="B8" sqref="B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659D510F-1045-4226-8DAF-5F1FF14245AE}" scale="110" showGridLines="0" topLeftCell="A6">
      <selection activeCell="B8" sqref="B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4"/>
  <headerFooter>
    <oddFooter>&amp;C&amp;"Times New Roman,Regular"See Independent Auditor's Reports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59622983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1.6129999999999999E-2</v>
      </c>
      <c r="E10" s="356" t="s">
        <v>1062</v>
      </c>
      <c r="F10" s="355">
        <v>4.888E-3</v>
      </c>
      <c r="G10" s="356" t="s">
        <v>1062</v>
      </c>
      <c r="H10" s="355">
        <v>1.1739999999999999E-3</v>
      </c>
      <c r="I10" s="356" t="s">
        <v>1063</v>
      </c>
      <c r="J10" s="1754">
        <f>ROUND(D10+F10+H10,5)</f>
        <v>2.2190000000000001E-2</v>
      </c>
      <c r="K10" s="222"/>
      <c r="L10" s="355">
        <v>4.8900000000000002E-3</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8890013</v>
      </c>
      <c r="E16" s="356"/>
      <c r="F16" s="1755">
        <f>SUM('Acct Summary 7-8'!C17,'Acct Summary 7-8'!D17,'Acct Summary 7-8'!F17)</f>
        <v>8658619</v>
      </c>
      <c r="G16" s="356"/>
      <c r="H16" s="1755">
        <f>SUM(D16-F16)</f>
        <v>231394</v>
      </c>
      <c r="I16" s="222"/>
      <c r="J16" s="1755">
        <f>SUM('Acct Summary 7-8'!C81,'Acct Summary 7-8'!D81,'Acct Summary 7-8'!F81,'Acct Summary 7-8'!I81)</f>
        <v>2157558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4113985.8270000005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4832549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66701A8A-4B70-4BC6-A23C-3FE9EE52CAD0}" scale="110" colorId="8" showGridLines="0" hiddenRows="1">
      <selection activeCell="L11" sqref="L11"/>
      <pageMargins left="0.75" right="0.75" top="1" bottom="0.5" header="0.5" footer="0.5"/>
      <printOptions horizontalCentered="1"/>
      <pageSetup scale="91" firstPageNumber="3" orientation="portrait" r:id="rId1"/>
      <headerFooter>
        <oddHeader>&amp;C&amp;"Times New Roman,Regular"EAST ALTON ELEMENTARY SCHOOL DISTRICT NO. 13</oddHeader>
        <oddFooter>&amp;C&amp;"Times New Roman,Regular"
&amp;P</oddFooter>
      </headerFooter>
    </customSheetView>
    <customSheetView guid="{21F80B28-2D59-4A2F-B7F1-982D582C738E}" scale="110" colorId="8" showPageBreaks="1" showGridLines="0" hiddenRows="1">
      <selection activeCell="L11" sqref="L11"/>
      <pageMargins left="0.75" right="0.75" top="1" bottom="0.5" header="0.5" footer="0.5"/>
      <printOptions horizontalCentered="1"/>
      <pageSetup scale="91" firstPageNumber="3" orientation="portrait" r:id="rId2"/>
      <headerFooter>
        <oddHeader>&amp;C&amp;"Times New Roman,Regular"EAST ALTON ELEMENTARY SCHOOL DISTRICT NO. 13</oddHeader>
        <oddFooter>&amp;C&amp;"Times New Roman,Regular"
&amp;P</oddFooter>
      </headerFooter>
    </customSheetView>
    <customSheetView guid="{659D510F-1045-4226-8DAF-5F1FF14245AE}" scale="110" colorId="8" showGridLines="0" hiddenRows="1">
      <selection activeCell="L11" sqref="L11"/>
      <pageMargins left="0.75" right="0.75" top="1" bottom="0.5" header="0.5" footer="0.5"/>
      <printOptions horizontalCentered="1"/>
      <pageSetup scale="91" firstPageNumber="3" orientation="portrait" r:id="rId3"/>
      <headerFooter>
        <oddHeader>&amp;C&amp;"Times New Roman,Regular"EAST ALTON ELEMENTARY SCHOOL DISTRICT NO. 13</oddHeader>
        <oddFooter>&amp;C&amp;"Times New Roman,Regular"
&amp;P</oddFooter>
      </headerFooter>
    </customSheetView>
  </customSheetViews>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4"/>
  <headerFooter>
    <oddHeader>&amp;C&amp;"Times New Roman,Regular"EAST ALTON ELEMENTARY SCHOOL DISTRICT NO. 13</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Alton SD 13</v>
      </c>
      <c r="E7" s="391"/>
      <c r="G7" s="252"/>
      <c r="H7" s="387"/>
      <c r="I7" s="387"/>
      <c r="J7" s="387"/>
      <c r="K7" s="387"/>
      <c r="L7" s="329"/>
      <c r="M7" s="329"/>
      <c r="N7" s="329"/>
      <c r="O7" s="329"/>
      <c r="P7" s="329"/>
    </row>
    <row r="8" spans="1:18" ht="12.75" x14ac:dyDescent="0.2">
      <c r="A8" s="329"/>
      <c r="B8" s="329"/>
      <c r="C8" s="389" t="s">
        <v>1187</v>
      </c>
      <c r="D8" s="392">
        <f>COVER!A13</f>
        <v>41057013002</v>
      </c>
      <c r="E8" s="393"/>
      <c r="G8" s="329"/>
      <c r="H8" s="329"/>
      <c r="I8" s="329"/>
      <c r="J8" s="329"/>
      <c r="K8" s="329"/>
      <c r="L8" s="329"/>
      <c r="M8" s="329"/>
      <c r="N8" s="329"/>
      <c r="O8" s="329"/>
      <c r="P8" s="329"/>
    </row>
    <row r="9" spans="1:18" ht="12.75" x14ac:dyDescent="0.2">
      <c r="A9" s="329"/>
      <c r="B9" s="329"/>
      <c r="C9" s="389" t="s">
        <v>737</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2157558</v>
      </c>
      <c r="I12" s="404"/>
      <c r="J12" s="404"/>
      <c r="K12" s="405">
        <f>TRUNC((H12/H13*100000),5)/100000</f>
        <v>0.24269458320000001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8890013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8658619</v>
      </c>
      <c r="I17" s="404"/>
      <c r="J17" s="416"/>
      <c r="K17" s="405">
        <f>TRUNC((H17/H18*100000),5)/100000</f>
        <v>0.9739714666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8890013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1870858</v>
      </c>
      <c r="I24" s="422"/>
      <c r="J24" s="422"/>
      <c r="K24" s="423">
        <f>TRUNC(((H24/H25*100000)/100000),2)</f>
        <v>77.78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24051.719440000001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1124578.8938500001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4832549</v>
      </c>
      <c r="I32" s="420"/>
      <c r="J32" s="420"/>
      <c r="K32" s="423">
        <f>TRUNC(100-((((H32/H33*100))*100)/100),2)</f>
        <v>-17.46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4113985.8270000005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66701A8A-4B70-4BC6-A23C-3FE9EE52CAD0}" scale="110" showGridLines="0" hiddenColumns="1">
      <selection activeCell="F18" sqref="F18"/>
      <pageMargins left="0.75" right="0.75" top="1" bottom="0.5" header="0.5" footer="0.5"/>
      <printOptions horizontalCentered="1"/>
      <pageSetup scale="78" firstPageNumber="4" orientation="landscape" r:id="rId1"/>
      <headerFooter>
        <oddHeader>&amp;C&amp;"Times New Roman,Regular"EAST ALTON ELEMENTARY SCHOOL DISTRICT NO. 13</oddHeader>
        <oddFooter>&amp;C&amp;"Times New Roman,Regular"
&amp;P</oddFooter>
      </headerFooter>
    </customSheetView>
    <customSheetView guid="{21F80B28-2D59-4A2F-B7F1-982D582C738E}" scale="110" showPageBreaks="1" showGridLines="0" hiddenColumns="1">
      <selection activeCell="F18" sqref="F18"/>
      <pageMargins left="0.75" right="0.75" top="1" bottom="0.5" header="0.5" footer="0.5"/>
      <printOptions horizontalCentered="1"/>
      <pageSetup scale="78" firstPageNumber="4" orientation="landscape" r:id="rId2"/>
      <headerFooter>
        <oddHeader>&amp;C&amp;"Times New Roman,Regular"EAST ALTON ELEMENTARY SCHOOL DISTRICT NO. 13</oddHeader>
        <oddFooter>&amp;C&amp;"Times New Roman,Regular"
&amp;P</oddFooter>
      </headerFooter>
    </customSheetView>
    <customSheetView guid="{659D510F-1045-4226-8DAF-5F1FF14245AE}" scale="110" showGridLines="0" hiddenColumns="1">
      <selection activeCell="F18" sqref="F18"/>
      <pageMargins left="0.75" right="0.75" top="1" bottom="0.5" header="0.5" footer="0.5"/>
      <printOptions horizontalCentered="1"/>
      <pageSetup scale="78" firstPageNumber="4" orientation="landscape" r:id="rId3"/>
      <headerFooter>
        <oddHeader>&amp;C&amp;"Times New Roman,Regular"EAST ALTON ELEMENTARY SCHOOL DISTRICT NO. 13</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4" display="www.isbe.net/sfms/p/profile.htm"/>
    <hyperlink ref="A4:R4" r:id="rId5" display="https://www.isbe.net/Pages/School-District-Financial-Profile.aspx"/>
  </hyperlinks>
  <printOptions horizontalCentered="1"/>
  <pageMargins left="0.75" right="0.75" top="1" bottom="0.5" header="0.5" footer="0.5"/>
  <pageSetup scale="78" firstPageNumber="4" orientation="landscape" r:id="rId6"/>
  <headerFooter>
    <oddHeader>&amp;C&amp;"Times New Roman,Regular"EAST ALTON ELEMENTARY SCHOOL DISTRICT NO. 13</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120" zoomScaleNormal="110" zoomScaleSheetLayoutView="120" workbookViewId="0">
      <pane ySplit="2" topLeftCell="A18" activePane="bottomLeft" state="frozen"/>
      <selection activeCell="AF38" sqref="AF38"/>
      <selection pane="bottomLeft" activeCell="J39" sqref="J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560685</v>
      </c>
      <c r="D4" s="466">
        <v>157636</v>
      </c>
      <c r="E4" s="466">
        <v>3</v>
      </c>
      <c r="F4" s="466">
        <v>44577</v>
      </c>
      <c r="G4" s="466">
        <v>54091</v>
      </c>
      <c r="H4" s="466">
        <v>888</v>
      </c>
      <c r="I4" s="466">
        <v>1107960</v>
      </c>
      <c r="J4" s="467">
        <v>21905</v>
      </c>
      <c r="K4" s="466">
        <v>12</v>
      </c>
      <c r="L4" s="466">
        <v>36686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286700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560685</v>
      </c>
      <c r="D13" s="1759">
        <f t="shared" ref="D13:L13" si="0">SUM(D4:D12)</f>
        <v>157636</v>
      </c>
      <c r="E13" s="1759">
        <f t="shared" si="0"/>
        <v>3</v>
      </c>
      <c r="F13" s="1759">
        <f t="shared" si="0"/>
        <v>44577</v>
      </c>
      <c r="G13" s="1759">
        <f t="shared" si="0"/>
        <v>54091</v>
      </c>
      <c r="H13" s="1759">
        <f t="shared" si="0"/>
        <v>888</v>
      </c>
      <c r="I13" s="1759">
        <f t="shared" si="0"/>
        <v>1394660</v>
      </c>
      <c r="J13" s="1759">
        <f t="shared" si="0"/>
        <v>21905</v>
      </c>
      <c r="K13" s="1759">
        <f t="shared" si="0"/>
        <v>12</v>
      </c>
      <c r="L13" s="1759">
        <f t="shared" si="0"/>
        <v>36686</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100686</v>
      </c>
      <c r="N16" s="484"/>
    </row>
    <row r="17" spans="1:14" s="485" customFormat="1" ht="12.75" customHeight="1" x14ac:dyDescent="0.2">
      <c r="A17" s="482" t="s">
        <v>1470</v>
      </c>
      <c r="B17" s="483">
        <v>230</v>
      </c>
      <c r="C17" s="477"/>
      <c r="D17" s="477"/>
      <c r="E17" s="477"/>
      <c r="F17" s="477"/>
      <c r="G17" s="477"/>
      <c r="H17" s="477"/>
      <c r="I17" s="477"/>
      <c r="J17" s="477"/>
      <c r="K17" s="477"/>
      <c r="L17" s="477"/>
      <c r="M17" s="467">
        <v>11690654</v>
      </c>
      <c r="N17" s="484"/>
    </row>
    <row r="18" spans="1:14" s="485" customFormat="1" ht="12.75" customHeight="1" x14ac:dyDescent="0.2">
      <c r="A18" s="482" t="s">
        <v>1471</v>
      </c>
      <c r="B18" s="483">
        <v>240</v>
      </c>
      <c r="C18" s="477"/>
      <c r="D18" s="477"/>
      <c r="E18" s="477"/>
      <c r="F18" s="477"/>
      <c r="G18" s="477"/>
      <c r="H18" s="477"/>
      <c r="I18" s="477"/>
      <c r="J18" s="477"/>
      <c r="K18" s="477"/>
      <c r="L18" s="477"/>
      <c r="M18" s="467">
        <v>3295725</v>
      </c>
      <c r="N18" s="484"/>
    </row>
    <row r="19" spans="1:14" s="485" customFormat="1" ht="12.75" customHeight="1" x14ac:dyDescent="0.2">
      <c r="A19" s="482" t="s">
        <v>1472</v>
      </c>
      <c r="B19" s="483">
        <v>250</v>
      </c>
      <c r="C19" s="477"/>
      <c r="D19" s="477"/>
      <c r="E19" s="477"/>
      <c r="F19" s="477"/>
      <c r="G19" s="477"/>
      <c r="H19" s="477"/>
      <c r="I19" s="477"/>
      <c r="J19" s="477"/>
      <c r="K19" s="477"/>
      <c r="L19" s="477"/>
      <c r="M19" s="467">
        <v>4953170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4832549</v>
      </c>
    </row>
    <row r="23" spans="1:14" ht="13.5" customHeight="1" thickBot="1" x14ac:dyDescent="0.25">
      <c r="A23" s="1758" t="s">
        <v>664</v>
      </c>
      <c r="B23" s="1763"/>
      <c r="C23" s="468"/>
      <c r="D23" s="468"/>
      <c r="E23" s="468"/>
      <c r="F23" s="468"/>
      <c r="G23" s="468"/>
      <c r="H23" s="468"/>
      <c r="I23" s="468"/>
      <c r="J23" s="468"/>
      <c r="K23" s="468"/>
      <c r="L23" s="468"/>
      <c r="M23" s="1710">
        <f>SUM(M15:M22)</f>
        <v>20040235</v>
      </c>
      <c r="N23" s="1710">
        <f>SUM(N21:N22)</f>
        <v>4832549</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v>66200</v>
      </c>
      <c r="F25" s="478"/>
      <c r="G25" s="478"/>
      <c r="H25" s="479"/>
      <c r="I25" s="468"/>
      <c r="J25" s="478"/>
      <c r="K25" s="478">
        <v>220500</v>
      </c>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36686</v>
      </c>
      <c r="M33" s="468"/>
      <c r="N33" s="469"/>
    </row>
    <row r="34" spans="1:14" ht="13.5" customHeight="1" thickBot="1" x14ac:dyDescent="0.25">
      <c r="A34" s="1760" t="s">
        <v>675</v>
      </c>
      <c r="B34" s="1761"/>
      <c r="C34" s="1762">
        <f>SUM(C25:C33)</f>
        <v>0</v>
      </c>
      <c r="D34" s="1762">
        <f t="shared" ref="D34:K34" si="1">SUM(D25:D33)</f>
        <v>0</v>
      </c>
      <c r="E34" s="1762">
        <f t="shared" si="1"/>
        <v>66200</v>
      </c>
      <c r="F34" s="1762">
        <f t="shared" si="1"/>
        <v>0</v>
      </c>
      <c r="G34" s="1762">
        <f t="shared" si="1"/>
        <v>0</v>
      </c>
      <c r="H34" s="1762">
        <f t="shared" si="1"/>
        <v>0</v>
      </c>
      <c r="I34" s="1762">
        <f t="shared" si="1"/>
        <v>0</v>
      </c>
      <c r="J34" s="1762">
        <f t="shared" si="1"/>
        <v>0</v>
      </c>
      <c r="K34" s="1762">
        <f t="shared" si="1"/>
        <v>220500</v>
      </c>
      <c r="L34" s="1743">
        <f>SUM(L33)</f>
        <v>36686</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4832549</v>
      </c>
    </row>
    <row r="37" spans="1:14" ht="13.5" thickBot="1" x14ac:dyDescent="0.25">
      <c r="A37" s="1758" t="s">
        <v>674</v>
      </c>
      <c r="B37" s="1763"/>
      <c r="C37" s="477"/>
      <c r="D37" s="477"/>
      <c r="E37" s="477"/>
      <c r="F37" s="477"/>
      <c r="G37" s="477"/>
      <c r="H37" s="477"/>
      <c r="I37" s="477"/>
      <c r="J37" s="477"/>
      <c r="K37" s="477"/>
      <c r="L37" s="480"/>
      <c r="M37" s="468"/>
      <c r="N37" s="1710">
        <f>SUM(N36:N36)</f>
        <v>4832549</v>
      </c>
    </row>
    <row r="38" spans="1:14" s="329" customFormat="1" ht="13.5" customHeight="1" thickTop="1" x14ac:dyDescent="0.2">
      <c r="A38" s="496" t="s">
        <v>440</v>
      </c>
      <c r="B38" s="483">
        <v>714</v>
      </c>
      <c r="C38" s="466"/>
      <c r="D38" s="466"/>
      <c r="E38" s="466"/>
      <c r="F38" s="466"/>
      <c r="G38" s="466">
        <v>27283</v>
      </c>
      <c r="H38" s="466"/>
      <c r="I38" s="466"/>
      <c r="J38" s="467"/>
      <c r="K38" s="466"/>
      <c r="L38" s="481"/>
      <c r="M38" s="497"/>
      <c r="N38" s="497"/>
    </row>
    <row r="39" spans="1:14" s="329" customFormat="1" ht="13.5" customHeight="1" x14ac:dyDescent="0.2">
      <c r="A39" s="496" t="s">
        <v>360</v>
      </c>
      <c r="B39" s="483">
        <v>730</v>
      </c>
      <c r="C39" s="466">
        <v>560685</v>
      </c>
      <c r="D39" s="466">
        <v>157636</v>
      </c>
      <c r="E39" s="466">
        <v>-66197</v>
      </c>
      <c r="F39" s="466">
        <v>44577</v>
      </c>
      <c r="G39" s="466">
        <v>26808</v>
      </c>
      <c r="H39" s="466">
        <v>888</v>
      </c>
      <c r="I39" s="466">
        <v>1394660</v>
      </c>
      <c r="J39" s="467">
        <v>21905</v>
      </c>
      <c r="K39" s="466">
        <v>-220488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20040235</v>
      </c>
      <c r="N40" s="497"/>
    </row>
    <row r="41" spans="1:14" ht="13.5" customHeight="1" thickBot="1" x14ac:dyDescent="0.25">
      <c r="A41" s="1758" t="s">
        <v>676</v>
      </c>
      <c r="B41" s="1728"/>
      <c r="C41" s="1710">
        <f>(SUM(C34,C37,C38,C39))</f>
        <v>560685</v>
      </c>
      <c r="D41" s="1710">
        <f t="shared" ref="D41:L41" si="2">SUM(D34,D37,D38:D39)</f>
        <v>157636</v>
      </c>
      <c r="E41" s="1710">
        <f t="shared" si="2"/>
        <v>3</v>
      </c>
      <c r="F41" s="1710">
        <f t="shared" si="2"/>
        <v>44577</v>
      </c>
      <c r="G41" s="1710">
        <f t="shared" si="2"/>
        <v>54091</v>
      </c>
      <c r="H41" s="1710">
        <f t="shared" si="2"/>
        <v>888</v>
      </c>
      <c r="I41" s="1710">
        <f t="shared" si="2"/>
        <v>1394660</v>
      </c>
      <c r="J41" s="1710">
        <f t="shared" si="2"/>
        <v>21905</v>
      </c>
      <c r="K41" s="1710">
        <f t="shared" si="2"/>
        <v>12</v>
      </c>
      <c r="L41" s="1710">
        <f t="shared" si="2"/>
        <v>36686</v>
      </c>
      <c r="M41" s="1710">
        <f>SUM(M40)</f>
        <v>20040235</v>
      </c>
      <c r="N41" s="1710">
        <f>SUM(N37)</f>
        <v>4832549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66701A8A-4B70-4BC6-A23C-3FE9EE52CAD0}" scale="120" colorId="8" showPageBreaks="1" showGridLines="0" printArea="1" view="pageBreakPreview">
      <pane ySplit="2" topLeftCell="A18" activePane="bottomLeft" state="frozen"/>
      <selection pane="bottomLeft" activeCell="J39" sqref="J39"/>
      <pageMargins left="0.75" right="0.75" top="1.75" bottom="0.5" header="0.5" footer="0.5"/>
      <printOptions horizontalCentered="1"/>
      <pageSetup scale="56" firstPageNumber="13" orientation="landscape" useFirstPageNumber="1" r:id="rId1"/>
      <headerFooter>
        <oddHeader>&amp;C&amp;"Times New Roman,Regular"EAST ALTON ELEMENTARY SCHOOL DISTRICT NO. 13
STATEMENT OF ASSETS AND LIABILITIES ARISING FROM CASH TRANSACTIONS - CASH - REGULATORY BASIS
ALL FUNDS AND ACCOUNT GROUPS
JUNE 30, 2018</oddHeader>
        <oddFooter>&amp;C&amp;"Times New Roman,Regular"See Notes to Financial Statements and Independent Auditor's Reports
&amp;P</oddFooter>
      </headerFooter>
    </customSheetView>
    <customSheetView guid="{21F80B28-2D59-4A2F-B7F1-982D582C738E}" scale="120" colorId="8" showPageBreaks="1" showGridLines="0" printArea="1" view="pageBreakPreview">
      <pane ySplit="2" topLeftCell="A18" activePane="bottomLeft" state="frozen"/>
      <selection pane="bottomLeft" activeCell="J39" sqref="J39"/>
      <pageMargins left="0.75" right="0.75" top="1.75" bottom="0.5" header="0.5" footer="0.5"/>
      <printOptions horizontalCentered="1"/>
      <pageSetup scale="56" firstPageNumber="13" orientation="landscape" useFirstPageNumber="1" r:id="rId2"/>
      <headerFooter>
        <oddHeader>&amp;C&amp;"Times New Roman,Regular"EAST ALTON ELEMENTARY SCHOOL DISTRICT NO. 13
STATEMENT OF ASSETS AND LIABILITIES ARISING FROM CASH TRANSACTIONS - CASH - REGULATORY BASIS
ALL FUNDS AND ACCOUNT GROUPS
JUNE 30, 2018</oddHeader>
        <oddFooter>&amp;C&amp;"Times New Roman,Regular"See Notes to Financial Statements and Independent Auditor's Reports
&amp;P</oddFooter>
      </headerFooter>
    </customSheetView>
    <customSheetView guid="{659D510F-1045-4226-8DAF-5F1FF14245AE}" scale="120" colorId="8" showPageBreaks="1" showGridLines="0" printArea="1" view="pageBreakPreview">
      <pane ySplit="2" topLeftCell="A18" activePane="bottomLeft" state="frozen"/>
      <selection pane="bottomLeft" activeCell="J39" sqref="J39"/>
      <pageMargins left="0.75" right="0.75" top="1.75" bottom="0.5" header="0.5" footer="0.5"/>
      <printOptions horizontalCentered="1"/>
      <pageSetup scale="56" firstPageNumber="13" orientation="landscape" useFirstPageNumber="1" r:id="rId3"/>
      <headerFooter>
        <oddHeader>&amp;C&amp;"Times New Roman,Regular"EAST ALTON ELEMENTARY SCHOOL DISTRICT NO. 13
STATEMENT OF ASSETS AND LIABILITIES ARISING FROM CASH TRANSACTIONS - CASH - REGULATORY BASIS
ALL FUNDS AND ACCOUNT GROUPS
JUNE 30, 2018</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2" type="noConversion"/>
  <printOptions horizontalCentered="1" gridLinesSet="0"/>
  <pageMargins left="0.75" right="0.75" top="1.75" bottom="0.5" header="0.5" footer="0.5"/>
  <pageSetup scale="56" firstPageNumber="13" orientation="landscape" useFirstPageNumber="1" r:id="rId4"/>
  <headerFooter>
    <oddHeader>&amp;C&amp;"Times New Roman,Regular"EAST ALTON ELEMENTARY SCHOOL DISTRICT NO. 13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80" workbookViewId="0">
      <pane ySplit="2" topLeftCell="A3" activePane="bottomLeft" state="frozenSplit"/>
      <selection activeCell="AF38" sqref="AF38"/>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1464714</v>
      </c>
      <c r="D4" s="1764">
        <f>'Revenues 9-14'!D109</f>
        <v>545545</v>
      </c>
      <c r="E4" s="1764">
        <f>'Revenues 9-14'!E109</f>
        <v>540675</v>
      </c>
      <c r="F4" s="1764">
        <f>'Revenues 9-14'!F109</f>
        <v>65941</v>
      </c>
      <c r="G4" s="1764">
        <f>'Revenues 9-14'!G109</f>
        <v>251530</v>
      </c>
      <c r="H4" s="1764">
        <f>'Revenues 9-14'!H109</f>
        <v>0</v>
      </c>
      <c r="I4" s="1764">
        <f>'Revenues 9-14'!I109</f>
        <v>37987</v>
      </c>
      <c r="J4" s="1764">
        <f>'Revenues 9-14'!J109</f>
        <v>627089</v>
      </c>
      <c r="K4" s="1764">
        <f>'Revenues 9-14'!K109</f>
        <v>25977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5157570</v>
      </c>
      <c r="D6" s="1765">
        <f>'Revenues 9-14'!D173</f>
        <v>0</v>
      </c>
      <c r="E6" s="1765">
        <f>'Revenues 9-14'!E173</f>
        <v>0</v>
      </c>
      <c r="F6" s="1765">
        <f>'Revenues 9-14'!F173</f>
        <v>249610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1316089</v>
      </c>
      <c r="D7" s="1765">
        <f>'Revenues 9-14'!D274</f>
        <v>52557</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7938373</v>
      </c>
      <c r="D8" s="1710">
        <f t="shared" ref="D8:K8" si="0">SUM(D4:D7)</f>
        <v>598102</v>
      </c>
      <c r="E8" s="1710">
        <f t="shared" si="0"/>
        <v>540675</v>
      </c>
      <c r="F8" s="1710">
        <f t="shared" si="0"/>
        <v>315551</v>
      </c>
      <c r="G8" s="1710">
        <f t="shared" si="0"/>
        <v>251530</v>
      </c>
      <c r="H8" s="1710">
        <f t="shared" si="0"/>
        <v>0</v>
      </c>
      <c r="I8" s="1710">
        <f t="shared" si="0"/>
        <v>37987</v>
      </c>
      <c r="J8" s="1710">
        <f t="shared" si="0"/>
        <v>627089</v>
      </c>
      <c r="K8" s="1710">
        <f t="shared" si="0"/>
        <v>25977</v>
      </c>
      <c r="L8" s="347"/>
    </row>
    <row r="9" spans="1:13" ht="15.75" thickTop="1" x14ac:dyDescent="0.2">
      <c r="A9" s="514" t="s">
        <v>1752</v>
      </c>
      <c r="B9" s="515">
        <v>3998</v>
      </c>
      <c r="C9" s="481">
        <v>3524886</v>
      </c>
      <c r="D9" s="516"/>
      <c r="E9" s="481"/>
      <c r="F9" s="481"/>
      <c r="G9" s="517"/>
      <c r="H9" s="481"/>
      <c r="I9" s="509" t="s">
        <v>1231</v>
      </c>
      <c r="J9" s="478"/>
      <c r="K9" s="481"/>
      <c r="L9" s="347"/>
    </row>
    <row r="10" spans="1:13" s="519" customFormat="1" ht="13.5" thickBot="1" x14ac:dyDescent="0.25">
      <c r="A10" s="1758" t="s">
        <v>1235</v>
      </c>
      <c r="B10" s="1731"/>
      <c r="C10" s="1710">
        <f>SUM(C8:C9)</f>
        <v>11463259</v>
      </c>
      <c r="D10" s="1710">
        <f t="shared" ref="D10:K10" si="1">SUM(D8:D9)</f>
        <v>598102</v>
      </c>
      <c r="E10" s="1710">
        <f t="shared" si="1"/>
        <v>540675</v>
      </c>
      <c r="F10" s="1710">
        <f t="shared" si="1"/>
        <v>315551</v>
      </c>
      <c r="G10" s="1710">
        <f t="shared" si="1"/>
        <v>251530</v>
      </c>
      <c r="H10" s="1710">
        <f t="shared" si="1"/>
        <v>0</v>
      </c>
      <c r="I10" s="1710">
        <f t="shared" si="1"/>
        <v>37987</v>
      </c>
      <c r="J10" s="1710">
        <f t="shared" si="1"/>
        <v>627089</v>
      </c>
      <c r="K10" s="1710">
        <f t="shared" si="1"/>
        <v>25977</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4926086</v>
      </c>
      <c r="D12" s="520" t="s">
        <v>1231</v>
      </c>
      <c r="E12" s="468" t="s">
        <v>1231</v>
      </c>
      <c r="F12" s="468" t="s">
        <v>1231</v>
      </c>
      <c r="G12" s="1764">
        <f>'Expenditures 15-22'!K229</f>
        <v>93176</v>
      </c>
      <c r="H12" s="521"/>
      <c r="I12" s="468" t="s">
        <v>1231</v>
      </c>
      <c r="J12" s="468" t="s">
        <v>1231</v>
      </c>
      <c r="K12" s="521" t="s">
        <v>1231</v>
      </c>
      <c r="L12" s="347"/>
    </row>
    <row r="13" spans="1:13" ht="15.75" customHeight="1" x14ac:dyDescent="0.2">
      <c r="A13" s="1598" t="s">
        <v>477</v>
      </c>
      <c r="B13" s="1600">
        <v>2000</v>
      </c>
      <c r="C13" s="1765">
        <f>'Expenditures 15-22'!K74</f>
        <v>2398627</v>
      </c>
      <c r="D13" s="1765">
        <f>'Expenditures 15-22'!K129</f>
        <v>611340</v>
      </c>
      <c r="E13" s="469" t="s">
        <v>1231</v>
      </c>
      <c r="F13" s="1765">
        <f>'Expenditures 15-22'!K184</f>
        <v>253385</v>
      </c>
      <c r="G13" s="1765">
        <f>'Expenditures 15-22'!K279</f>
        <v>221173</v>
      </c>
      <c r="H13" s="1765">
        <f>'Expenditures 15-22'!K303</f>
        <v>0</v>
      </c>
      <c r="I13" s="468" t="s">
        <v>1231</v>
      </c>
      <c r="J13" s="1765">
        <f>'Expenditures 15-22'!K330</f>
        <v>674290</v>
      </c>
      <c r="K13" s="1769">
        <f>'Expenditures 15-22'!K352</f>
        <v>0</v>
      </c>
      <c r="L13" s="347"/>
    </row>
    <row r="14" spans="1:13" ht="15.75" customHeight="1" x14ac:dyDescent="0.2">
      <c r="A14" s="1598" t="s">
        <v>469</v>
      </c>
      <c r="B14" s="1600">
        <v>3000</v>
      </c>
      <c r="C14" s="1765">
        <f>'Expenditures 15-22'!K75</f>
        <v>198423</v>
      </c>
      <c r="D14" s="1765">
        <f>'Expenditures 15-22'!K130</f>
        <v>0</v>
      </c>
      <c r="E14" s="520" t="s">
        <v>1231</v>
      </c>
      <c r="F14" s="1765">
        <f>'Expenditures 15-22'!K185</f>
        <v>0</v>
      </c>
      <c r="G14" s="1765">
        <f>'Expenditures 15-22'!K280</f>
        <v>26037</v>
      </c>
      <c r="H14" s="512"/>
      <c r="I14" s="468" t="s">
        <v>1231</v>
      </c>
      <c r="J14" s="468" t="s">
        <v>1231</v>
      </c>
      <c r="K14" s="512" t="s">
        <v>1231</v>
      </c>
      <c r="L14" s="347"/>
    </row>
    <row r="15" spans="1:13" ht="15.75" customHeight="1" x14ac:dyDescent="0.2">
      <c r="A15" s="1598" t="s">
        <v>109</v>
      </c>
      <c r="B15" s="1600">
        <v>4000</v>
      </c>
      <c r="C15" s="1765">
        <f>'Expenditures 15-22'!K102</f>
        <v>270758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610106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7793894</v>
      </c>
      <c r="D17" s="1710">
        <f t="shared" si="2"/>
        <v>611340</v>
      </c>
      <c r="E17" s="1710">
        <f t="shared" si="2"/>
        <v>610106</v>
      </c>
      <c r="F17" s="1710">
        <f t="shared" si="2"/>
        <v>253385</v>
      </c>
      <c r="G17" s="1710">
        <f t="shared" si="2"/>
        <v>340386</v>
      </c>
      <c r="H17" s="1710">
        <f t="shared" si="2"/>
        <v>0</v>
      </c>
      <c r="I17" s="468"/>
      <c r="J17" s="1710">
        <f>SUM(J12:J16)</f>
        <v>674290</v>
      </c>
      <c r="K17" s="1710">
        <f>SUM(K12:K16)</f>
        <v>0</v>
      </c>
      <c r="L17" s="347"/>
    </row>
    <row r="18" spans="1:12" ht="15" customHeight="1" thickTop="1" x14ac:dyDescent="0.2">
      <c r="A18" s="1766" t="s">
        <v>1753</v>
      </c>
      <c r="B18" s="1767">
        <v>4180</v>
      </c>
      <c r="C18" s="1764">
        <f t="shared" ref="C18:H18" si="3">C9</f>
        <v>3524886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11318780</v>
      </c>
      <c r="D19" s="1710">
        <f t="shared" si="4"/>
        <v>611340</v>
      </c>
      <c r="E19" s="1710">
        <f t="shared" si="4"/>
        <v>610106</v>
      </c>
      <c r="F19" s="1710">
        <f t="shared" si="4"/>
        <v>253385</v>
      </c>
      <c r="G19" s="1710">
        <f t="shared" si="4"/>
        <v>340386</v>
      </c>
      <c r="H19" s="1710">
        <f t="shared" si="4"/>
        <v>0</v>
      </c>
      <c r="I19" s="468"/>
      <c r="J19" s="1710">
        <f>SUM(J17:J18)</f>
        <v>674290</v>
      </c>
      <c r="K19" s="1710">
        <f>SUM(K17:K18)</f>
        <v>0</v>
      </c>
      <c r="L19" s="347"/>
    </row>
    <row r="20" spans="1:12" ht="16.5" thickTop="1" thickBot="1" x14ac:dyDescent="0.25">
      <c r="A20" s="2142" t="s">
        <v>1754</v>
      </c>
      <c r="B20" s="2143"/>
      <c r="C20" s="1768">
        <f>C8-C17</f>
        <v>144479</v>
      </c>
      <c r="D20" s="1768">
        <f t="shared" ref="D20:K20" si="5">D8-D17</f>
        <v>-13238</v>
      </c>
      <c r="E20" s="1768">
        <f t="shared" si="5"/>
        <v>-69431</v>
      </c>
      <c r="F20" s="1768">
        <f t="shared" si="5"/>
        <v>62166</v>
      </c>
      <c r="G20" s="1768">
        <f t="shared" si="5"/>
        <v>-88856</v>
      </c>
      <c r="H20" s="1768">
        <f t="shared" si="5"/>
        <v>0</v>
      </c>
      <c r="I20" s="1768">
        <f t="shared" si="5"/>
        <v>37987</v>
      </c>
      <c r="J20" s="1768">
        <f t="shared" si="5"/>
        <v>-47201</v>
      </c>
      <c r="K20" s="1768">
        <f t="shared" si="5"/>
        <v>25977</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11026</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v>108707</v>
      </c>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20058</v>
      </c>
      <c r="F37" s="475"/>
      <c r="G37" s="475"/>
      <c r="H37" s="475"/>
      <c r="I37" s="477"/>
      <c r="J37" s="475"/>
      <c r="K37" s="475"/>
      <c r="L37" s="524"/>
    </row>
    <row r="38" spans="1:12" s="485" customFormat="1" x14ac:dyDescent="0.2">
      <c r="A38" s="1511" t="s">
        <v>462</v>
      </c>
      <c r="B38" s="525">
        <v>7500</v>
      </c>
      <c r="C38" s="477"/>
      <c r="D38" s="477"/>
      <c r="E38" s="1765">
        <f>SUM(C58:D61,H58:H61)</f>
        <v>2977</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119733</v>
      </c>
      <c r="D44" s="1725">
        <f t="shared" ref="D44:K44" si="6">SUM(D24:D43)</f>
        <v>0</v>
      </c>
      <c r="E44" s="1725">
        <f t="shared" si="6"/>
        <v>23035</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11026</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20058</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v>2977</v>
      </c>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23035</v>
      </c>
      <c r="D76" s="1725">
        <f t="shared" si="7"/>
        <v>0</v>
      </c>
      <c r="E76" s="1725">
        <f t="shared" si="7"/>
        <v>0</v>
      </c>
      <c r="F76" s="1725">
        <f t="shared" si="7"/>
        <v>0</v>
      </c>
      <c r="G76" s="1725">
        <f t="shared" si="7"/>
        <v>0</v>
      </c>
      <c r="H76" s="1725">
        <f t="shared" si="7"/>
        <v>0</v>
      </c>
      <c r="I76" s="1725">
        <f t="shared" si="7"/>
        <v>11026</v>
      </c>
      <c r="J76" s="1725">
        <f t="shared" si="7"/>
        <v>0</v>
      </c>
      <c r="K76" s="1725">
        <f t="shared" si="7"/>
        <v>0</v>
      </c>
      <c r="L76" s="524"/>
    </row>
    <row r="77" spans="1:12" ht="14.25" thickTop="1" thickBot="1" x14ac:dyDescent="0.25">
      <c r="A77" s="2134" t="s">
        <v>1239</v>
      </c>
      <c r="B77" s="2135"/>
      <c r="C77" s="1725">
        <f t="shared" ref="C77:K77" si="8">C44-C76</f>
        <v>96698</v>
      </c>
      <c r="D77" s="1725">
        <f t="shared" si="8"/>
        <v>0</v>
      </c>
      <c r="E77" s="1725">
        <f t="shared" si="8"/>
        <v>23035</v>
      </c>
      <c r="F77" s="1725">
        <f t="shared" si="8"/>
        <v>0</v>
      </c>
      <c r="G77" s="1725">
        <f t="shared" si="8"/>
        <v>0</v>
      </c>
      <c r="H77" s="1725">
        <f t="shared" si="8"/>
        <v>0</v>
      </c>
      <c r="I77" s="1725">
        <f t="shared" si="8"/>
        <v>-11026</v>
      </c>
      <c r="J77" s="1725">
        <f t="shared" si="8"/>
        <v>0</v>
      </c>
      <c r="K77" s="1725">
        <f t="shared" si="8"/>
        <v>0</v>
      </c>
      <c r="L77" s="347"/>
    </row>
    <row r="78" spans="1:12" ht="21.75" customHeight="1" thickTop="1" thickBot="1" x14ac:dyDescent="0.25">
      <c r="A78" s="2138" t="s">
        <v>618</v>
      </c>
      <c r="B78" s="2139"/>
      <c r="C78" s="1724">
        <f t="shared" ref="C78:K78" si="9">C20+C77</f>
        <v>241177</v>
      </c>
      <c r="D78" s="1724">
        <f t="shared" si="9"/>
        <v>-13238</v>
      </c>
      <c r="E78" s="1724">
        <f t="shared" si="9"/>
        <v>-46396</v>
      </c>
      <c r="F78" s="1724">
        <f t="shared" si="9"/>
        <v>62166</v>
      </c>
      <c r="G78" s="1724">
        <f t="shared" si="9"/>
        <v>-88856</v>
      </c>
      <c r="H78" s="1724">
        <f t="shared" si="9"/>
        <v>0</v>
      </c>
      <c r="I78" s="1724">
        <f t="shared" si="9"/>
        <v>26961</v>
      </c>
      <c r="J78" s="1724">
        <f t="shared" si="9"/>
        <v>-47201</v>
      </c>
      <c r="K78" s="1724">
        <f t="shared" si="9"/>
        <v>25977</v>
      </c>
      <c r="L78" s="533"/>
    </row>
    <row r="79" spans="1:12" ht="13.5" thickTop="1" x14ac:dyDescent="0.2">
      <c r="A79" s="1516" t="s">
        <v>2070</v>
      </c>
      <c r="B79" s="534"/>
      <c r="C79" s="478">
        <v>319508</v>
      </c>
      <c r="D79" s="535">
        <v>170874</v>
      </c>
      <c r="E79" s="535">
        <v>-19801</v>
      </c>
      <c r="F79" s="535">
        <v>-17589</v>
      </c>
      <c r="G79" s="535">
        <v>142947</v>
      </c>
      <c r="H79" s="535">
        <v>888</v>
      </c>
      <c r="I79" s="535">
        <v>1367699</v>
      </c>
      <c r="J79" s="535">
        <v>69106</v>
      </c>
      <c r="K79" s="535">
        <v>-246465</v>
      </c>
      <c r="L79" s="347"/>
    </row>
    <row r="80" spans="1:12" x14ac:dyDescent="0.2">
      <c r="A80" s="2144" t="s">
        <v>1895</v>
      </c>
      <c r="B80" s="2145"/>
      <c r="C80" s="467"/>
      <c r="D80" s="467"/>
      <c r="E80" s="467"/>
      <c r="F80" s="467"/>
      <c r="G80" s="467"/>
      <c r="H80" s="467"/>
      <c r="I80" s="467"/>
      <c r="J80" s="467"/>
      <c r="K80" s="467"/>
      <c r="L80" s="347"/>
    </row>
    <row r="81" spans="1:12" ht="13.5" thickBot="1" x14ac:dyDescent="0.25">
      <c r="A81" s="2136" t="s">
        <v>2071</v>
      </c>
      <c r="B81" s="2137"/>
      <c r="C81" s="1710">
        <f>(SUM(C78:C80))</f>
        <v>560685</v>
      </c>
      <c r="D81" s="1710">
        <f>SUM(D78:D80)</f>
        <v>157636</v>
      </c>
      <c r="E81" s="1710">
        <f t="shared" ref="E81:K81" si="10">SUM(E78:E80)</f>
        <v>-66197</v>
      </c>
      <c r="F81" s="1710">
        <f t="shared" si="10"/>
        <v>44577</v>
      </c>
      <c r="G81" s="1710">
        <f t="shared" si="10"/>
        <v>54091</v>
      </c>
      <c r="H81" s="1710">
        <f t="shared" si="10"/>
        <v>888</v>
      </c>
      <c r="I81" s="1710">
        <f t="shared" si="10"/>
        <v>1394660</v>
      </c>
      <c r="J81" s="1710">
        <f t="shared" si="10"/>
        <v>21905</v>
      </c>
      <c r="K81" s="1710">
        <f t="shared" si="10"/>
        <v>-220488</v>
      </c>
      <c r="L81" s="347"/>
    </row>
    <row r="82" spans="1:12" ht="0.75" customHeight="1" thickTop="1" thickBot="1" x14ac:dyDescent="0.25">
      <c r="A82" s="536" t="s">
        <v>361</v>
      </c>
      <c r="B82" s="537"/>
      <c r="C82" s="538">
        <f>(C81-C79)</f>
        <v>241177</v>
      </c>
      <c r="D82" s="538">
        <f t="shared" ref="D82:K82" si="11">(D81-D79)</f>
        <v>-13238</v>
      </c>
      <c r="E82" s="538">
        <f t="shared" si="11"/>
        <v>-46396</v>
      </c>
      <c r="F82" s="538">
        <f t="shared" si="11"/>
        <v>62166</v>
      </c>
      <c r="G82" s="538">
        <f t="shared" si="11"/>
        <v>-88856</v>
      </c>
      <c r="H82" s="538">
        <f t="shared" si="11"/>
        <v>0</v>
      </c>
      <c r="I82" s="538">
        <f t="shared" si="11"/>
        <v>26961</v>
      </c>
      <c r="J82" s="538">
        <f t="shared" si="11"/>
        <v>-47201</v>
      </c>
      <c r="K82" s="538">
        <f t="shared" si="11"/>
        <v>25977</v>
      </c>
    </row>
    <row r="83" spans="1:12" ht="14.25" hidden="1" thickTop="1" thickBot="1" x14ac:dyDescent="0.25">
      <c r="A83" s="539" t="s">
        <v>362</v>
      </c>
      <c r="B83" s="464"/>
      <c r="C83" s="540">
        <f>C82/C81</f>
        <v>0.43014705226642408</v>
      </c>
      <c r="D83" s="540">
        <f t="shared" ref="D83:K83" si="12">D82/D81</f>
        <v>-8.3978279073308126E-2</v>
      </c>
      <c r="E83" s="540">
        <f t="shared" si="12"/>
        <v>0.70087768327869848</v>
      </c>
      <c r="F83" s="540">
        <f t="shared" si="12"/>
        <v>1.394575678040245</v>
      </c>
      <c r="G83" s="540">
        <f t="shared" si="12"/>
        <v>-1.6427132055240243</v>
      </c>
      <c r="H83" s="540">
        <f t="shared" si="12"/>
        <v>0</v>
      </c>
      <c r="I83" s="540">
        <f t="shared" si="12"/>
        <v>1.9331593363256995E-2</v>
      </c>
      <c r="J83" s="540">
        <f t="shared" si="12"/>
        <v>-2.154804839077836</v>
      </c>
      <c r="K83" s="540">
        <f t="shared" si="12"/>
        <v>-0.11781593556111897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66701A8A-4B70-4BC6-A23C-3FE9EE52CAD0}" scale="110" colorId="8" showGridLines="0" hiddenRows="1">
      <pane ySplit="2" topLeftCell="A3" activePane="bottomLeft" state="frozenSplit"/>
      <selection pane="bottomLeft" activeCell="C10" sqref="C10"/>
      <pageMargins left="0.75" right="0.75" top="1.25" bottom="0.5" header="0.5" footer="0.5"/>
      <printOptions horizontalCentered="1"/>
      <pageSetup scale="48" firstPageNumber="7" orientation="portrait" r:id="rId1"/>
      <headerFooter>
        <oddHeader>&amp;C&amp;"Times New Roman,Regular"EAST ALTON ELEMENTARY SCHOOL DISTRICT NO. 13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customSheetView>
    <customSheetView guid="{21F80B28-2D59-4A2F-B7F1-982D582C738E}" scale="110" colorId="8" showPageBreaks="1" showGridLines="0" hiddenRows="1">
      <pane ySplit="2" topLeftCell="A3" activePane="bottomLeft" state="frozenSplit"/>
      <selection pane="bottomLeft" activeCell="C10" sqref="C10"/>
      <pageMargins left="0.75" right="0.75" top="1.25" bottom="0.5" header="0.5" footer="0.5"/>
      <printOptions horizontalCentered="1"/>
      <pageSetup scale="48" firstPageNumber="7" orientation="portrait" r:id="rId2"/>
      <headerFooter>
        <oddHeader>&amp;C&amp;"Times New Roman,Regular"EAST ALTON ELEMENTARY SCHOOL DISTRICT NO. 13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customSheetView>
    <customSheetView guid="{659D510F-1045-4226-8DAF-5F1FF14245AE}" scale="110" colorId="8" showGridLines="0" hiddenRows="1">
      <pane ySplit="2" topLeftCell="A3" activePane="bottomLeft" state="frozenSplit"/>
      <selection pane="bottomLeft" activeCell="C10" sqref="C10"/>
      <pageMargins left="0.75" right="0.75" top="1.25" bottom="0.5" header="0.5" footer="0.5"/>
      <printOptions horizontalCentered="1"/>
      <pageSetup scale="48" firstPageNumber="7" orientation="portrait" r:id="rId3"/>
      <headerFooter>
        <oddHeader>&amp;C&amp;"Times New Roman,Regular"EAST ALTON ELEMENTARY SCHOOL DISTRICT NO. 13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4"/>
  <headerFooter>
    <oddHeader>&amp;C&amp;"Times New Roman,Regular"EAST ALTON ELEMENTARY SCHOOL DISTRICT NO. 13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48" activePane="bottomLeft" state="frozen"/>
      <selection activeCell="AF38" sqref="AF38"/>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1902</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888291</v>
      </c>
      <c r="D5" s="481">
        <v>269210</v>
      </c>
      <c r="E5" s="466">
        <v>540022</v>
      </c>
      <c r="F5" s="548">
        <v>64646</v>
      </c>
      <c r="G5" s="466">
        <v>105520</v>
      </c>
      <c r="H5" s="466"/>
      <c r="I5" s="466">
        <v>26957</v>
      </c>
      <c r="J5" s="467">
        <v>625752</v>
      </c>
      <c r="K5" s="466">
        <v>25973</v>
      </c>
    </row>
    <row r="6" spans="1:12" ht="15" x14ac:dyDescent="0.2">
      <c r="A6" s="463" t="s">
        <v>1761</v>
      </c>
      <c r="B6" s="470">
        <v>1130</v>
      </c>
      <c r="C6" s="466">
        <v>26957</v>
      </c>
      <c r="D6" s="466"/>
      <c r="E6" s="475"/>
      <c r="F6" s="475"/>
      <c r="G6" s="468"/>
      <c r="H6" s="468"/>
      <c r="I6" s="468"/>
      <c r="J6" s="468"/>
      <c r="K6" s="468"/>
    </row>
    <row r="7" spans="1:12" x14ac:dyDescent="0.2">
      <c r="A7" s="463" t="s">
        <v>112</v>
      </c>
      <c r="B7" s="549">
        <v>1140</v>
      </c>
      <c r="C7" s="466">
        <v>10785</v>
      </c>
      <c r="D7" s="466"/>
      <c r="E7" s="468"/>
      <c r="F7" s="467"/>
      <c r="G7" s="467"/>
      <c r="H7" s="467"/>
      <c r="I7" s="468"/>
      <c r="J7" s="468"/>
      <c r="K7" s="468"/>
    </row>
    <row r="8" spans="1:12" x14ac:dyDescent="0.2">
      <c r="A8" s="463" t="s">
        <v>433</v>
      </c>
      <c r="B8" s="470">
        <v>1150</v>
      </c>
      <c r="C8" s="475"/>
      <c r="D8" s="475"/>
      <c r="E8" s="477"/>
      <c r="F8" s="477"/>
      <c r="G8" s="481">
        <v>95683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926033</v>
      </c>
      <c r="D12" s="1729">
        <f t="shared" si="0"/>
        <v>269210</v>
      </c>
      <c r="E12" s="1729">
        <f t="shared" si="0"/>
        <v>540022</v>
      </c>
      <c r="F12" s="1729">
        <f t="shared" si="0"/>
        <v>64646</v>
      </c>
      <c r="G12" s="1729">
        <f t="shared" si="0"/>
        <v>201203</v>
      </c>
      <c r="H12" s="1729">
        <f t="shared" si="0"/>
        <v>0</v>
      </c>
      <c r="I12" s="1729">
        <f t="shared" si="0"/>
        <v>26957</v>
      </c>
      <c r="J12" s="1729">
        <f t="shared" si="0"/>
        <v>625752</v>
      </c>
      <c r="K12" s="1710">
        <f t="shared" si="0"/>
        <v>25973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145</v>
      </c>
      <c r="D14" s="466">
        <v>42</v>
      </c>
      <c r="E14" s="466">
        <v>85</v>
      </c>
      <c r="F14" s="466">
        <v>10</v>
      </c>
      <c r="G14" s="466">
        <v>31</v>
      </c>
      <c r="H14" s="466"/>
      <c r="I14" s="466">
        <v>4</v>
      </c>
      <c r="J14" s="467">
        <v>98</v>
      </c>
      <c r="K14" s="466">
        <v>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363372</v>
      </c>
      <c r="D16" s="466">
        <v>254886</v>
      </c>
      <c r="E16" s="466"/>
      <c r="F16" s="466"/>
      <c r="G16" s="466">
        <v>43946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363517</v>
      </c>
      <c r="D18" s="1732">
        <f t="shared" ref="D18:K18" si="1">SUM(D14:D17)</f>
        <v>254928</v>
      </c>
      <c r="E18" s="1732">
        <f t="shared" si="1"/>
        <v>85</v>
      </c>
      <c r="F18" s="1732">
        <f t="shared" si="1"/>
        <v>10</v>
      </c>
      <c r="G18" s="1732">
        <f t="shared" si="1"/>
        <v>43977</v>
      </c>
      <c r="H18" s="1732">
        <f t="shared" si="1"/>
        <v>0</v>
      </c>
      <c r="I18" s="1732">
        <f t="shared" si="1"/>
        <v>4</v>
      </c>
      <c r="J18" s="1732">
        <f t="shared" si="1"/>
        <v>98</v>
      </c>
      <c r="K18" s="1733">
        <f t="shared" si="1"/>
        <v>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2765</v>
      </c>
      <c r="D65" s="466">
        <v>1711</v>
      </c>
      <c r="E65" s="466">
        <v>568</v>
      </c>
      <c r="F65" s="467">
        <v>190</v>
      </c>
      <c r="G65" s="466">
        <v>1251</v>
      </c>
      <c r="H65" s="466"/>
      <c r="I65" s="466">
        <v>11026</v>
      </c>
      <c r="J65" s="467">
        <v>1239</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2765</v>
      </c>
      <c r="D67" s="1710">
        <f t="shared" ref="D67:K67" si="2">SUM(D65:D66)</f>
        <v>1711</v>
      </c>
      <c r="E67" s="1710">
        <f t="shared" si="2"/>
        <v>568</v>
      </c>
      <c r="F67" s="1710">
        <f t="shared" si="2"/>
        <v>190</v>
      </c>
      <c r="G67" s="1710">
        <f t="shared" si="2"/>
        <v>1251</v>
      </c>
      <c r="H67" s="1710">
        <f t="shared" si="2"/>
        <v>0</v>
      </c>
      <c r="I67" s="1710">
        <f t="shared" si="2"/>
        <v>11026</v>
      </c>
      <c r="J67" s="1710">
        <f t="shared" si="2"/>
        <v>1239</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2893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450</v>
      </c>
      <c r="D73" s="468"/>
      <c r="E73" s="468"/>
      <c r="F73" s="468"/>
      <c r="G73" s="468"/>
      <c r="H73" s="468"/>
      <c r="I73" s="468"/>
      <c r="J73" s="468"/>
      <c r="K73" s="468"/>
    </row>
    <row r="74" spans="1:11" ht="12.75" customHeight="1" x14ac:dyDescent="0.2">
      <c r="A74" s="463" t="s">
        <v>25</v>
      </c>
      <c r="B74" s="470">
        <v>1690</v>
      </c>
      <c r="C74" s="551">
        <v>1377</v>
      </c>
      <c r="D74" s="468"/>
      <c r="E74" s="468"/>
      <c r="F74" s="468"/>
      <c r="G74" s="468"/>
      <c r="H74" s="468"/>
      <c r="I74" s="468"/>
      <c r="J74" s="468"/>
      <c r="K74" s="468"/>
    </row>
    <row r="75" spans="1:11" ht="12.75" customHeight="1" thickBot="1" x14ac:dyDescent="0.25">
      <c r="A75" s="1730" t="s">
        <v>569</v>
      </c>
      <c r="B75" s="1731"/>
      <c r="C75" s="1710">
        <f>SUM(C69:C74)</f>
        <v>4720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3485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59336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62821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29750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29750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1500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50335</v>
      </c>
      <c r="D98" s="466"/>
      <c r="E98" s="512"/>
      <c r="F98" s="466"/>
      <c r="G98" s="512"/>
      <c r="H98" s="512"/>
      <c r="I98" s="510"/>
      <c r="J98" s="512"/>
      <c r="K98" s="512"/>
    </row>
    <row r="99" spans="1:12" ht="12.75" customHeight="1" x14ac:dyDescent="0.2">
      <c r="A99" s="463" t="s">
        <v>875</v>
      </c>
      <c r="B99" s="470">
        <v>1950</v>
      </c>
      <c r="C99" s="489">
        <v>5952</v>
      </c>
      <c r="D99" s="466">
        <v>19666</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17321</v>
      </c>
      <c r="D107" s="466">
        <v>30</v>
      </c>
      <c r="E107" s="466"/>
      <c r="F107" s="466">
        <v>1095</v>
      </c>
      <c r="G107" s="466">
        <v>5099</v>
      </c>
      <c r="H107" s="466"/>
      <c r="I107" s="466"/>
      <c r="J107" s="467"/>
      <c r="K107" s="466"/>
    </row>
    <row r="108" spans="1:12" ht="12.75" customHeight="1" thickBot="1" x14ac:dyDescent="0.25">
      <c r="A108" s="1730" t="s">
        <v>508</v>
      </c>
      <c r="B108" s="1734"/>
      <c r="C108" s="1729">
        <f>SUM(C95:C107)</f>
        <v>75108</v>
      </c>
      <c r="D108" s="1729">
        <f t="shared" ref="D108:K108" si="3">SUM(D95:D107)</f>
        <v>19696</v>
      </c>
      <c r="E108" s="1729">
        <f t="shared" si="3"/>
        <v>0</v>
      </c>
      <c r="F108" s="1729">
        <f t="shared" si="3"/>
        <v>1095</v>
      </c>
      <c r="G108" s="1729">
        <f t="shared" si="3"/>
        <v>5099</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1464714</v>
      </c>
      <c r="D109" s="1737">
        <f t="shared" si="4"/>
        <v>545545</v>
      </c>
      <c r="E109" s="1737">
        <f t="shared" si="4"/>
        <v>540675</v>
      </c>
      <c r="F109" s="1737">
        <f t="shared" si="4"/>
        <v>65941</v>
      </c>
      <c r="G109" s="1737">
        <f t="shared" si="4"/>
        <v>251530</v>
      </c>
      <c r="H109" s="1737">
        <f t="shared" si="4"/>
        <v>0</v>
      </c>
      <c r="I109" s="1737">
        <f t="shared" si="4"/>
        <v>37987</v>
      </c>
      <c r="J109" s="1737">
        <f t="shared" si="4"/>
        <v>627089</v>
      </c>
      <c r="K109" s="1724">
        <f t="shared" si="4"/>
        <v>25977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3678819</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3678819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89127</v>
      </c>
      <c r="D124" s="561"/>
      <c r="E124" s="468"/>
      <c r="F124" s="548"/>
      <c r="G124" s="468"/>
      <c r="H124" s="468"/>
      <c r="I124" s="468"/>
      <c r="J124" s="468"/>
      <c r="K124" s="468"/>
    </row>
    <row r="125" spans="1:11" ht="12.75" customHeight="1" x14ac:dyDescent="0.2">
      <c r="A125" s="463" t="s">
        <v>1521</v>
      </c>
      <c r="B125" s="562">
        <v>3105</v>
      </c>
      <c r="C125" s="466">
        <v>54711</v>
      </c>
      <c r="D125" s="561"/>
      <c r="E125" s="468"/>
      <c r="F125" s="466"/>
      <c r="G125" s="468"/>
      <c r="H125" s="468"/>
      <c r="I125" s="468"/>
      <c r="J125" s="468"/>
      <c r="K125" s="468"/>
    </row>
    <row r="126" spans="1:11" ht="12.75" customHeight="1" x14ac:dyDescent="0.2">
      <c r="A126" s="463" t="s">
        <v>922</v>
      </c>
      <c r="B126" s="562">
        <v>3110</v>
      </c>
      <c r="C126" s="551">
        <v>85784</v>
      </c>
      <c r="D126" s="466"/>
      <c r="E126" s="468"/>
      <c r="F126" s="466"/>
      <c r="G126" s="468"/>
      <c r="H126" s="468"/>
      <c r="I126" s="468"/>
      <c r="J126" s="468"/>
      <c r="K126" s="468"/>
    </row>
    <row r="127" spans="1:11" ht="12.75" customHeight="1" x14ac:dyDescent="0.2">
      <c r="A127" s="463" t="s">
        <v>107</v>
      </c>
      <c r="B127" s="562">
        <v>3120</v>
      </c>
      <c r="C127" s="466">
        <v>68354</v>
      </c>
      <c r="D127" s="561"/>
      <c r="E127" s="468"/>
      <c r="F127" s="466"/>
      <c r="G127" s="468"/>
      <c r="H127" s="468"/>
      <c r="I127" s="468"/>
      <c r="J127" s="468"/>
      <c r="K127" s="468"/>
    </row>
    <row r="128" spans="1:11" ht="12.75" customHeight="1" x14ac:dyDescent="0.2">
      <c r="A128" s="463" t="s">
        <v>1522</v>
      </c>
      <c r="B128" s="562">
        <v>3130</v>
      </c>
      <c r="C128" s="466">
        <v>2023</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299999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9655</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9655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9086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2087</v>
      </c>
      <c r="G151" s="467"/>
      <c r="H151" s="468"/>
      <c r="I151" s="468"/>
      <c r="J151" s="468"/>
      <c r="K151" s="468"/>
    </row>
    <row r="152" spans="1:11" ht="12.75" customHeight="1" x14ac:dyDescent="0.2">
      <c r="A152" s="463" t="s">
        <v>1117</v>
      </c>
      <c r="B152" s="562">
        <v>3510</v>
      </c>
      <c r="C152" s="551"/>
      <c r="D152" s="466"/>
      <c r="E152" s="561"/>
      <c r="F152" s="466">
        <v>247523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249610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1129640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30371</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1478751</v>
      </c>
      <c r="D172" s="1744">
        <f t="shared" si="6"/>
        <v>0</v>
      </c>
      <c r="E172" s="1744">
        <f t="shared" si="6"/>
        <v>0</v>
      </c>
      <c r="F172" s="1744">
        <f t="shared" si="6"/>
        <v>249610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5157570</v>
      </c>
      <c r="D173" s="1737">
        <f>SUM(D121,D172)</f>
        <v>0</v>
      </c>
      <c r="E173" s="1737">
        <f>SUM(E121,E172)</f>
        <v>0</v>
      </c>
      <c r="F173" s="1737">
        <f t="shared" ref="F173:K173" si="7">SUM(F121,F172)</f>
        <v>249610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1903</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338665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152060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27144</v>
      </c>
      <c r="D199" s="468"/>
      <c r="E199" s="561"/>
      <c r="F199" s="468"/>
      <c r="G199" s="586"/>
      <c r="H199" s="468"/>
      <c r="I199" s="468"/>
      <c r="J199" s="468"/>
      <c r="K199" s="468"/>
    </row>
    <row r="200" spans="1:11" ht="12.75" customHeight="1" x14ac:dyDescent="0.2">
      <c r="A200" s="463" t="s">
        <v>73</v>
      </c>
      <c r="B200" s="470">
        <v>4299</v>
      </c>
      <c r="C200" s="551">
        <v>32615</v>
      </c>
      <c r="D200" s="468"/>
      <c r="E200" s="561"/>
      <c r="F200" s="468"/>
      <c r="G200" s="585"/>
      <c r="H200" s="468"/>
      <c r="I200" s="468"/>
      <c r="J200" s="468"/>
      <c r="K200" s="468"/>
    </row>
    <row r="201" spans="1:11" ht="12.75" customHeight="1" thickBot="1" x14ac:dyDescent="0.25">
      <c r="A201" s="1730" t="s">
        <v>569</v>
      </c>
      <c r="B201" s="1731"/>
      <c r="C201" s="1710">
        <f>SUM(C193:C200)</f>
        <v>550484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435179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435179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34615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204224</v>
      </c>
      <c r="D220" s="466">
        <v>52557</v>
      </c>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238839</v>
      </c>
      <c r="D224" s="1729">
        <f>SUM(D218:D223)</f>
        <v>52557</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22094</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21687</v>
      </c>
      <c r="D270" s="576"/>
      <c r="E270" s="468"/>
      <c r="F270" s="576"/>
      <c r="G270" s="576"/>
      <c r="H270" s="468"/>
      <c r="I270" s="468"/>
      <c r="J270" s="468"/>
      <c r="K270" s="468"/>
    </row>
    <row r="271" spans="1:11" ht="12.75" customHeight="1" thickTop="1" thickBot="1" x14ac:dyDescent="0.25">
      <c r="A271" s="463" t="s">
        <v>395</v>
      </c>
      <c r="B271" s="470">
        <v>4992</v>
      </c>
      <c r="C271" s="575">
        <v>47806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1316089</v>
      </c>
      <c r="D273" s="1737">
        <f t="shared" si="10"/>
        <v>52557</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1316089</v>
      </c>
      <c r="D274" s="1737">
        <f>SUM(D178,D184,D273)</f>
        <v>52557</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7938373</v>
      </c>
      <c r="D275" s="1737">
        <f t="shared" si="12"/>
        <v>598102</v>
      </c>
      <c r="E275" s="1737">
        <f t="shared" si="12"/>
        <v>540675</v>
      </c>
      <c r="F275" s="1737">
        <f t="shared" si="12"/>
        <v>315551</v>
      </c>
      <c r="G275" s="1737">
        <f t="shared" si="12"/>
        <v>251530</v>
      </c>
      <c r="H275" s="1737">
        <f t="shared" si="12"/>
        <v>0</v>
      </c>
      <c r="I275" s="1737">
        <f t="shared" si="12"/>
        <v>37987</v>
      </c>
      <c r="J275" s="1737">
        <f t="shared" si="12"/>
        <v>627089</v>
      </c>
      <c r="K275" s="1724">
        <f t="shared" si="12"/>
        <v>25977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66701A8A-4B70-4BC6-A23C-3FE9EE52CAD0}" scale="110" colorId="8" showGridLines="0">
      <pane ySplit="2" topLeftCell="A48" activePane="bottomLeft" state="frozen"/>
      <selection pane="bottomLeft" activeCell="I65" sqref="I65"/>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1"/>
      <headerFooter>
        <oddHeader>&amp;C&amp;"Times New Roman,Regular"EAST ALTON ELEMENTARY SCHOOL DISTRICT NO. 13
STATEMENT OF RECEIPTS - CASH - REGULATORY BASIS
ALL FUNDS
FOR THE YEAR ENDED JUNE 30, 2018</oddHeader>
        <oddFooter>&amp;C&amp;"Times New Roman,Regular"See Notes to Financial Statements and Independent Auditor's Reports
&amp;P</oddFooter>
      </headerFooter>
    </customSheetView>
    <customSheetView guid="{21F80B28-2D59-4A2F-B7F1-982D582C738E}" scale="110" colorId="8" showPageBreaks="1" showGridLines="0">
      <pane ySplit="2" topLeftCell="A48" activePane="bottomLeft" state="frozen"/>
      <selection pane="bottomLeft" activeCell="I65" sqref="I65"/>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2"/>
      <headerFooter>
        <oddHeader>&amp;C&amp;"Times New Roman,Regular"EAST ALTON ELEMENTARY SCHOOL DISTRICT NO. 13
STATEMENT OF RECEIPTS - CASH - REGULATORY BASIS
ALL FUNDS
FOR THE YEAR ENDED JUNE 30, 2018</oddHeader>
        <oddFooter>&amp;C&amp;"Times New Roman,Regular"See Notes to Financial Statements and Independent Auditor's Reports
&amp;P</oddFooter>
      </headerFooter>
    </customSheetView>
    <customSheetView guid="{659D510F-1045-4226-8DAF-5F1FF14245AE}" scale="110" colorId="8" showGridLines="0">
      <pane ySplit="2" topLeftCell="A48" activePane="bottomLeft" state="frozen"/>
      <selection pane="bottomLeft" activeCell="I65" sqref="I65"/>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3"/>
      <headerFooter>
        <oddHeader>&amp;C&amp;"Times New Roman,Regular"EAST ALTON ELEMENTARY SCHOOL DISTRICT NO. 13
STATEMENT OF RECEIPTS - CASH - REGULATORY BASIS
ALL FUNDS
FOR THE YEAR ENDED JUNE 30, 2018</oddHeader>
        <oddFooter>&amp;C&amp;"Times New Roman,Regular"See Notes to Financial Statements and Independent Auditor's Reports
&amp;P</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4"/>
  <headerFooter>
    <oddHeader>&amp;C&amp;"Times New Roman,Regular"EAST ALTON ELEMENTARY SCHOOL DISTRICT NO. 13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3" activePane="bottomLeft" state="frozen"/>
      <selection activeCell="AF38" sqref="AF38"/>
      <selection pane="bottomLeft" activeCell="K79" sqref="K7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1842369</v>
      </c>
      <c r="D5" s="466">
        <v>501275</v>
      </c>
      <c r="E5" s="466">
        <v>15195</v>
      </c>
      <c r="F5" s="466">
        <v>9215</v>
      </c>
      <c r="G5" s="466">
        <v>108707</v>
      </c>
      <c r="H5" s="466"/>
      <c r="I5" s="467"/>
      <c r="J5" s="467"/>
      <c r="K5" s="1693">
        <f>SUM(C5:J5)</f>
        <v>2476761</v>
      </c>
      <c r="L5" s="466">
        <v>2371422</v>
      </c>
    </row>
    <row r="6" spans="1:14" x14ac:dyDescent="0.2">
      <c r="A6" s="1526" t="s">
        <v>1508</v>
      </c>
      <c r="B6" s="615" t="s">
        <v>1506</v>
      </c>
      <c r="C6" s="477"/>
      <c r="D6" s="477"/>
      <c r="E6" s="466"/>
      <c r="F6" s="477"/>
      <c r="G6" s="477"/>
      <c r="H6" s="477"/>
      <c r="I6" s="477"/>
      <c r="J6" s="477"/>
      <c r="K6" s="1693">
        <f>SUM(C6,E6)</f>
        <v>0</v>
      </c>
      <c r="L6" s="466">
        <v>200</v>
      </c>
    </row>
    <row r="7" spans="1:14" x14ac:dyDescent="0.2">
      <c r="A7" s="1526" t="s">
        <v>165</v>
      </c>
      <c r="B7" s="615" t="s">
        <v>1024</v>
      </c>
      <c r="C7" s="467">
        <v>275483</v>
      </c>
      <c r="D7" s="467">
        <v>164745</v>
      </c>
      <c r="E7" s="467">
        <v>2766</v>
      </c>
      <c r="F7" s="467">
        <v>25969</v>
      </c>
      <c r="G7" s="467"/>
      <c r="H7" s="467"/>
      <c r="I7" s="467"/>
      <c r="J7" s="467"/>
      <c r="K7" s="1693">
        <f t="shared" ref="K7:K32" si="0">SUM(C7:J7)</f>
        <v>468963</v>
      </c>
      <c r="L7" s="466">
        <v>454563</v>
      </c>
    </row>
    <row r="8" spans="1:14" x14ac:dyDescent="0.2">
      <c r="A8" s="1526" t="s">
        <v>166</v>
      </c>
      <c r="B8" s="615">
        <v>1200</v>
      </c>
      <c r="C8" s="466">
        <v>829774</v>
      </c>
      <c r="D8" s="466">
        <v>202729</v>
      </c>
      <c r="E8" s="466">
        <v>1237</v>
      </c>
      <c r="F8" s="466">
        <v>4528</v>
      </c>
      <c r="G8" s="466"/>
      <c r="H8" s="466"/>
      <c r="I8" s="467"/>
      <c r="J8" s="467"/>
      <c r="K8" s="1693">
        <f t="shared" si="0"/>
        <v>1038268</v>
      </c>
      <c r="L8" s="466">
        <v>1069710</v>
      </c>
    </row>
    <row r="9" spans="1:14" x14ac:dyDescent="0.2">
      <c r="A9" s="1526" t="s">
        <v>745</v>
      </c>
      <c r="B9" s="615" t="s">
        <v>1025</v>
      </c>
      <c r="C9" s="467">
        <v>29414</v>
      </c>
      <c r="D9" s="467">
        <v>8538</v>
      </c>
      <c r="E9" s="467"/>
      <c r="F9" s="467"/>
      <c r="G9" s="467"/>
      <c r="H9" s="467"/>
      <c r="I9" s="467"/>
      <c r="J9" s="467"/>
      <c r="K9" s="1693">
        <f t="shared" si="0"/>
        <v>37952</v>
      </c>
      <c r="L9" s="466">
        <v>37840</v>
      </c>
    </row>
    <row r="10" spans="1:14" x14ac:dyDescent="0.2">
      <c r="A10" s="1526" t="s">
        <v>746</v>
      </c>
      <c r="B10" s="615">
        <v>1250</v>
      </c>
      <c r="C10" s="466">
        <v>94423</v>
      </c>
      <c r="D10" s="466">
        <v>3145</v>
      </c>
      <c r="E10" s="466">
        <v>204837</v>
      </c>
      <c r="F10" s="466"/>
      <c r="G10" s="466"/>
      <c r="H10" s="466"/>
      <c r="I10" s="467"/>
      <c r="J10" s="467"/>
      <c r="K10" s="1693">
        <f t="shared" si="0"/>
        <v>302405</v>
      </c>
      <c r="L10" s="466">
        <v>313281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321434</v>
      </c>
      <c r="D14" s="466">
        <v>74429</v>
      </c>
      <c r="E14" s="466">
        <v>3797</v>
      </c>
      <c r="F14" s="466">
        <v>11166</v>
      </c>
      <c r="G14" s="466"/>
      <c r="H14" s="466">
        <v>2187</v>
      </c>
      <c r="I14" s="467"/>
      <c r="J14" s="467"/>
      <c r="K14" s="1693">
        <f t="shared" si="0"/>
        <v>413013</v>
      </c>
      <c r="L14" s="466">
        <v>399282</v>
      </c>
    </row>
    <row r="15" spans="1:14" x14ac:dyDescent="0.2">
      <c r="A15" s="1526" t="s">
        <v>1021</v>
      </c>
      <c r="B15" s="615">
        <v>1600</v>
      </c>
      <c r="C15" s="466">
        <v>23373</v>
      </c>
      <c r="D15" s="466">
        <v>2753</v>
      </c>
      <c r="E15" s="466"/>
      <c r="F15" s="466">
        <v>1425</v>
      </c>
      <c r="G15" s="466"/>
      <c r="H15" s="466"/>
      <c r="I15" s="467"/>
      <c r="J15" s="467"/>
      <c r="K15" s="1693">
        <f t="shared" si="0"/>
        <v>27551</v>
      </c>
      <c r="L15" s="466">
        <v>23175</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161173</v>
      </c>
      <c r="I22" s="617"/>
      <c r="J22" s="477"/>
      <c r="K22" s="1693">
        <f t="shared" si="0"/>
        <v>161173</v>
      </c>
      <c r="L22" s="471">
        <v>150000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3416270</v>
      </c>
      <c r="D33" s="1692">
        <f t="shared" ref="D33:L33" si="1">SUM(D5:D32)</f>
        <v>957614</v>
      </c>
      <c r="E33" s="1692">
        <f t="shared" si="1"/>
        <v>227832</v>
      </c>
      <c r="F33" s="1692">
        <f t="shared" si="1"/>
        <v>52303</v>
      </c>
      <c r="G33" s="1692">
        <f t="shared" si="1"/>
        <v>108707</v>
      </c>
      <c r="H33" s="1692">
        <f t="shared" si="1"/>
        <v>163360</v>
      </c>
      <c r="I33" s="1692">
        <f t="shared" si="1"/>
        <v>0</v>
      </c>
      <c r="J33" s="1692">
        <f t="shared" si="1"/>
        <v>0</v>
      </c>
      <c r="K33" s="1692">
        <f t="shared" si="1"/>
        <v>4926086</v>
      </c>
      <c r="L33" s="1692">
        <f t="shared" si="1"/>
        <v>4819473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24077</v>
      </c>
      <c r="D38" s="466">
        <v>8218</v>
      </c>
      <c r="E38" s="466">
        <v>729</v>
      </c>
      <c r="F38" s="466">
        <v>4417</v>
      </c>
      <c r="G38" s="466"/>
      <c r="H38" s="466">
        <v>60</v>
      </c>
      <c r="I38" s="467"/>
      <c r="J38" s="467"/>
      <c r="K38" s="1693">
        <f t="shared" si="2"/>
        <v>37501</v>
      </c>
      <c r="L38" s="466">
        <v>37923</v>
      </c>
    </row>
    <row r="39" spans="1:14" x14ac:dyDescent="0.2">
      <c r="A39" s="1526" t="s">
        <v>208</v>
      </c>
      <c r="B39" s="615">
        <v>2140</v>
      </c>
      <c r="C39" s="466">
        <v>58750</v>
      </c>
      <c r="D39" s="466">
        <v>20871</v>
      </c>
      <c r="E39" s="466">
        <v>956</v>
      </c>
      <c r="F39" s="466">
        <v>3538</v>
      </c>
      <c r="G39" s="466"/>
      <c r="H39" s="466"/>
      <c r="I39" s="467"/>
      <c r="J39" s="467"/>
      <c r="K39" s="1693">
        <f t="shared" si="2"/>
        <v>84115</v>
      </c>
      <c r="L39" s="466">
        <v>67429</v>
      </c>
    </row>
    <row r="40" spans="1:14" x14ac:dyDescent="0.2">
      <c r="A40" s="1526" t="s">
        <v>209</v>
      </c>
      <c r="B40" s="615">
        <v>2150</v>
      </c>
      <c r="C40" s="466">
        <v>124848</v>
      </c>
      <c r="D40" s="466">
        <v>22277</v>
      </c>
      <c r="E40" s="466">
        <v>180</v>
      </c>
      <c r="F40" s="466">
        <v>631</v>
      </c>
      <c r="G40" s="466"/>
      <c r="H40" s="466"/>
      <c r="I40" s="467"/>
      <c r="J40" s="467"/>
      <c r="K40" s="1693">
        <f t="shared" si="2"/>
        <v>147936</v>
      </c>
      <c r="L40" s="466">
        <v>147638</v>
      </c>
    </row>
    <row r="41" spans="1:14" x14ac:dyDescent="0.2">
      <c r="A41" s="1526" t="s">
        <v>1768</v>
      </c>
      <c r="B41" s="615">
        <v>2190</v>
      </c>
      <c r="C41" s="466">
        <v>24942</v>
      </c>
      <c r="D41" s="466">
        <v>11</v>
      </c>
      <c r="E41" s="466"/>
      <c r="F41" s="466">
        <v>1823</v>
      </c>
      <c r="G41" s="466"/>
      <c r="H41" s="466"/>
      <c r="I41" s="467"/>
      <c r="J41" s="467"/>
      <c r="K41" s="1693">
        <f t="shared" si="2"/>
        <v>26776</v>
      </c>
      <c r="L41" s="466">
        <v>30904</v>
      </c>
    </row>
    <row r="42" spans="1:14" ht="12.75" customHeight="1" thickBot="1" x14ac:dyDescent="0.25">
      <c r="A42" s="1690" t="s">
        <v>581</v>
      </c>
      <c r="B42" s="1691" t="s">
        <v>740</v>
      </c>
      <c r="C42" s="1692">
        <f>SUM(C36:C41)</f>
        <v>232617</v>
      </c>
      <c r="D42" s="1692">
        <f t="shared" ref="D42:L42" si="3">SUM(D36:D41)</f>
        <v>51377</v>
      </c>
      <c r="E42" s="1692">
        <f t="shared" si="3"/>
        <v>1865</v>
      </c>
      <c r="F42" s="1692">
        <f t="shared" si="3"/>
        <v>10409</v>
      </c>
      <c r="G42" s="1692">
        <f t="shared" si="3"/>
        <v>0</v>
      </c>
      <c r="H42" s="1692">
        <f t="shared" si="3"/>
        <v>60</v>
      </c>
      <c r="I42" s="1692">
        <f t="shared" si="3"/>
        <v>0</v>
      </c>
      <c r="J42" s="1692">
        <f t="shared" si="3"/>
        <v>0</v>
      </c>
      <c r="K42" s="1692">
        <f t="shared" si="3"/>
        <v>296328</v>
      </c>
      <c r="L42" s="1692">
        <f t="shared" si="3"/>
        <v>283894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205539</v>
      </c>
      <c r="D44" s="481">
        <v>24976</v>
      </c>
      <c r="E44" s="481">
        <v>15024</v>
      </c>
      <c r="F44" s="481">
        <v>13191</v>
      </c>
      <c r="G44" s="481"/>
      <c r="H44" s="481">
        <v>211</v>
      </c>
      <c r="I44" s="467"/>
      <c r="J44" s="467"/>
      <c r="K44" s="1694">
        <f>SUM(C44:J44)</f>
        <v>258941</v>
      </c>
      <c r="L44" s="481">
        <v>278456</v>
      </c>
    </row>
    <row r="45" spans="1:14" x14ac:dyDescent="0.2">
      <c r="A45" s="1526" t="s">
        <v>869</v>
      </c>
      <c r="B45" s="615">
        <v>2220</v>
      </c>
      <c r="C45" s="466">
        <v>48719</v>
      </c>
      <c r="D45" s="466">
        <v>16</v>
      </c>
      <c r="E45" s="466">
        <v>7911</v>
      </c>
      <c r="F45" s="466">
        <v>39372</v>
      </c>
      <c r="G45" s="466">
        <v>50071</v>
      </c>
      <c r="H45" s="466"/>
      <c r="I45" s="467"/>
      <c r="J45" s="467"/>
      <c r="K45" s="1694">
        <f>SUM(C45:J45)</f>
        <v>146089</v>
      </c>
      <c r="L45" s="466">
        <v>116671</v>
      </c>
    </row>
    <row r="46" spans="1:14" x14ac:dyDescent="0.2">
      <c r="A46" s="1526" t="s">
        <v>870</v>
      </c>
      <c r="B46" s="615">
        <v>2230</v>
      </c>
      <c r="C46" s="466"/>
      <c r="D46" s="466"/>
      <c r="E46" s="466">
        <v>10728</v>
      </c>
      <c r="F46" s="466"/>
      <c r="G46" s="466"/>
      <c r="H46" s="466"/>
      <c r="I46" s="467"/>
      <c r="J46" s="467"/>
      <c r="K46" s="1694">
        <f>SUM(C46:J46)</f>
        <v>10728</v>
      </c>
      <c r="L46" s="466">
        <v>12000</v>
      </c>
    </row>
    <row r="47" spans="1:14" ht="12.75" customHeight="1" thickBot="1" x14ac:dyDescent="0.25">
      <c r="A47" s="1690" t="s">
        <v>582</v>
      </c>
      <c r="B47" s="1691" t="s">
        <v>32</v>
      </c>
      <c r="C47" s="1692">
        <f>SUM(C44:C46)</f>
        <v>254258</v>
      </c>
      <c r="D47" s="1692">
        <f t="shared" ref="D47:K47" si="4">SUM(D44:D46)</f>
        <v>24992</v>
      </c>
      <c r="E47" s="1692">
        <f t="shared" si="4"/>
        <v>33663</v>
      </c>
      <c r="F47" s="1692">
        <f t="shared" si="4"/>
        <v>52563</v>
      </c>
      <c r="G47" s="1692">
        <f t="shared" si="4"/>
        <v>50071</v>
      </c>
      <c r="H47" s="1692">
        <f t="shared" si="4"/>
        <v>211</v>
      </c>
      <c r="I47" s="1692">
        <f t="shared" si="4"/>
        <v>0</v>
      </c>
      <c r="J47" s="1692">
        <f t="shared" si="4"/>
        <v>0</v>
      </c>
      <c r="K47" s="1692">
        <f t="shared" si="4"/>
        <v>415758</v>
      </c>
      <c r="L47" s="1692">
        <f>SUM(L44:L46)</f>
        <v>407127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2000</v>
      </c>
      <c r="D49" s="481">
        <v>12866</v>
      </c>
      <c r="E49" s="481">
        <v>35312</v>
      </c>
      <c r="F49" s="481">
        <v>3606</v>
      </c>
      <c r="G49" s="481"/>
      <c r="H49" s="481">
        <v>5826</v>
      </c>
      <c r="I49" s="467"/>
      <c r="J49" s="467"/>
      <c r="K49" s="1694">
        <f>SUM(C49:J49)</f>
        <v>59610</v>
      </c>
      <c r="L49" s="481">
        <v>39100</v>
      </c>
    </row>
    <row r="50" spans="1:14" x14ac:dyDescent="0.2">
      <c r="A50" s="1526" t="s">
        <v>872</v>
      </c>
      <c r="B50" s="615">
        <v>2320</v>
      </c>
      <c r="C50" s="466">
        <v>176159</v>
      </c>
      <c r="D50" s="466">
        <v>52968</v>
      </c>
      <c r="E50" s="466">
        <v>3035</v>
      </c>
      <c r="F50" s="466">
        <v>4718</v>
      </c>
      <c r="G50" s="466"/>
      <c r="H50" s="466">
        <v>6086</v>
      </c>
      <c r="I50" s="467"/>
      <c r="J50" s="467"/>
      <c r="K50" s="1694">
        <f>SUM(C50:J50)</f>
        <v>242966</v>
      </c>
      <c r="L50" s="466">
        <v>241619</v>
      </c>
    </row>
    <row r="51" spans="1:14" x14ac:dyDescent="0.2">
      <c r="A51" s="1526" t="s">
        <v>44</v>
      </c>
      <c r="B51" s="615">
        <v>2330</v>
      </c>
      <c r="C51" s="466">
        <v>165040</v>
      </c>
      <c r="D51" s="466">
        <v>33716</v>
      </c>
      <c r="E51" s="466">
        <v>7820</v>
      </c>
      <c r="F51" s="466">
        <v>5869</v>
      </c>
      <c r="G51" s="466"/>
      <c r="H51" s="466"/>
      <c r="I51" s="467"/>
      <c r="J51" s="467"/>
      <c r="K51" s="1694">
        <f>SUM(C51:J51)</f>
        <v>212445</v>
      </c>
      <c r="L51" s="466">
        <v>209901</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343199</v>
      </c>
      <c r="D53" s="1692">
        <f t="shared" ref="D53:L53" si="5">SUM(D49:D52)</f>
        <v>99550</v>
      </c>
      <c r="E53" s="1692">
        <f t="shared" si="5"/>
        <v>46167</v>
      </c>
      <c r="F53" s="1692">
        <f t="shared" si="5"/>
        <v>14193</v>
      </c>
      <c r="G53" s="1692">
        <f t="shared" si="5"/>
        <v>0</v>
      </c>
      <c r="H53" s="1692">
        <f t="shared" si="5"/>
        <v>11912</v>
      </c>
      <c r="I53" s="1692">
        <f t="shared" si="5"/>
        <v>0</v>
      </c>
      <c r="J53" s="1692">
        <f t="shared" si="5"/>
        <v>0</v>
      </c>
      <c r="K53" s="1692">
        <f t="shared" si="5"/>
        <v>515021</v>
      </c>
      <c r="L53" s="1692">
        <f t="shared" si="5"/>
        <v>490620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324602</v>
      </c>
      <c r="D55" s="481">
        <v>71332</v>
      </c>
      <c r="E55" s="481">
        <v>699</v>
      </c>
      <c r="F55" s="481">
        <v>13900</v>
      </c>
      <c r="G55" s="481"/>
      <c r="H55" s="481">
        <v>1060</v>
      </c>
      <c r="I55" s="467"/>
      <c r="J55" s="467"/>
      <c r="K55" s="1694">
        <f>SUM(C55:J55)</f>
        <v>411593</v>
      </c>
      <c r="L55" s="481">
        <v>397147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324602</v>
      </c>
      <c r="D57" s="1696">
        <f t="shared" ref="D57:K57" si="6">SUM(D55:D56)</f>
        <v>71332</v>
      </c>
      <c r="E57" s="1696">
        <f t="shared" si="6"/>
        <v>699</v>
      </c>
      <c r="F57" s="1696">
        <f t="shared" si="6"/>
        <v>13900</v>
      </c>
      <c r="G57" s="1696">
        <f t="shared" si="6"/>
        <v>0</v>
      </c>
      <c r="H57" s="1696">
        <f t="shared" si="6"/>
        <v>1060</v>
      </c>
      <c r="I57" s="1696">
        <f t="shared" si="6"/>
        <v>0</v>
      </c>
      <c r="J57" s="1696">
        <f t="shared" si="6"/>
        <v>0</v>
      </c>
      <c r="K57" s="1696">
        <f t="shared" si="6"/>
        <v>411593</v>
      </c>
      <c r="L57" s="1692">
        <f>SUM(L55:L56)</f>
        <v>397147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50689</v>
      </c>
      <c r="D60" s="466">
        <v>10520</v>
      </c>
      <c r="E60" s="466">
        <v>1489</v>
      </c>
      <c r="F60" s="466">
        <v>16277</v>
      </c>
      <c r="G60" s="466"/>
      <c r="H60" s="466"/>
      <c r="I60" s="467"/>
      <c r="J60" s="467"/>
      <c r="K60" s="1694">
        <f t="shared" si="7"/>
        <v>78975</v>
      </c>
      <c r="L60" s="466">
        <v>77111</v>
      </c>
      <c r="M60" s="610"/>
      <c r="N60" s="610"/>
    </row>
    <row r="61" spans="1:14" s="343" customFormat="1" x14ac:dyDescent="0.2">
      <c r="A61" s="1526" t="s">
        <v>206</v>
      </c>
      <c r="B61" s="615">
        <v>2540</v>
      </c>
      <c r="C61" s="466">
        <v>44241</v>
      </c>
      <c r="D61" s="466">
        <v>6160</v>
      </c>
      <c r="E61" s="466">
        <v>1084</v>
      </c>
      <c r="F61" s="466">
        <v>11464</v>
      </c>
      <c r="G61" s="466">
        <v>69683</v>
      </c>
      <c r="H61" s="466"/>
      <c r="I61" s="467"/>
      <c r="J61" s="467"/>
      <c r="K61" s="1694">
        <f t="shared" si="7"/>
        <v>132632</v>
      </c>
      <c r="L61" s="466">
        <v>125741</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194875</v>
      </c>
      <c r="D63" s="466">
        <v>2178</v>
      </c>
      <c r="E63" s="466">
        <v>12747</v>
      </c>
      <c r="F63" s="466">
        <v>305612</v>
      </c>
      <c r="G63" s="466"/>
      <c r="H63" s="466">
        <v>6230</v>
      </c>
      <c r="I63" s="467"/>
      <c r="J63" s="467"/>
      <c r="K63" s="1694">
        <f t="shared" si="7"/>
        <v>521642</v>
      </c>
      <c r="L63" s="466">
        <v>554701</v>
      </c>
    </row>
    <row r="64" spans="1:14" s="610" customFormat="1" x14ac:dyDescent="0.2">
      <c r="A64" s="1531" t="s">
        <v>103</v>
      </c>
      <c r="B64" s="631">
        <v>2570</v>
      </c>
      <c r="C64" s="481"/>
      <c r="D64" s="481"/>
      <c r="E64" s="481"/>
      <c r="F64" s="481">
        <v>602</v>
      </c>
      <c r="G64" s="481"/>
      <c r="H64" s="481"/>
      <c r="I64" s="467"/>
      <c r="J64" s="467"/>
      <c r="K64" s="1694">
        <f t="shared" si="7"/>
        <v>602</v>
      </c>
      <c r="L64" s="481">
        <v>1400</v>
      </c>
    </row>
    <row r="65" spans="1:14" s="343" customFormat="1" ht="12.75" customHeight="1" thickBot="1" x14ac:dyDescent="0.25">
      <c r="A65" s="1690" t="s">
        <v>743</v>
      </c>
      <c r="B65" s="1691" t="s">
        <v>35</v>
      </c>
      <c r="C65" s="1692">
        <f>SUM(C59:C64)</f>
        <v>289805</v>
      </c>
      <c r="D65" s="1692">
        <f t="shared" ref="D65:L65" si="8">SUM(D59:D64)</f>
        <v>18858</v>
      </c>
      <c r="E65" s="1692">
        <f t="shared" si="8"/>
        <v>15320</v>
      </c>
      <c r="F65" s="1692">
        <f t="shared" si="8"/>
        <v>333955</v>
      </c>
      <c r="G65" s="1692">
        <f t="shared" si="8"/>
        <v>69683</v>
      </c>
      <c r="H65" s="1692">
        <f t="shared" si="8"/>
        <v>6230</v>
      </c>
      <c r="I65" s="1692">
        <f t="shared" si="8"/>
        <v>0</v>
      </c>
      <c r="J65" s="1692">
        <f t="shared" si="8"/>
        <v>0</v>
      </c>
      <c r="K65" s="1692">
        <f t="shared" si="8"/>
        <v>733851</v>
      </c>
      <c r="L65" s="1692">
        <f t="shared" si="8"/>
        <v>758953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2025</v>
      </c>
      <c r="F69" s="466"/>
      <c r="G69" s="466"/>
      <c r="H69" s="466"/>
      <c r="I69" s="467"/>
      <c r="J69" s="467"/>
      <c r="K69" s="1694">
        <f>SUM(C69:J69)</f>
        <v>2025</v>
      </c>
      <c r="L69" s="466">
        <v>2700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24051</v>
      </c>
      <c r="D71" s="466"/>
      <c r="E71" s="466"/>
      <c r="F71" s="466"/>
      <c r="G71" s="466"/>
      <c r="H71" s="466"/>
      <c r="I71" s="467"/>
      <c r="J71" s="467"/>
      <c r="K71" s="1694">
        <f>SUM(C71:J71)</f>
        <v>24051</v>
      </c>
      <c r="L71" s="466">
        <v>24596</v>
      </c>
      <c r="M71" s="610"/>
      <c r="N71" s="610"/>
    </row>
    <row r="72" spans="1:14" s="343" customFormat="1" ht="12.75" customHeight="1" thickBot="1" x14ac:dyDescent="0.25">
      <c r="A72" s="1690" t="s">
        <v>37</v>
      </c>
      <c r="B72" s="1697" t="s">
        <v>36</v>
      </c>
      <c r="C72" s="1692">
        <f>SUM(C67:C71)</f>
        <v>24051</v>
      </c>
      <c r="D72" s="1692">
        <f t="shared" ref="D72:K72" si="9">SUM(D67:D71)</f>
        <v>0</v>
      </c>
      <c r="E72" s="1692">
        <f t="shared" si="9"/>
        <v>2025</v>
      </c>
      <c r="F72" s="1692">
        <f t="shared" si="9"/>
        <v>0</v>
      </c>
      <c r="G72" s="1692">
        <f t="shared" si="9"/>
        <v>0</v>
      </c>
      <c r="H72" s="1692">
        <f t="shared" si="9"/>
        <v>0</v>
      </c>
      <c r="I72" s="1692">
        <f t="shared" si="9"/>
        <v>0</v>
      </c>
      <c r="J72" s="1692">
        <f t="shared" si="9"/>
        <v>0</v>
      </c>
      <c r="K72" s="1692">
        <f t="shared" si="9"/>
        <v>26076</v>
      </c>
      <c r="L72" s="1692">
        <f>SUM(L67:L71)</f>
        <v>27296</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1468532</v>
      </c>
      <c r="D74" s="1699">
        <f t="shared" ref="D74:K74" si="10">SUM(D42,D47,D53,D57,D65,D72,D73)</f>
        <v>266109</v>
      </c>
      <c r="E74" s="1699">
        <f t="shared" si="10"/>
        <v>99739</v>
      </c>
      <c r="F74" s="1699">
        <f t="shared" si="10"/>
        <v>425020</v>
      </c>
      <c r="G74" s="1699">
        <f t="shared" si="10"/>
        <v>119754</v>
      </c>
      <c r="H74" s="1699">
        <f t="shared" si="10"/>
        <v>19473</v>
      </c>
      <c r="I74" s="1699">
        <f t="shared" si="10"/>
        <v>0</v>
      </c>
      <c r="J74" s="1699">
        <f t="shared" si="10"/>
        <v>0</v>
      </c>
      <c r="K74" s="1699">
        <f t="shared" si="10"/>
        <v>2398627</v>
      </c>
      <c r="L74" s="1699">
        <f>SUM(L42,L47,L53,L57,L65,L72,L73)</f>
        <v>2365037</v>
      </c>
    </row>
    <row r="75" spans="1:14" s="259" customFormat="1" ht="15.75" customHeight="1" thickTop="1" thickBot="1" x14ac:dyDescent="0.25">
      <c r="A75" s="1632" t="s">
        <v>49</v>
      </c>
      <c r="B75" s="1633" t="s">
        <v>596</v>
      </c>
      <c r="C75" s="573">
        <v>163214</v>
      </c>
      <c r="D75" s="573">
        <v>22718</v>
      </c>
      <c r="E75" s="573">
        <v>3665</v>
      </c>
      <c r="F75" s="573">
        <v>3728</v>
      </c>
      <c r="G75" s="573"/>
      <c r="H75" s="573">
        <v>5098</v>
      </c>
      <c r="I75" s="531"/>
      <c r="J75" s="531"/>
      <c r="K75" s="1692">
        <f>SUM(C75:J75)</f>
        <v>198423</v>
      </c>
      <c r="L75" s="576">
        <v>218397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26882</v>
      </c>
      <c r="F79" s="617"/>
      <c r="G79" s="617"/>
      <c r="H79" s="466">
        <v>243876</v>
      </c>
      <c r="I79" s="477"/>
      <c r="J79" s="477"/>
      <c r="K79" s="1693">
        <f t="shared" si="11"/>
        <v>270758</v>
      </c>
      <c r="L79" s="466">
        <v>450699</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26882</v>
      </c>
      <c r="F84" s="617"/>
      <c r="G84" s="617"/>
      <c r="H84" s="1692">
        <f>SUM(H78:H83)</f>
        <v>243876</v>
      </c>
      <c r="I84" s="477"/>
      <c r="J84" s="477"/>
      <c r="K84" s="1692">
        <f>SUM(K78:K83)</f>
        <v>270758</v>
      </c>
      <c r="L84" s="1692">
        <f>SUM(L78:L83)</f>
        <v>450699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26882</v>
      </c>
      <c r="F102" s="617"/>
      <c r="G102" s="617"/>
      <c r="H102" s="1699">
        <f>SUM(H84,H92,H100,H101)</f>
        <v>243876</v>
      </c>
      <c r="I102" s="477"/>
      <c r="J102" s="477"/>
      <c r="K102" s="1699">
        <f>SUM(K84,K92,K100,K101)</f>
        <v>270758</v>
      </c>
      <c r="L102" s="1699">
        <f>SUM(L84,L92,L100,L101)</f>
        <v>450699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100000</v>
      </c>
      <c r="M113" s="614"/>
      <c r="N113" s="614"/>
    </row>
    <row r="114" spans="1:14" ht="12.75" customHeight="1" thickTop="1" thickBot="1" x14ac:dyDescent="0.25">
      <c r="A114" s="1690" t="s">
        <v>50</v>
      </c>
      <c r="B114" s="1704"/>
      <c r="C114" s="1692">
        <f>SUM(C33,C74,C75,C102,C112,C113)</f>
        <v>5048016</v>
      </c>
      <c r="D114" s="1692">
        <f t="shared" ref="D114:K114" si="13">SUM(D33,D74,D75,D102,D112,D113)</f>
        <v>1246441</v>
      </c>
      <c r="E114" s="1692">
        <f t="shared" si="13"/>
        <v>358118</v>
      </c>
      <c r="F114" s="1692">
        <f t="shared" si="13"/>
        <v>481051</v>
      </c>
      <c r="G114" s="1692">
        <f t="shared" si="13"/>
        <v>228461</v>
      </c>
      <c r="H114" s="1692">
        <f>SUM(H33,H74,H75,H102,H112,H113)</f>
        <v>431807</v>
      </c>
      <c r="I114" s="1692">
        <f t="shared" si="13"/>
        <v>0</v>
      </c>
      <c r="J114" s="1692">
        <f t="shared" si="13"/>
        <v>0</v>
      </c>
      <c r="K114" s="1692">
        <f t="shared" si="13"/>
        <v>7793894</v>
      </c>
      <c r="L114" s="1692">
        <f>SUM(L33,L74,L75,L102,L112,L113)</f>
        <v>7953606</v>
      </c>
    </row>
    <row r="115" spans="1:14" ht="13.5" thickTop="1" x14ac:dyDescent="0.2">
      <c r="A115" s="2197" t="s">
        <v>1053</v>
      </c>
      <c r="B115" s="2198"/>
      <c r="C115" s="619"/>
      <c r="D115" s="619"/>
      <c r="E115" s="619"/>
      <c r="F115" s="619"/>
      <c r="G115" s="619"/>
      <c r="H115" s="619"/>
      <c r="I115" s="619"/>
      <c r="J115" s="619"/>
      <c r="K115" s="1706">
        <f>'Revenues 9-14'!C275-'Expenditures 15-22'!K114</f>
        <v>144479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220526</v>
      </c>
      <c r="D124" s="466">
        <v>36053</v>
      </c>
      <c r="E124" s="466">
        <v>182663</v>
      </c>
      <c r="F124" s="466">
        <v>164164</v>
      </c>
      <c r="G124" s="466"/>
      <c r="H124" s="466">
        <v>7934</v>
      </c>
      <c r="I124" s="467"/>
      <c r="J124" s="467"/>
      <c r="K124" s="1692">
        <f>SUM(C124:J124)</f>
        <v>611340</v>
      </c>
      <c r="L124" s="466">
        <v>543177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220526</v>
      </c>
      <c r="D127" s="1692">
        <f t="shared" ref="D127:L127" si="14">SUM(D122:D126)</f>
        <v>36053</v>
      </c>
      <c r="E127" s="1692">
        <f t="shared" si="14"/>
        <v>182663</v>
      </c>
      <c r="F127" s="1692">
        <f t="shared" si="14"/>
        <v>164164</v>
      </c>
      <c r="G127" s="1692">
        <f t="shared" si="14"/>
        <v>0</v>
      </c>
      <c r="H127" s="1692">
        <f t="shared" si="14"/>
        <v>7934</v>
      </c>
      <c r="I127" s="1692">
        <f t="shared" si="14"/>
        <v>0</v>
      </c>
      <c r="J127" s="1692">
        <f t="shared" si="14"/>
        <v>0</v>
      </c>
      <c r="K127" s="1692">
        <f t="shared" si="14"/>
        <v>611340</v>
      </c>
      <c r="L127" s="1692">
        <f t="shared" si="14"/>
        <v>543177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220526</v>
      </c>
      <c r="D129" s="1699">
        <f t="shared" ref="D129:L129" si="15">SUM(D120,D127,D128)</f>
        <v>36053</v>
      </c>
      <c r="E129" s="1699">
        <f t="shared" si="15"/>
        <v>182663</v>
      </c>
      <c r="F129" s="1699">
        <f t="shared" si="15"/>
        <v>164164</v>
      </c>
      <c r="G129" s="1699">
        <f t="shared" si="15"/>
        <v>0</v>
      </c>
      <c r="H129" s="1699">
        <f t="shared" si="15"/>
        <v>7934</v>
      </c>
      <c r="I129" s="1699">
        <f t="shared" si="15"/>
        <v>0</v>
      </c>
      <c r="J129" s="1699">
        <f t="shared" si="15"/>
        <v>0</v>
      </c>
      <c r="K129" s="1699">
        <f t="shared" si="15"/>
        <v>611340</v>
      </c>
      <c r="L129" s="1699">
        <f t="shared" si="15"/>
        <v>543177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50000</v>
      </c>
    </row>
    <row r="151" spans="1:14" ht="12.75" customHeight="1" thickTop="1" thickBot="1" x14ac:dyDescent="0.25">
      <c r="A151" s="2187" t="s">
        <v>641</v>
      </c>
      <c r="B151" s="2169"/>
      <c r="C151" s="1692">
        <f>SUM(C129,C130,C139,C149,C150)</f>
        <v>220526</v>
      </c>
      <c r="D151" s="1692">
        <f t="shared" ref="D151:K151" si="16">SUM(D129,D130,D139,D149,D150)</f>
        <v>36053</v>
      </c>
      <c r="E151" s="1692">
        <f t="shared" si="16"/>
        <v>182663</v>
      </c>
      <c r="F151" s="1692">
        <f t="shared" si="16"/>
        <v>164164</v>
      </c>
      <c r="G151" s="1692">
        <f t="shared" si="16"/>
        <v>0</v>
      </c>
      <c r="H151" s="1692">
        <f t="shared" si="16"/>
        <v>7934</v>
      </c>
      <c r="I151" s="1692">
        <f t="shared" si="16"/>
        <v>0</v>
      </c>
      <c r="J151" s="1692">
        <f t="shared" si="16"/>
        <v>0</v>
      </c>
      <c r="K151" s="1692">
        <f t="shared" si="16"/>
        <v>611340</v>
      </c>
      <c r="L151" s="1692">
        <f>SUM(L129,L130,L139,L149,L150)</f>
        <v>593177</v>
      </c>
    </row>
    <row r="152" spans="1:14" ht="12.75" customHeight="1" thickTop="1" x14ac:dyDescent="0.2">
      <c r="A152" s="2190" t="s">
        <v>1240</v>
      </c>
      <c r="B152" s="2191"/>
      <c r="C152" s="619"/>
      <c r="D152" s="619"/>
      <c r="E152" s="619"/>
      <c r="F152" s="619"/>
      <c r="G152" s="619"/>
      <c r="H152" s="619"/>
      <c r="I152" s="619"/>
      <c r="J152" s="617"/>
      <c r="K152" s="1706">
        <f>'Revenues 9-14'!D275-'Expenditures 15-22'!K151</f>
        <v>-13238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72648</v>
      </c>
      <c r="I169" s="617"/>
      <c r="J169" s="617"/>
      <c r="K169" s="1693">
        <f>SUM(C169:H169)</f>
        <v>72648</v>
      </c>
      <c r="L169" s="657">
        <v>68722</v>
      </c>
    </row>
    <row r="170" spans="1:14" ht="33.75" customHeight="1" x14ac:dyDescent="0.2">
      <c r="A170" s="670" t="s">
        <v>1769</v>
      </c>
      <c r="B170" s="672" t="s">
        <v>31</v>
      </c>
      <c r="C170" s="617"/>
      <c r="D170" s="617"/>
      <c r="E170" s="617"/>
      <c r="F170" s="617"/>
      <c r="G170" s="617"/>
      <c r="H170" s="569">
        <v>537458</v>
      </c>
      <c r="I170" s="617"/>
      <c r="J170" s="617"/>
      <c r="K170" s="1693">
        <f>SUM(C170:J170)</f>
        <v>537458</v>
      </c>
      <c r="L170" s="569">
        <v>517400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610106</v>
      </c>
      <c r="I172" s="639"/>
      <c r="J172" s="617"/>
      <c r="K172" s="1699">
        <f>SUM(K168,K169,K170,K171)</f>
        <v>610106</v>
      </c>
      <c r="L172" s="1699">
        <f>SUM(L168,L169,L170,L171)</f>
        <v>586122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610106</v>
      </c>
      <c r="I174" s="639"/>
      <c r="J174" s="617"/>
      <c r="K174" s="1699">
        <f>SUM(K160,K172,K173)</f>
        <v>610106</v>
      </c>
      <c r="L174" s="1699">
        <f>SUM(L160,L172,L173)</f>
        <v>586122</v>
      </c>
    </row>
    <row r="175" spans="1:14" ht="13.5" thickTop="1" x14ac:dyDescent="0.2">
      <c r="A175" s="2197" t="s">
        <v>1053</v>
      </c>
      <c r="B175" s="2198"/>
      <c r="C175" s="617"/>
      <c r="D175" s="617"/>
      <c r="E175" s="617"/>
      <c r="F175" s="617"/>
      <c r="G175" s="617"/>
      <c r="H175" s="619"/>
      <c r="I175" s="617"/>
      <c r="J175" s="617"/>
      <c r="K175" s="1706">
        <f>'Revenues 9-14'!E275-'Expenditures 15-22'!K174</f>
        <v>-69431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171201</v>
      </c>
      <c r="D182" s="466">
        <v>18071</v>
      </c>
      <c r="E182" s="466">
        <v>24542</v>
      </c>
      <c r="F182" s="466">
        <v>14380</v>
      </c>
      <c r="G182" s="466"/>
      <c r="H182" s="466"/>
      <c r="I182" s="467"/>
      <c r="J182" s="467"/>
      <c r="K182" s="1693">
        <f>SUM(C182:J182)</f>
        <v>228194</v>
      </c>
      <c r="L182" s="466">
        <v>253238</v>
      </c>
    </row>
    <row r="183" spans="1:14" ht="12.75" customHeight="1" thickBot="1" x14ac:dyDescent="0.25">
      <c r="A183" s="1531" t="s">
        <v>1037</v>
      </c>
      <c r="B183" s="678">
        <v>2900</v>
      </c>
      <c r="C183" s="573"/>
      <c r="D183" s="573"/>
      <c r="E183" s="573">
        <v>25191</v>
      </c>
      <c r="F183" s="573"/>
      <c r="G183" s="573"/>
      <c r="H183" s="573"/>
      <c r="I183" s="532"/>
      <c r="J183" s="532"/>
      <c r="K183" s="1699">
        <f>SUM(C183:J183)</f>
        <v>25191</v>
      </c>
      <c r="L183" s="573">
        <v>20000</v>
      </c>
    </row>
    <row r="184" spans="1:14" ht="12.75" customHeight="1" thickTop="1" thickBot="1" x14ac:dyDescent="0.25">
      <c r="A184" s="1713" t="s">
        <v>865</v>
      </c>
      <c r="B184" s="1691" t="s">
        <v>590</v>
      </c>
      <c r="C184" s="1699">
        <f>SUM(C180,C182,C183)</f>
        <v>171201</v>
      </c>
      <c r="D184" s="1699">
        <f t="shared" ref="D184:J184" si="17">SUM(D180,D182,D183)</f>
        <v>18071</v>
      </c>
      <c r="E184" s="1699">
        <f t="shared" si="17"/>
        <v>49733</v>
      </c>
      <c r="F184" s="1699">
        <f t="shared" si="17"/>
        <v>14380</v>
      </c>
      <c r="G184" s="1699">
        <f t="shared" si="17"/>
        <v>0</v>
      </c>
      <c r="H184" s="1699">
        <f t="shared" si="17"/>
        <v>0</v>
      </c>
      <c r="I184" s="1699">
        <f t="shared" si="17"/>
        <v>0</v>
      </c>
      <c r="J184" s="1699">
        <f t="shared" si="17"/>
        <v>0</v>
      </c>
      <c r="K184" s="1699">
        <f>SUM(K180,K182,K183)</f>
        <v>253385</v>
      </c>
      <c r="L184" s="1699">
        <f>SUM(L180, L182:L183)</f>
        <v>273238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171201</v>
      </c>
      <c r="D210" s="1692">
        <f>SUM(D184,D185)</f>
        <v>18071</v>
      </c>
      <c r="E210" s="1692">
        <f>SUM(E184,E185,E196)</f>
        <v>49733</v>
      </c>
      <c r="F210" s="1692">
        <f>SUM(F184,F185)</f>
        <v>14380</v>
      </c>
      <c r="G210" s="1692">
        <f>SUM(G184,G185)</f>
        <v>0</v>
      </c>
      <c r="H210" s="1692">
        <f>SUM(H184,H185,H196,H208,H209)</f>
        <v>0</v>
      </c>
      <c r="I210" s="1692">
        <f>SUM(I184,I185)</f>
        <v>0</v>
      </c>
      <c r="J210" s="1692">
        <f>SUM(J184,J185)</f>
        <v>0</v>
      </c>
      <c r="K210" s="1693">
        <f>SUM(K184,K185,K196,K208,K209)</f>
        <v>253385</v>
      </c>
      <c r="L210" s="1692">
        <f>SUM(L184,L185,L196,L208,L209)</f>
        <v>273238</v>
      </c>
    </row>
    <row r="211" spans="1:14" ht="13.5" thickTop="1" x14ac:dyDescent="0.2">
      <c r="A211" s="2197" t="s">
        <v>1053</v>
      </c>
      <c r="B211" s="2198"/>
      <c r="C211" s="619"/>
      <c r="D211" s="619"/>
      <c r="E211" s="619"/>
      <c r="F211" s="619"/>
      <c r="G211" s="619"/>
      <c r="H211" s="619"/>
      <c r="I211" s="617"/>
      <c r="J211" s="617"/>
      <c r="K211" s="1706">
        <f>'Revenues 9-14'!F275-'Expenditures 15-22'!K210</f>
        <v>62166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25626</v>
      </c>
      <c r="E215" s="617"/>
      <c r="F215" s="617"/>
      <c r="G215" s="617"/>
      <c r="H215" s="617"/>
      <c r="I215" s="617"/>
      <c r="J215" s="617"/>
      <c r="K215" s="1693">
        <f>D215</f>
        <v>25626</v>
      </c>
      <c r="L215" s="466">
        <v>26545</v>
      </c>
    </row>
    <row r="216" spans="1:14" x14ac:dyDescent="0.2">
      <c r="A216" s="1526" t="s">
        <v>165</v>
      </c>
      <c r="B216" s="615" t="s">
        <v>1024</v>
      </c>
      <c r="C216" s="617"/>
      <c r="D216" s="467">
        <v>22187</v>
      </c>
      <c r="E216" s="617"/>
      <c r="F216" s="617"/>
      <c r="G216" s="617"/>
      <c r="H216" s="617"/>
      <c r="I216" s="617"/>
      <c r="J216" s="617"/>
      <c r="K216" s="1693">
        <f t="shared" ref="K216:K228" si="19">D216</f>
        <v>22187</v>
      </c>
      <c r="L216" s="466">
        <v>23058</v>
      </c>
    </row>
    <row r="217" spans="1:14" x14ac:dyDescent="0.2">
      <c r="A217" s="1526" t="s">
        <v>166</v>
      </c>
      <c r="B217" s="615">
        <v>1200</v>
      </c>
      <c r="C217" s="617"/>
      <c r="D217" s="466">
        <v>21697</v>
      </c>
      <c r="E217" s="617"/>
      <c r="F217" s="617"/>
      <c r="G217" s="617"/>
      <c r="H217" s="617"/>
      <c r="I217" s="617"/>
      <c r="J217" s="617"/>
      <c r="K217" s="1693">
        <f t="shared" si="19"/>
        <v>21697</v>
      </c>
      <c r="L217" s="466">
        <v>22701</v>
      </c>
    </row>
    <row r="218" spans="1:14" x14ac:dyDescent="0.2">
      <c r="A218" s="1526" t="s">
        <v>296</v>
      </c>
      <c r="B218" s="615" t="s">
        <v>1025</v>
      </c>
      <c r="C218" s="617"/>
      <c r="D218" s="467">
        <v>1833</v>
      </c>
      <c r="E218" s="617"/>
      <c r="F218" s="617"/>
      <c r="G218" s="617"/>
      <c r="H218" s="617"/>
      <c r="I218" s="617"/>
      <c r="J218" s="617"/>
      <c r="K218" s="1693">
        <f t="shared" si="19"/>
        <v>1833</v>
      </c>
      <c r="L218" s="466">
        <v>7017</v>
      </c>
    </row>
    <row r="219" spans="1:14" x14ac:dyDescent="0.2">
      <c r="A219" s="1526" t="s">
        <v>297</v>
      </c>
      <c r="B219" s="615">
        <v>1250</v>
      </c>
      <c r="C219" s="617"/>
      <c r="D219" s="466">
        <v>16658</v>
      </c>
      <c r="E219" s="617"/>
      <c r="F219" s="617"/>
      <c r="G219" s="617"/>
      <c r="H219" s="617"/>
      <c r="I219" s="617"/>
      <c r="J219" s="617"/>
      <c r="K219" s="1693">
        <f t="shared" si="19"/>
        <v>16658</v>
      </c>
      <c r="L219" s="466">
        <v>17846</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4691</v>
      </c>
      <c r="E223" s="617"/>
      <c r="F223" s="617"/>
      <c r="G223" s="617"/>
      <c r="H223" s="617"/>
      <c r="I223" s="617"/>
      <c r="J223" s="617"/>
      <c r="K223" s="1693">
        <f t="shared" si="19"/>
        <v>4691</v>
      </c>
      <c r="L223" s="466">
        <v>4989</v>
      </c>
    </row>
    <row r="224" spans="1:14" x14ac:dyDescent="0.2">
      <c r="A224" s="1526" t="s">
        <v>1021</v>
      </c>
      <c r="B224" s="615">
        <v>1600</v>
      </c>
      <c r="C224" s="617"/>
      <c r="D224" s="466">
        <v>484</v>
      </c>
      <c r="E224" s="617"/>
      <c r="F224" s="617"/>
      <c r="G224" s="617"/>
      <c r="H224" s="617"/>
      <c r="I224" s="617"/>
      <c r="J224" s="617"/>
      <c r="K224" s="1693">
        <f t="shared" si="19"/>
        <v>484</v>
      </c>
      <c r="L224" s="466">
        <v>282</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93176</v>
      </c>
      <c r="E229" s="617"/>
      <c r="F229" s="617"/>
      <c r="G229" s="617"/>
      <c r="H229" s="617"/>
      <c r="I229" s="617"/>
      <c r="J229" s="617"/>
      <c r="K229" s="1692">
        <f>SUM(K215:K228)</f>
        <v>93176</v>
      </c>
      <c r="L229" s="1692">
        <f>SUM(L215:L228)</f>
        <v>102438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8507</v>
      </c>
      <c r="E234" s="617"/>
      <c r="F234" s="617"/>
      <c r="G234" s="617"/>
      <c r="H234" s="617"/>
      <c r="I234" s="617"/>
      <c r="J234" s="617"/>
      <c r="K234" s="1693">
        <f t="shared" si="20"/>
        <v>8507</v>
      </c>
      <c r="L234" s="466">
        <v>8859</v>
      </c>
    </row>
    <row r="235" spans="1:12" x14ac:dyDescent="0.2">
      <c r="A235" s="1526" t="s">
        <v>208</v>
      </c>
      <c r="B235" s="615">
        <v>2140</v>
      </c>
      <c r="C235" s="617"/>
      <c r="D235" s="466">
        <v>1830</v>
      </c>
      <c r="E235" s="617"/>
      <c r="F235" s="617"/>
      <c r="G235" s="617"/>
      <c r="H235" s="617"/>
      <c r="I235" s="617"/>
      <c r="J235" s="617"/>
      <c r="K235" s="1693">
        <f t="shared" si="20"/>
        <v>1830</v>
      </c>
      <c r="L235" s="466">
        <v>1647</v>
      </c>
    </row>
    <row r="236" spans="1:12" x14ac:dyDescent="0.2">
      <c r="A236" s="1526" t="s">
        <v>209</v>
      </c>
      <c r="B236" s="615">
        <v>2150</v>
      </c>
      <c r="C236" s="617"/>
      <c r="D236" s="466">
        <v>1569</v>
      </c>
      <c r="E236" s="617"/>
      <c r="F236" s="617"/>
      <c r="G236" s="617"/>
      <c r="H236" s="617"/>
      <c r="I236" s="617"/>
      <c r="J236" s="617"/>
      <c r="K236" s="1693">
        <f t="shared" si="20"/>
        <v>1569</v>
      </c>
      <c r="L236" s="466">
        <v>1665</v>
      </c>
    </row>
    <row r="237" spans="1:12" x14ac:dyDescent="0.2">
      <c r="A237" s="1526" t="s">
        <v>167</v>
      </c>
      <c r="B237" s="615">
        <v>2190</v>
      </c>
      <c r="C237" s="617"/>
      <c r="D237" s="466">
        <v>5283</v>
      </c>
      <c r="E237" s="617"/>
      <c r="F237" s="617"/>
      <c r="G237" s="617"/>
      <c r="H237" s="617"/>
      <c r="I237" s="617"/>
      <c r="J237" s="617"/>
      <c r="K237" s="1693">
        <f t="shared" si="20"/>
        <v>5283</v>
      </c>
      <c r="L237" s="466">
        <v>5992</v>
      </c>
    </row>
    <row r="238" spans="1:12" ht="12.75" customHeight="1" thickBot="1" x14ac:dyDescent="0.25">
      <c r="A238" s="1690" t="s">
        <v>581</v>
      </c>
      <c r="B238" s="1697" t="s">
        <v>740</v>
      </c>
      <c r="C238" s="617"/>
      <c r="D238" s="1692">
        <f>SUM(D232:D237)</f>
        <v>17189</v>
      </c>
      <c r="E238" s="617"/>
      <c r="F238" s="617"/>
      <c r="G238" s="617"/>
      <c r="H238" s="617"/>
      <c r="I238" s="617"/>
      <c r="J238" s="617"/>
      <c r="K238" s="1692">
        <f>SUM(K232:K237)</f>
        <v>17189</v>
      </c>
      <c r="L238" s="1692">
        <f>SUM(L232:L237)</f>
        <v>18163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3066</v>
      </c>
      <c r="E240" s="617"/>
      <c r="F240" s="617"/>
      <c r="G240" s="617"/>
      <c r="H240" s="617"/>
      <c r="I240" s="617"/>
      <c r="J240" s="617"/>
      <c r="K240" s="1694">
        <f>D240</f>
        <v>3066</v>
      </c>
      <c r="L240" s="481">
        <v>1511</v>
      </c>
    </row>
    <row r="241" spans="1:12" x14ac:dyDescent="0.2">
      <c r="A241" s="1526" t="s">
        <v>869</v>
      </c>
      <c r="B241" s="615">
        <v>2220</v>
      </c>
      <c r="C241" s="617"/>
      <c r="D241" s="466">
        <v>13564</v>
      </c>
      <c r="E241" s="617"/>
      <c r="F241" s="617"/>
      <c r="G241" s="617"/>
      <c r="H241" s="617"/>
      <c r="I241" s="617"/>
      <c r="J241" s="617"/>
      <c r="K241" s="1694">
        <f>D241</f>
        <v>13564</v>
      </c>
      <c r="L241" s="466">
        <v>13367</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16630</v>
      </c>
      <c r="E243" s="617"/>
      <c r="F243" s="617"/>
      <c r="G243" s="617"/>
      <c r="H243" s="617"/>
      <c r="I243" s="617"/>
      <c r="J243" s="617"/>
      <c r="K243" s="1692">
        <f>SUM(K240:K242)</f>
        <v>16630</v>
      </c>
      <c r="L243" s="1692">
        <f>SUM(L240:L242)</f>
        <v>14878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353</v>
      </c>
      <c r="E245" s="617"/>
      <c r="F245" s="617"/>
      <c r="G245" s="617"/>
      <c r="H245" s="617"/>
      <c r="I245" s="617"/>
      <c r="J245" s="617"/>
      <c r="K245" s="1694">
        <f>D245</f>
        <v>353</v>
      </c>
      <c r="L245" s="481">
        <v>372</v>
      </c>
    </row>
    <row r="246" spans="1:12" x14ac:dyDescent="0.2">
      <c r="A246" s="1526" t="s">
        <v>872</v>
      </c>
      <c r="B246" s="615">
        <v>2320</v>
      </c>
      <c r="C246" s="617"/>
      <c r="D246" s="466">
        <v>11689</v>
      </c>
      <c r="E246" s="617"/>
      <c r="F246" s="617"/>
      <c r="G246" s="617"/>
      <c r="H246" s="617"/>
      <c r="I246" s="617"/>
      <c r="J246" s="617"/>
      <c r="K246" s="1694">
        <f t="shared" ref="K246:K256" si="21">D246</f>
        <v>11689</v>
      </c>
      <c r="L246" s="466">
        <v>11727</v>
      </c>
    </row>
    <row r="247" spans="1:12" x14ac:dyDescent="0.2">
      <c r="A247" s="1526" t="s">
        <v>873</v>
      </c>
      <c r="B247" s="615">
        <v>2330</v>
      </c>
      <c r="C247" s="617"/>
      <c r="D247" s="466">
        <v>18637</v>
      </c>
      <c r="E247" s="617"/>
      <c r="F247" s="617"/>
      <c r="G247" s="617"/>
      <c r="H247" s="617"/>
      <c r="I247" s="617"/>
      <c r="J247" s="617"/>
      <c r="K247" s="1694">
        <f t="shared" si="21"/>
        <v>18637</v>
      </c>
      <c r="L247" s="466">
        <v>19468</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30679</v>
      </c>
      <c r="E257" s="617"/>
      <c r="F257" s="617"/>
      <c r="G257" s="617"/>
      <c r="H257" s="617"/>
      <c r="I257" s="617"/>
      <c r="J257" s="617"/>
      <c r="K257" s="1692">
        <f>SUM(K245:K256)</f>
        <v>30679</v>
      </c>
      <c r="L257" s="1692">
        <f>SUM(L245:L256)</f>
        <v>31567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18742</v>
      </c>
      <c r="E259" s="617"/>
      <c r="F259" s="617"/>
      <c r="G259" s="617"/>
      <c r="H259" s="617"/>
      <c r="I259" s="617"/>
      <c r="J259" s="617"/>
      <c r="K259" s="1694">
        <f>D259</f>
        <v>18742</v>
      </c>
      <c r="L259" s="481">
        <v>19139</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18742</v>
      </c>
      <c r="E261" s="617"/>
      <c r="F261" s="617"/>
      <c r="G261" s="617"/>
      <c r="H261" s="617"/>
      <c r="I261" s="617"/>
      <c r="J261" s="617"/>
      <c r="K261" s="1692">
        <f>SUM(K259:K260)</f>
        <v>18742</v>
      </c>
      <c r="L261" s="1692">
        <f>SUM(L259:L260)</f>
        <v>19139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10026</v>
      </c>
      <c r="E264" s="617"/>
      <c r="F264" s="617"/>
      <c r="G264" s="617"/>
      <c r="H264" s="617"/>
      <c r="I264" s="617"/>
      <c r="J264" s="617"/>
      <c r="K264" s="1694">
        <f t="shared" ref="K264:K269" si="22">D264</f>
        <v>10026</v>
      </c>
      <c r="L264" s="466">
        <v>10109</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56371</v>
      </c>
      <c r="E266" s="617"/>
      <c r="F266" s="617"/>
      <c r="G266" s="617"/>
      <c r="H266" s="617"/>
      <c r="I266" s="617"/>
      <c r="J266" s="617"/>
      <c r="K266" s="1694">
        <f t="shared" si="22"/>
        <v>56371</v>
      </c>
      <c r="L266" s="466">
        <v>58401</v>
      </c>
    </row>
    <row r="267" spans="1:14" x14ac:dyDescent="0.2">
      <c r="A267" s="1526" t="s">
        <v>1010</v>
      </c>
      <c r="B267" s="615">
        <v>2550</v>
      </c>
      <c r="C267" s="617"/>
      <c r="D267" s="466">
        <v>31693</v>
      </c>
      <c r="E267" s="617"/>
      <c r="F267" s="617"/>
      <c r="G267" s="617"/>
      <c r="H267" s="617"/>
      <c r="I267" s="617"/>
      <c r="J267" s="617"/>
      <c r="K267" s="1694">
        <f t="shared" si="22"/>
        <v>31693</v>
      </c>
      <c r="L267" s="466">
        <v>40803</v>
      </c>
    </row>
    <row r="268" spans="1:14" x14ac:dyDescent="0.2">
      <c r="A268" s="1526" t="s">
        <v>102</v>
      </c>
      <c r="B268" s="615">
        <v>2560</v>
      </c>
      <c r="C268" s="617"/>
      <c r="D268" s="466">
        <v>35380</v>
      </c>
      <c r="E268" s="617"/>
      <c r="F268" s="617"/>
      <c r="G268" s="617"/>
      <c r="H268" s="617"/>
      <c r="I268" s="617"/>
      <c r="J268" s="617"/>
      <c r="K268" s="1694">
        <f t="shared" si="22"/>
        <v>35380</v>
      </c>
      <c r="L268" s="466">
        <v>37583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133470</v>
      </c>
      <c r="E270" s="617"/>
      <c r="F270" s="617"/>
      <c r="G270" s="617"/>
      <c r="H270" s="617"/>
      <c r="I270" s="617"/>
      <c r="J270" s="617"/>
      <c r="K270" s="1692">
        <f>SUM(K263:K269)</f>
        <v>133470</v>
      </c>
      <c r="L270" s="1692">
        <f>SUM(L263:L269)</f>
        <v>146896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4463</v>
      </c>
      <c r="E276" s="617"/>
      <c r="F276" s="617"/>
      <c r="G276" s="617"/>
      <c r="H276" s="617"/>
      <c r="I276" s="617"/>
      <c r="J276" s="617"/>
      <c r="K276" s="1694">
        <f>D276</f>
        <v>4463</v>
      </c>
      <c r="L276" s="466">
        <v>4573</v>
      </c>
    </row>
    <row r="277" spans="1:12" ht="12.75" customHeight="1" thickBot="1" x14ac:dyDescent="0.25">
      <c r="A277" s="1713" t="s">
        <v>37</v>
      </c>
      <c r="B277" s="1691" t="s">
        <v>36</v>
      </c>
      <c r="C277" s="617"/>
      <c r="D277" s="1692">
        <f>SUM(D272:D276)</f>
        <v>4463</v>
      </c>
      <c r="E277" s="617"/>
      <c r="F277" s="617"/>
      <c r="G277" s="617"/>
      <c r="H277" s="617"/>
      <c r="I277" s="617"/>
      <c r="J277" s="617"/>
      <c r="K277" s="1692">
        <f>SUM(K272:K276)</f>
        <v>4463</v>
      </c>
      <c r="L277" s="1692">
        <f>SUM(L272:L276)</f>
        <v>4573</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221173</v>
      </c>
      <c r="E279" s="617"/>
      <c r="F279" s="617"/>
      <c r="G279" s="617"/>
      <c r="H279" s="617"/>
      <c r="I279" s="617"/>
      <c r="J279" s="617"/>
      <c r="K279" s="1699">
        <f>SUM(K238,K243,K257,K261,K270,K277,K278)</f>
        <v>221173</v>
      </c>
      <c r="L279" s="1699">
        <f>SUM(L238,L243,L257,L261,L270,L277,L278)</f>
        <v>235216</v>
      </c>
    </row>
    <row r="280" spans="1:12" ht="15.75" customHeight="1" thickTop="1" thickBot="1" x14ac:dyDescent="0.25">
      <c r="A280" s="1646" t="s">
        <v>930</v>
      </c>
      <c r="B280" s="1635">
        <v>3000</v>
      </c>
      <c r="C280" s="617"/>
      <c r="D280" s="576">
        <v>26037</v>
      </c>
      <c r="E280" s="617"/>
      <c r="F280" s="617"/>
      <c r="G280" s="617"/>
      <c r="H280" s="617"/>
      <c r="I280" s="617"/>
      <c r="J280" s="617"/>
      <c r="K280" s="1701">
        <f>D280</f>
        <v>26037</v>
      </c>
      <c r="L280" s="576">
        <v>26933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340386</v>
      </c>
      <c r="E295" s="617"/>
      <c r="F295" s="617"/>
      <c r="G295" s="617"/>
      <c r="H295" s="1692">
        <f>H293</f>
        <v>0</v>
      </c>
      <c r="I295" s="617"/>
      <c r="J295" s="617"/>
      <c r="K295" s="1692">
        <f>SUM(K229,K279,K280,K285,K293,K294)</f>
        <v>340386</v>
      </c>
      <c r="L295" s="1692">
        <f>SUM(L229,L279,L280,L285,L293,L294)</f>
        <v>364587</v>
      </c>
    </row>
    <row r="296" spans="1:14" ht="13.5" thickTop="1" x14ac:dyDescent="0.2">
      <c r="A296" s="2197" t="s">
        <v>1053</v>
      </c>
      <c r="B296" s="2198"/>
      <c r="C296" s="617"/>
      <c r="D296" s="619"/>
      <c r="E296" s="617"/>
      <c r="F296" s="617"/>
      <c r="G296" s="617"/>
      <c r="H296" s="688"/>
      <c r="I296" s="617"/>
      <c r="J296" s="617"/>
      <c r="K296" s="1706">
        <f>'Revenues 9-14'!G275-'Expenditures 15-22'!K295</f>
        <v>-88856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44105</v>
      </c>
      <c r="F320" s="467"/>
      <c r="G320" s="467"/>
      <c r="H320" s="467"/>
      <c r="I320" s="467"/>
      <c r="J320" s="467"/>
      <c r="K320" s="1693">
        <f t="shared" ref="K320:K327" si="24">SUM(C320:J320)</f>
        <v>44105</v>
      </c>
      <c r="L320" s="467">
        <v>47000</v>
      </c>
      <c r="M320" s="666"/>
      <c r="N320" s="666"/>
    </row>
    <row r="321" spans="1:14" s="675" customFormat="1" x14ac:dyDescent="0.2">
      <c r="A321" s="1541" t="s">
        <v>318</v>
      </c>
      <c r="B321" s="698" t="s">
        <v>301</v>
      </c>
      <c r="C321" s="467"/>
      <c r="D321" s="467"/>
      <c r="E321" s="467">
        <v>7680</v>
      </c>
      <c r="F321" s="467"/>
      <c r="G321" s="467"/>
      <c r="H321" s="467"/>
      <c r="I321" s="467"/>
      <c r="J321" s="467"/>
      <c r="K321" s="1693">
        <f t="shared" si="24"/>
        <v>7680</v>
      </c>
      <c r="L321" s="467">
        <v>15000</v>
      </c>
      <c r="M321" s="666"/>
      <c r="N321" s="666"/>
    </row>
    <row r="322" spans="1:14" s="675" customFormat="1" x14ac:dyDescent="0.2">
      <c r="A322" s="1541" t="s">
        <v>256</v>
      </c>
      <c r="B322" s="698" t="s">
        <v>302</v>
      </c>
      <c r="C322" s="467"/>
      <c r="D322" s="467"/>
      <c r="E322" s="467">
        <v>3367</v>
      </c>
      <c r="F322" s="467"/>
      <c r="G322" s="467"/>
      <c r="H322" s="467"/>
      <c r="I322" s="467"/>
      <c r="J322" s="467"/>
      <c r="K322" s="1693">
        <f t="shared" si="24"/>
        <v>3367</v>
      </c>
      <c r="L322" s="467">
        <v>3367</v>
      </c>
      <c r="M322" s="666"/>
      <c r="N322" s="666"/>
    </row>
    <row r="323" spans="1:14" s="675" customFormat="1" x14ac:dyDescent="0.2">
      <c r="A323" s="1541" t="s">
        <v>726</v>
      </c>
      <c r="B323" s="698" t="s">
        <v>303</v>
      </c>
      <c r="C323" s="467"/>
      <c r="D323" s="467"/>
      <c r="E323" s="467">
        <v>182459</v>
      </c>
      <c r="F323" s="467"/>
      <c r="G323" s="467">
        <v>13881</v>
      </c>
      <c r="H323" s="467"/>
      <c r="I323" s="467"/>
      <c r="J323" s="467"/>
      <c r="K323" s="1693">
        <f t="shared" si="24"/>
        <v>196340</v>
      </c>
      <c r="L323" s="467">
        <v>178000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322561</v>
      </c>
      <c r="D325" s="467"/>
      <c r="E325" s="467"/>
      <c r="F325" s="467"/>
      <c r="G325" s="467"/>
      <c r="H325" s="467"/>
      <c r="I325" s="467"/>
      <c r="J325" s="467"/>
      <c r="K325" s="1693">
        <f t="shared" si="24"/>
        <v>322561</v>
      </c>
      <c r="L325" s="467">
        <v>328145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30000</v>
      </c>
      <c r="M327" s="666"/>
      <c r="N327" s="666"/>
    </row>
    <row r="328" spans="1:14" s="675" customFormat="1" x14ac:dyDescent="0.2">
      <c r="A328" s="1542" t="s">
        <v>492</v>
      </c>
      <c r="B328" s="691" t="s">
        <v>1194</v>
      </c>
      <c r="C328" s="474"/>
      <c r="D328" s="474"/>
      <c r="E328" s="474">
        <v>85305</v>
      </c>
      <c r="F328" s="474"/>
      <c r="G328" s="474"/>
      <c r="H328" s="474"/>
      <c r="I328" s="474"/>
      <c r="J328" s="474"/>
      <c r="K328" s="1721">
        <f>SUM(C328:J328)</f>
        <v>85305</v>
      </c>
      <c r="L328" s="474">
        <v>62000</v>
      </c>
      <c r="M328" s="666"/>
      <c r="N328" s="666"/>
    </row>
    <row r="329" spans="1:14" s="675" customFormat="1" x14ac:dyDescent="0.2">
      <c r="A329" s="1542" t="s">
        <v>1195</v>
      </c>
      <c r="B329" s="691" t="s">
        <v>1196</v>
      </c>
      <c r="C329" s="474"/>
      <c r="D329" s="474"/>
      <c r="E329" s="474">
        <v>14932</v>
      </c>
      <c r="F329" s="474"/>
      <c r="G329" s="474"/>
      <c r="H329" s="474"/>
      <c r="I329" s="474"/>
      <c r="J329" s="474"/>
      <c r="K329" s="1721">
        <f>SUM(C329:J329)</f>
        <v>14932</v>
      </c>
      <c r="L329" s="474">
        <v>14000</v>
      </c>
      <c r="M329" s="666"/>
      <c r="N329" s="666"/>
    </row>
    <row r="330" spans="1:14" s="675" customFormat="1" ht="12.75" customHeight="1" thickBot="1" x14ac:dyDescent="0.25">
      <c r="A330" s="1722" t="s">
        <v>741</v>
      </c>
      <c r="B330" s="1691" t="s">
        <v>590</v>
      </c>
      <c r="C330" s="1692">
        <f>SUM(C319:C329)</f>
        <v>322561</v>
      </c>
      <c r="D330" s="1692">
        <f t="shared" ref="D330:J330" si="25">SUM(D319:D329)</f>
        <v>0</v>
      </c>
      <c r="E330" s="1692">
        <f t="shared" si="25"/>
        <v>337848</v>
      </c>
      <c r="F330" s="1692">
        <f t="shared" si="25"/>
        <v>0</v>
      </c>
      <c r="G330" s="1692">
        <f t="shared" si="25"/>
        <v>13881</v>
      </c>
      <c r="H330" s="1692">
        <f t="shared" si="25"/>
        <v>0</v>
      </c>
      <c r="I330" s="1692">
        <f t="shared" si="25"/>
        <v>0</v>
      </c>
      <c r="J330" s="1692">
        <f t="shared" si="25"/>
        <v>0</v>
      </c>
      <c r="K330" s="1692">
        <f>SUM(K319:K329)</f>
        <v>674290</v>
      </c>
      <c r="L330" s="1692">
        <f>SUM(L319:L329)</f>
        <v>677512</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322561</v>
      </c>
      <c r="D342" s="1692">
        <f>SUM(D330)</f>
        <v>0</v>
      </c>
      <c r="E342" s="1692">
        <f>SUM(E330)</f>
        <v>337848</v>
      </c>
      <c r="F342" s="1692">
        <f>SUM(F330)</f>
        <v>0</v>
      </c>
      <c r="G342" s="1692">
        <f>SUM(G330)</f>
        <v>13881</v>
      </c>
      <c r="H342" s="1692">
        <f>SUM(H330,H334,H340)</f>
        <v>0</v>
      </c>
      <c r="I342" s="1692">
        <f>SUM(I330)</f>
        <v>0</v>
      </c>
      <c r="J342" s="1692">
        <f>SUM(J330)</f>
        <v>0</v>
      </c>
      <c r="K342" s="1692">
        <f>SUM(K330,K334,K340)</f>
        <v>674290</v>
      </c>
      <c r="L342" s="1699">
        <f>SUM(L330,L340,L341)</f>
        <v>677512</v>
      </c>
    </row>
    <row r="343" spans="1:14" ht="12.75" customHeight="1" thickTop="1" x14ac:dyDescent="0.2">
      <c r="A343" s="2183" t="s">
        <v>1053</v>
      </c>
      <c r="B343" s="2184"/>
      <c r="C343" s="617"/>
      <c r="D343" s="617"/>
      <c r="E343" s="617"/>
      <c r="F343" s="617"/>
      <c r="G343" s="617"/>
      <c r="H343" s="617"/>
      <c r="I343" s="617"/>
      <c r="J343" s="617"/>
      <c r="K343" s="1706">
        <f>'Revenues 9-14'!J275-'Expenditures 15-22'!K342</f>
        <v>-47201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25977</v>
      </c>
      <c r="L368" s="655"/>
    </row>
  </sheetData>
  <sheetProtection algorithmName="SHA-512" hashValue="G4dXZuBjL8yQpMpwoN+bYEi6EQjfRKIv4agFVM6c9PcDdPknU/WJA+yLr2HjfJTVOSsJD/2hG5cKBnSZhE0jwA==" saltValue="DXoEFYu9/KwPw9ZAsKpPYg==" spinCount="100000" sheet="1" objects="1" scenarios="1"/>
  <customSheetViews>
    <customSheetView guid="{66701A8A-4B70-4BC6-A23C-3FE9EE52CAD0}" scale="110" colorId="8" showGridLines="0">
      <pane ySplit="2" topLeftCell="A183" activePane="bottomLeft" state="frozen"/>
      <selection pane="bottomLeft" activeCell="K79" sqref="K79"/>
      <rowBreaks count="6" manualBreakCount="6">
        <brk id="53" max="16383" man="1"/>
        <brk id="107" max="16383" man="1"/>
        <brk id="160" max="16383" man="1"/>
        <brk id="208" max="16383" man="1"/>
        <brk id="261" max="16383" man="1"/>
        <brk id="316" max="16383" man="1"/>
      </rowBreaks>
      <pageMargins left="0.75" right="0.75" top="1.1499999999999999" bottom="0.5" header="0.5" footer="0.5"/>
      <printOptions horizontalCentered="1"/>
      <pageSetup scale="60" firstPageNumber="15" fitToHeight="0" orientation="landscape" r:id="rId1"/>
      <headerFooter>
        <oddHeader>&amp;C&amp;"Times New Roman,Regular"EAST ALTON ELEMENTARY SCHOOL DISTRICT NO. 13
STATEMENT OF DISBURSEMENTS - CASH - REGULATORY BASIS
(ACTUAL AND BUDGET)
ALL FUNDS
FOR THE YEAR ENDED JUNE 30, 2018</oddHeader>
        <oddFooter>&amp;C&amp;"Times New Roman,Regular"See Notes to Financial Statements and Independent Auditor's Reports
&amp;P</oddFooter>
      </headerFooter>
    </customSheetView>
    <customSheetView guid="{21F80B28-2D59-4A2F-B7F1-982D582C738E}" scale="110" colorId="8" showPageBreaks="1" showGridLines="0">
      <pane ySplit="2" topLeftCell="A183" activePane="bottomLeft" state="frozen"/>
      <selection pane="bottomLeft" activeCell="K79" sqref="K79"/>
      <rowBreaks count="6" manualBreakCount="6">
        <brk id="53" max="16383" man="1"/>
        <brk id="107" max="16383" man="1"/>
        <brk id="160" max="16383" man="1"/>
        <brk id="208" max="16383" man="1"/>
        <brk id="261" max="16383" man="1"/>
        <brk id="316" max="16383" man="1"/>
      </rowBreaks>
      <pageMargins left="0.75" right="0.75" top="1.1499999999999999" bottom="0.5" header="0.5" footer="0.5"/>
      <printOptions horizontalCentered="1"/>
      <pageSetup scale="60" firstPageNumber="15" fitToHeight="0" orientation="landscape" r:id="rId2"/>
      <headerFooter>
        <oddHeader>&amp;C&amp;"Times New Roman,Regular"EAST ALTON ELEMENTARY SCHOOL DISTRICT NO. 13
STATEMENT OF DISBURSEMENTS - CASH - REGULATORY BASIS
(ACTUAL AND BUDGET)
ALL FUNDS
FOR THE YEAR ENDED JUNE 30, 2018</oddHeader>
        <oddFooter>&amp;C&amp;"Times New Roman,Regular"See Notes to Financial Statements and Independent Auditor's Reports
&amp;P</oddFooter>
      </headerFooter>
    </customSheetView>
    <customSheetView guid="{659D510F-1045-4226-8DAF-5F1FF14245AE}" scale="110" colorId="8" showGridLines="0">
      <pane ySplit="2" topLeftCell="A183" activePane="bottomLeft" state="frozen"/>
      <selection pane="bottomLeft" activeCell="K79" sqref="K79"/>
      <rowBreaks count="6" manualBreakCount="6">
        <brk id="53" max="16383" man="1"/>
        <brk id="107" max="16383" man="1"/>
        <brk id="160" max="16383" man="1"/>
        <brk id="208" max="16383" man="1"/>
        <brk id="261" max="16383" man="1"/>
        <brk id="316" max="16383" man="1"/>
      </rowBreaks>
      <pageMargins left="0.75" right="0.75" top="1.1499999999999999" bottom="0.5" header="0.5" footer="0.5"/>
      <printOptions horizontalCentered="1"/>
      <pageSetup scale="60" firstPageNumber="15" fitToHeight="0" orientation="landscape" r:id="rId3"/>
      <headerFooter>
        <oddHeader>&amp;C&amp;"Times New Roman,Regular"EAST ALTON ELEMENTARY SCHOOL DISTRICT NO. 13
STATEMENT OF DISBURSEMENTS - CASH - REGULATORY BASIS
(ACTUAL AND BUDGET)
ALL FUNDS
FOR THE YEAR ENDED JUNE 30, 2018</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75" right="0.75" top="1.1499999999999999" bottom="0.5" header="0.5" footer="0.5"/>
  <pageSetup scale="60" firstPageNumber="15" fitToHeight="0" orientation="landscape" r:id="rId4"/>
  <headerFooter>
    <oddHeader>&amp;C&amp;"Times New Roman,Regular"EAST ALTON ELEMENTARY SCHOOL DISTRICT NO. 13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purl.org/dc/terms/"/>
    <ds:schemaRef ds:uri="http://purl.org/dc/elements/1.1/"/>
    <ds:schemaRef ds:uri="http://schemas.microsoft.com/office/2006/documentManagement/types"/>
    <ds:schemaRef ds:uri="d21dc803-237d-4c68-8692-8d731fd29118"/>
    <ds:schemaRef ds:uri="6ce3111e-7420-4802-b50a-75d4e9a0b980"/>
    <ds:schemaRef ds:uri="4d435f69-8686-490b-bd6d-b153bf22ab50"/>
    <ds:schemaRef ds:uri="http://schemas.openxmlformats.org/package/2006/metadata/core-properties"/>
    <ds:schemaRef ds:uri="http://schemas.microsoft.com/sharepoint/v3"/>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25</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'Assets-Liab 5-6'!Print_Area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2018-09-25T14:34:37Z</cp:lastPrinted>
  <dcterms:created xsi:type="dcterms:W3CDTF">2003-10-29T19:06:34Z</dcterms:created>
  <dcterms:modified xsi:type="dcterms:W3CDTF">2018-10-04T18:45:15Z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