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2990" windowHeight="89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 SEFA (5)" sheetId="186" r:id="rId33"/>
    <sheet name="SF&amp;QC Sec-1" sheetId="174" r:id="rId34"/>
    <sheet name="SF&amp;QC Sec-2" sheetId="175" r:id="rId35"/>
    <sheet name="SF&amp;QC Sec-2 (2)" sheetId="187" r:id="rId36"/>
    <sheet name="SF&amp;QC Sec-3" sheetId="176" r:id="rId37"/>
    <sheet name="SF&amp;QC Sec-3 (2)" sheetId="188" r:id="rId38"/>
    <sheet name="SF&amp;QC Sec-3 (3)" sheetId="189" r:id="rId39"/>
    <sheet name="SSPAF" sheetId="177" r:id="rId40"/>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2">'Aud Quest 2'!$A$1:$J$120</definedName>
    <definedName name="_xlnm.Print_Area" localSheetId="15">'ICR Computation 30'!$A$1:$G$46</definedName>
    <definedName name="_xlnm.Print_Area" localSheetId="18">'Itemization 33'!$A$1:$B$53</definedName>
    <definedName name="_xlnm.Print_Area" localSheetId="13">'PCTC-OEPP 27-28'!$A$1:$G$189</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6">'SF&amp;QC Sec-3'!$A$1:$K$52</definedName>
    <definedName name="_xlnm.Print_Area" localSheetId="37">'SF&amp;QC Sec-3 (2)'!$A$1:$K$52</definedName>
    <definedName name="_xlnm.Print_Area" localSheetId="38">'SF&amp;QC Sec-3 (3)'!$A$1:$K$52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 i="186" l="1"/>
  <c r="F21" i="186"/>
  <c r="B4" i="189" l="1"/>
  <c r="B2" i="189"/>
  <c r="B1" i="189"/>
  <c r="L18" i="185" l="1"/>
  <c r="B4" i="188" l="1"/>
  <c r="B2" i="188"/>
  <c r="B1" i="188"/>
  <c r="B4" i="187" l="1"/>
  <c r="B2" i="187"/>
  <c r="B1" i="187"/>
  <c r="G38" i="174" l="1"/>
  <c r="M21" i="179" l="1"/>
  <c r="M16" i="183"/>
  <c r="M21" i="183" s="1"/>
  <c r="L21" i="183"/>
  <c r="K21" i="183"/>
  <c r="J21" i="183"/>
  <c r="I21" i="183"/>
  <c r="H21" i="183"/>
  <c r="G21" i="183"/>
  <c r="F21" i="183"/>
  <c r="E21" i="183"/>
  <c r="G26" i="186"/>
  <c r="E26" i="186"/>
  <c r="M21" i="186"/>
  <c r="K21" i="186"/>
  <c r="J21" i="186"/>
  <c r="H21" i="186"/>
  <c r="G21" i="186"/>
  <c r="E21" i="186"/>
  <c r="M20" i="186"/>
  <c r="K20" i="186"/>
  <c r="J20" i="186"/>
  <c r="I20" i="186"/>
  <c r="H20" i="186"/>
  <c r="G20" i="186"/>
  <c r="F20" i="186"/>
  <c r="E20" i="186"/>
  <c r="M19" i="186"/>
  <c r="M26" i="186" s="1"/>
  <c r="K19" i="186"/>
  <c r="K24" i="186" s="1"/>
  <c r="J19" i="186"/>
  <c r="J24" i="186" s="1"/>
  <c r="I19" i="186"/>
  <c r="H19" i="186"/>
  <c r="H24" i="186" s="1"/>
  <c r="G19" i="186"/>
  <c r="G24" i="186" s="1"/>
  <c r="F19" i="186"/>
  <c r="E19" i="186"/>
  <c r="E24" i="186" s="1"/>
  <c r="M18" i="186"/>
  <c r="L18" i="186"/>
  <c r="K18" i="186"/>
  <c r="J18" i="186"/>
  <c r="I18" i="186"/>
  <c r="H18" i="186"/>
  <c r="G18" i="186"/>
  <c r="F18" i="186"/>
  <c r="E18" i="186"/>
  <c r="M17" i="186"/>
  <c r="L17" i="186"/>
  <c r="K17" i="186"/>
  <c r="J17" i="186"/>
  <c r="I17" i="186"/>
  <c r="H17" i="186"/>
  <c r="G17" i="186"/>
  <c r="F17" i="186"/>
  <c r="E17" i="186"/>
  <c r="M16" i="186"/>
  <c r="L16" i="186"/>
  <c r="K16" i="186"/>
  <c r="J16" i="186"/>
  <c r="I16" i="186"/>
  <c r="H16" i="186"/>
  <c r="G16" i="186"/>
  <c r="F16" i="186"/>
  <c r="E16" i="186"/>
  <c r="M22" i="186"/>
  <c r="L22" i="186"/>
  <c r="K22" i="186"/>
  <c r="J22" i="186"/>
  <c r="I22" i="186"/>
  <c r="H22" i="186"/>
  <c r="G22" i="186"/>
  <c r="F22" i="186"/>
  <c r="E22" i="186"/>
  <c r="M15" i="186"/>
  <c r="L15" i="186"/>
  <c r="K15" i="186"/>
  <c r="J15" i="186"/>
  <c r="I15" i="186"/>
  <c r="H15" i="186"/>
  <c r="G15" i="186"/>
  <c r="F15" i="186"/>
  <c r="E15" i="186"/>
  <c r="M14" i="186"/>
  <c r="L14" i="186"/>
  <c r="K14" i="186"/>
  <c r="J14" i="186"/>
  <c r="I14" i="186"/>
  <c r="H14" i="186"/>
  <c r="G14" i="186"/>
  <c r="F14" i="186"/>
  <c r="E14" i="186"/>
  <c r="M13" i="186"/>
  <c r="L13" i="186"/>
  <c r="K13" i="186"/>
  <c r="J13" i="186"/>
  <c r="I13" i="186"/>
  <c r="H13" i="186"/>
  <c r="G13" i="186"/>
  <c r="F13" i="186"/>
  <c r="E13" i="186"/>
  <c r="M12" i="186"/>
  <c r="L12" i="186"/>
  <c r="K12" i="186"/>
  <c r="J12" i="186"/>
  <c r="I12" i="186"/>
  <c r="H12" i="186"/>
  <c r="G12" i="186"/>
  <c r="F12" i="186"/>
  <c r="E12" i="186"/>
  <c r="H26" i="186" l="1"/>
  <c r="J26" i="186"/>
  <c r="F24" i="186"/>
  <c r="K26" i="186"/>
  <c r="M24" i="186"/>
  <c r="I26" i="186"/>
  <c r="I24" i="186"/>
  <c r="F26" i="186"/>
  <c r="M26" i="185"/>
  <c r="K26" i="185"/>
  <c r="J26" i="185"/>
  <c r="H26" i="185"/>
  <c r="M15" i="184"/>
  <c r="M16" i="184" s="1"/>
  <c r="L15" i="184"/>
  <c r="L16" i="184" s="1"/>
  <c r="K15" i="184"/>
  <c r="K16" i="184" s="1"/>
  <c r="J15" i="184"/>
  <c r="J16" i="184" s="1"/>
  <c r="I15" i="184"/>
  <c r="I16" i="184" s="1"/>
  <c r="H15" i="184"/>
  <c r="H16" i="184" s="1"/>
  <c r="G15" i="184"/>
  <c r="G16" i="184" s="1"/>
  <c r="F15" i="184"/>
  <c r="F16" i="184" s="1"/>
  <c r="E16" i="184"/>
  <c r="E15" i="184"/>
  <c r="I14" i="184"/>
  <c r="L27" i="183"/>
  <c r="K27" i="183"/>
  <c r="J27" i="183"/>
  <c r="I27" i="183"/>
  <c r="H27" i="183"/>
  <c r="G27" i="183"/>
  <c r="F27" i="183"/>
  <c r="E27" i="183"/>
  <c r="L26" i="183"/>
  <c r="I16" i="183" l="1"/>
  <c r="G16" i="183"/>
  <c r="F16" i="183"/>
  <c r="E16" i="183"/>
  <c r="I20" i="185" l="1"/>
  <c r="G39" i="174" s="1"/>
  <c r="G20" i="185"/>
  <c r="G21" i="185" s="1"/>
  <c r="G26" i="185" s="1"/>
  <c r="F20" i="185"/>
  <c r="F21" i="185" s="1"/>
  <c r="F26" i="185" s="1"/>
  <c r="D35" i="171" s="1"/>
  <c r="E20" i="185"/>
  <c r="E21" i="185" s="1"/>
  <c r="E26" i="185" s="1"/>
  <c r="I21" i="179"/>
  <c r="G21" i="179"/>
  <c r="F21" i="179"/>
  <c r="E21" i="179"/>
  <c r="B4" i="186"/>
  <c r="L19" i="185"/>
  <c r="L17" i="185"/>
  <c r="L21" i="186" s="1"/>
  <c r="L16" i="185"/>
  <c r="L15" i="185"/>
  <c r="L20" i="186" s="1"/>
  <c r="L14" i="185"/>
  <c r="L13" i="185"/>
  <c r="B4" i="185"/>
  <c r="L14" i="184"/>
  <c r="L13" i="184"/>
  <c r="B4" i="184"/>
  <c r="L25" i="183"/>
  <c r="L19" i="183"/>
  <c r="L16" i="183"/>
  <c r="L15" i="183"/>
  <c r="L14" i="183"/>
  <c r="L13" i="183"/>
  <c r="L12" i="183"/>
  <c r="B4" i="183"/>
  <c r="L19" i="186" l="1"/>
  <c r="L24" i="186" s="1"/>
  <c r="L26" i="186"/>
  <c r="L20" i="185"/>
  <c r="I21" i="185"/>
  <c r="D182" i="34"/>
  <c r="L21" i="185" l="1"/>
  <c r="I26" i="185"/>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L26" i="185" l="1"/>
  <c r="D45" i="174"/>
  <c r="I34" i="182"/>
  <c r="J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95" i="106"/>
  <c r="K133" i="29"/>
  <c r="B7776" i="106" s="1"/>
  <c r="B7793" i="106"/>
  <c r="B7791" i="106"/>
  <c r="B7787"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1" i="179" l="1"/>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4"/>
  <c r="B2" i="183"/>
  <c r="B2" i="186"/>
  <c r="B1" i="184"/>
  <c r="B1" i="185"/>
  <c r="B1" i="186"/>
  <c r="B1" i="183"/>
  <c r="B2" i="177"/>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J21" i="12"/>
  <c r="J23" i="12" s="1"/>
  <c r="B7729" i="106"/>
  <c r="D7729" i="106" s="1"/>
  <c r="B7734" i="106"/>
  <c r="D7734" i="106" s="1"/>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D7761" i="106" s="1"/>
  <c r="L127" i="29"/>
  <c r="L129" i="29" s="1"/>
  <c r="L139" i="29"/>
  <c r="L149" i="29"/>
  <c r="I7" i="145"/>
  <c r="I6" i="145"/>
  <c r="D78" i="36"/>
  <c r="K75" i="29"/>
  <c r="K130" i="29"/>
  <c r="K185" i="29"/>
  <c r="F14" i="4" s="1"/>
  <c r="B2597" i="106" s="1"/>
  <c r="D2597"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B2978" i="106" s="1"/>
  <c r="D2978" i="106" s="1"/>
  <c r="K93" i="29"/>
  <c r="B6997" i="106" s="1"/>
  <c r="D6997" i="106" s="1"/>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K253" i="29"/>
  <c r="B7092" i="106" s="1"/>
  <c r="D7092" i="106" s="1"/>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c r="B6730" i="106"/>
  <c r="D6730" i="106" s="1"/>
  <c r="B6731" i="106"/>
  <c r="D6731" i="106" s="1"/>
  <c r="B6732" i="106"/>
  <c r="D6732" i="106"/>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c r="B6744" i="106"/>
  <c r="D6744" i="106" s="1"/>
  <c r="B6745" i="106"/>
  <c r="D6745" i="106" s="1"/>
  <c r="B6746" i="106"/>
  <c r="D6746" i="106" s="1"/>
  <c r="B6747" i="106"/>
  <c r="D6747" i="106" s="1"/>
  <c r="B6748" i="106"/>
  <c r="D6748" i="106" s="1"/>
  <c r="B6749" i="106"/>
  <c r="D6749" i="106"/>
  <c r="B6750" i="106"/>
  <c r="D6750" i="106" s="1"/>
  <c r="B6751" i="106"/>
  <c r="D6751" i="106" s="1"/>
  <c r="B6752" i="106"/>
  <c r="D6752" i="106"/>
  <c r="B6753" i="106"/>
  <c r="D6753" i="106" s="1"/>
  <c r="B6754" i="106"/>
  <c r="D6754" i="106" s="1"/>
  <c r="B6755" i="106"/>
  <c r="D6755" i="106"/>
  <c r="B6756" i="106"/>
  <c r="D6756" i="106"/>
  <c r="B6757" i="106"/>
  <c r="D6757" i="106"/>
  <c r="B6758" i="106"/>
  <c r="D6758" i="106" s="1"/>
  <c r="B6759" i="106"/>
  <c r="D6759" i="106" s="1"/>
  <c r="B6760" i="106"/>
  <c r="D6760" i="106" s="1"/>
  <c r="B6761" i="106"/>
  <c r="D6761" i="106"/>
  <c r="B6762" i="106"/>
  <c r="D6762" i="106" s="1"/>
  <c r="B6763" i="106"/>
  <c r="D6763" i="106" s="1"/>
  <c r="B6764" i="106"/>
  <c r="D6764" i="106"/>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c r="B6794" i="106"/>
  <c r="D6794" i="106" s="1"/>
  <c r="B6795" i="106"/>
  <c r="D6795" i="106" s="1"/>
  <c r="B6796" i="106"/>
  <c r="D6796" i="106" s="1"/>
  <c r="B6797" i="106"/>
  <c r="D6797" i="106"/>
  <c r="B6798" i="106"/>
  <c r="D6798" i="106" s="1"/>
  <c r="B6799" i="106"/>
  <c r="D6799" i="106" s="1"/>
  <c r="B6800" i="106"/>
  <c r="D6800" i="106"/>
  <c r="B6801" i="106"/>
  <c r="D6801" i="106" s="1"/>
  <c r="B6802" i="106"/>
  <c r="D6802" i="106" s="1"/>
  <c r="B6803" i="106"/>
  <c r="D6803" i="106"/>
  <c r="B6804" i="106"/>
  <c r="D6804" i="106" s="1"/>
  <c r="B6805" i="106"/>
  <c r="D6805" i="106" s="1"/>
  <c r="B6806" i="106"/>
  <c r="D6806" i="106" s="1"/>
  <c r="B6807" i="106"/>
  <c r="D6807" i="106"/>
  <c r="B6808" i="106"/>
  <c r="D6808" i="106" s="1"/>
  <c r="B6809" i="106"/>
  <c r="D6809" i="106" s="1"/>
  <c r="B6810" i="106"/>
  <c r="D6810" i="106" s="1"/>
  <c r="B6811" i="106"/>
  <c r="D6811" i="106" s="1"/>
  <c r="B6812" i="106"/>
  <c r="D6812" i="106" s="1"/>
  <c r="B6813" i="106"/>
  <c r="D6813" i="106"/>
  <c r="B6814" i="106"/>
  <c r="D6814" i="106" s="1"/>
  <c r="B6815" i="106"/>
  <c r="D6815" i="106" s="1"/>
  <c r="B6816" i="106"/>
  <c r="D6816" i="106"/>
  <c r="B6817" i="106"/>
  <c r="D6817" i="106" s="1"/>
  <c r="B6818" i="106"/>
  <c r="D6818" i="106" s="1"/>
  <c r="B6819" i="106"/>
  <c r="D6819" i="106"/>
  <c r="B6820" i="106"/>
  <c r="D6820" i="106" s="1"/>
  <c r="B6821" i="106"/>
  <c r="D6821" i="106" s="1"/>
  <c r="B6822" i="106"/>
  <c r="D6822" i="106" s="1"/>
  <c r="B6823" i="106"/>
  <c r="D6823" i="106"/>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E27" i="108"/>
  <c r="G27" i="108"/>
  <c r="F31" i="108"/>
  <c r="F36" i="108"/>
  <c r="F37" i="108"/>
  <c r="G28" i="108"/>
  <c r="D31" i="108"/>
  <c r="D36" i="108"/>
  <c r="D37" i="108"/>
  <c r="E31" i="108"/>
  <c r="G31"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F38" i="34"/>
  <c r="C39" i="34"/>
  <c r="D39" i="34"/>
  <c r="C40" i="34"/>
  <c r="D40" i="34"/>
  <c r="C41" i="34"/>
  <c r="D41" i="34"/>
  <c r="F41" i="34"/>
  <c r="C42" i="34"/>
  <c r="D42" i="34"/>
  <c r="C43" i="34"/>
  <c r="D43" i="34"/>
  <c r="C44" i="34"/>
  <c r="D44" i="34"/>
  <c r="F44" i="34"/>
  <c r="C45" i="34"/>
  <c r="D45" i="34"/>
  <c r="F45" i="34"/>
  <c r="C46" i="34"/>
  <c r="D46" i="34"/>
  <c r="F46" i="34"/>
  <c r="C47" i="34"/>
  <c r="D47" i="34"/>
  <c r="C48" i="34"/>
  <c r="D48" i="34"/>
  <c r="C49" i="34"/>
  <c r="D49" i="34"/>
  <c r="F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C131" i="5"/>
  <c r="B5147" i="106" s="1"/>
  <c r="D5147" i="106" s="1"/>
  <c r="D131" i="5"/>
  <c r="B5369" i="106" s="1"/>
  <c r="D5369" i="106" s="1"/>
  <c r="B5614" i="106"/>
  <c r="D5614" i="106" s="1"/>
  <c r="C140" i="5"/>
  <c r="B5161" i="106" s="1"/>
  <c r="D5161" i="106" s="1"/>
  <c r="D140" i="5"/>
  <c r="G140" i="5"/>
  <c r="G144" i="5"/>
  <c r="B5756" i="106" s="1"/>
  <c r="D5756" i="106" s="1"/>
  <c r="G154" i="5"/>
  <c r="B4357" i="106" s="1"/>
  <c r="D4357" i="106" s="1"/>
  <c r="C144" i="5"/>
  <c r="B5165" i="106" s="1"/>
  <c r="D5165" i="106" s="1"/>
  <c r="C154" i="5"/>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B4951" i="106" s="1"/>
  <c r="D4951" i="106" s="1"/>
  <c r="C184" i="5"/>
  <c r="B5232" i="106" s="1"/>
  <c r="D5232" i="106" s="1"/>
  <c r="D184" i="5"/>
  <c r="F184" i="5"/>
  <c r="B5658" i="106" s="1"/>
  <c r="D5658" i="106" s="1"/>
  <c r="G184" i="5"/>
  <c r="B5784" i="106" s="1"/>
  <c r="D5784" i="106" s="1"/>
  <c r="H184" i="5"/>
  <c r="B5908" i="106" s="1"/>
  <c r="D5908" i="106" s="1"/>
  <c r="K184" i="5"/>
  <c r="B4395" i="106"/>
  <c r="D4395" i="106" s="1"/>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5" i="4"/>
  <c r="B3409" i="106" s="1"/>
  <c r="D3409" i="106" s="1"/>
  <c r="C14" i="4"/>
  <c r="B2558" i="106" s="1"/>
  <c r="D2558" i="106" s="1"/>
  <c r="D14" i="4"/>
  <c r="B2570" i="106" s="1"/>
  <c r="D2570" i="106" s="1"/>
  <c r="B2633" i="106"/>
  <c r="D2633" i="106" s="1"/>
  <c r="D7" i="118"/>
  <c r="D8" i="118"/>
  <c r="D9" i="118"/>
  <c r="H14" i="118"/>
  <c r="H19" i="118"/>
  <c r="H24" i="118"/>
  <c r="H33" i="118"/>
  <c r="J22" i="37"/>
  <c r="D4" i="7"/>
  <c r="B1760" i="106" s="1"/>
  <c r="D1760" i="106" s="1"/>
  <c r="D9" i="7"/>
  <c r="B1767" i="106" s="1"/>
  <c r="D1767" i="106" s="1"/>
  <c r="B5847" i="106"/>
  <c r="D5847" i="106" s="1"/>
  <c r="B1746" i="106"/>
  <c r="D1746" i="106" s="1"/>
  <c r="D17" i="7"/>
  <c r="B4104" i="106" s="1"/>
  <c r="D4104" i="106" s="1"/>
  <c r="D12" i="7"/>
  <c r="B1769" i="106" s="1"/>
  <c r="D1769" i="106" s="1"/>
  <c r="H29" i="118" l="1"/>
  <c r="D31" i="36"/>
  <c r="B5096" i="106"/>
  <c r="D5096" i="106" s="1"/>
  <c r="D11" i="37"/>
  <c r="J352" i="29"/>
  <c r="J41" i="3"/>
  <c r="B6216" i="106" s="1"/>
  <c r="D6216" i="106" s="1"/>
  <c r="J77" i="4"/>
  <c r="B6262" i="106" s="1"/>
  <c r="D6262" i="106" s="1"/>
  <c r="F71" i="34"/>
  <c r="B6289" i="106"/>
  <c r="D6289" i="106" s="1"/>
  <c r="F62" i="34"/>
  <c r="D68" i="36"/>
  <c r="G38" i="108"/>
  <c r="H365" i="29"/>
  <c r="B7242" i="106" s="1"/>
  <c r="D7242" i="106" s="1"/>
  <c r="K41" i="3"/>
  <c r="F37" i="34"/>
  <c r="E38" i="108"/>
  <c r="G30" i="108"/>
  <c r="L367" i="29"/>
  <c r="H112" i="29"/>
  <c r="B7018" i="106" s="1"/>
  <c r="D7018" i="106" s="1"/>
  <c r="E109" i="5"/>
  <c r="E4" i="4" s="1"/>
  <c r="B2630" i="106" s="1"/>
  <c r="D2630" i="106" s="1"/>
  <c r="E33" i="108"/>
  <c r="E30" i="108"/>
  <c r="F69" i="34"/>
  <c r="N22" i="3"/>
  <c r="B283" i="106" s="1"/>
  <c r="D283" i="106" s="1"/>
  <c r="D22" i="37"/>
  <c r="J274" i="5"/>
  <c r="B7054" i="106" s="1"/>
  <c r="D7054" i="106" s="1"/>
  <c r="F128" i="34"/>
  <c r="F66" i="34"/>
  <c r="K76" i="4"/>
  <c r="B3586" i="106" s="1"/>
  <c r="D3586" i="106" s="1"/>
  <c r="E174" i="29"/>
  <c r="B1309" i="106" s="1"/>
  <c r="D1309" i="106" s="1"/>
  <c r="E26" i="108"/>
  <c r="F111" i="34"/>
  <c r="D5" i="4"/>
  <c r="B3406" i="106" s="1"/>
  <c r="D3406" i="106" s="1"/>
  <c r="D54" i="36"/>
  <c r="B1274" i="106"/>
  <c r="D1274" i="106" s="1"/>
  <c r="B7041" i="106"/>
  <c r="D7041" i="106" s="1"/>
  <c r="F42" i="34"/>
  <c r="F36" i="34"/>
  <c r="I342" i="29"/>
  <c r="B7222" i="106" s="1"/>
  <c r="D7222" i="106" s="1"/>
  <c r="B2836" i="106"/>
  <c r="D2836" i="106" s="1"/>
  <c r="G39" i="108"/>
  <c r="D7" i="7"/>
  <c r="B1763" i="106" s="1"/>
  <c r="D1763" i="106" s="1"/>
  <c r="F27" i="108"/>
  <c r="J129" i="29"/>
  <c r="B7038" i="106" s="1"/>
  <c r="D7038" i="106" s="1"/>
  <c r="K184" i="29"/>
  <c r="F13" i="4" s="1"/>
  <c r="B2596" i="106" s="1"/>
  <c r="D2596" i="106" s="1"/>
  <c r="G15" i="145"/>
  <c r="G29" i="108"/>
  <c r="I129" i="29"/>
  <c r="B7037" i="106" s="1"/>
  <c r="D7037" i="106" s="1"/>
  <c r="B3619" i="106"/>
  <c r="D3619" i="106" s="1"/>
  <c r="J210" i="29"/>
  <c r="B7072" i="106" s="1"/>
  <c r="D7072" i="106" s="1"/>
  <c r="D109" i="5"/>
  <c r="F19" i="7"/>
  <c r="B1807" i="106" s="1"/>
  <c r="D1807" i="106" s="1"/>
  <c r="H109" i="5"/>
  <c r="B6025" i="106" s="1"/>
  <c r="D6025" i="106" s="1"/>
  <c r="L5" i="11"/>
  <c r="B2056" i="106" s="1"/>
  <c r="D2056" i="106" s="1"/>
  <c r="F131" i="34"/>
  <c r="L342" i="29"/>
  <c r="F50" i="34"/>
  <c r="E29" i="108"/>
  <c r="D15" i="7"/>
  <c r="B1772" i="106" s="1"/>
  <c r="D1772" i="106" s="1"/>
  <c r="H173" i="5"/>
  <c r="D24" i="37"/>
  <c r="B4270" i="106" s="1"/>
  <c r="D4270" i="106" s="1"/>
  <c r="I173" i="5"/>
  <c r="B4216" i="106" s="1"/>
  <c r="D4216" i="106" s="1"/>
  <c r="G26" i="108"/>
  <c r="D6103" i="106"/>
  <c r="I26" i="12"/>
  <c r="B7741" i="106" s="1"/>
  <c r="D7741" i="106" s="1"/>
  <c r="B1996" i="106"/>
  <c r="D1996" i="106" s="1"/>
  <c r="B1128" i="106"/>
  <c r="D1128" i="106" s="1"/>
  <c r="E28" i="108"/>
  <c r="F28" i="108"/>
  <c r="D13" i="7"/>
  <c r="B3726" i="106" s="1"/>
  <c r="D3726" i="106" s="1"/>
  <c r="B5425" i="106"/>
  <c r="D5425" i="106" s="1"/>
  <c r="F127" i="34"/>
  <c r="J367" i="29"/>
  <c r="B7245" i="106" s="1"/>
  <c r="D7245" i="106" s="1"/>
  <c r="B7235" i="106"/>
  <c r="D7235" i="106" s="1"/>
  <c r="B2054" i="106"/>
  <c r="D2054" i="106" s="1"/>
  <c r="L13" i="11"/>
  <c r="B2060" i="106" s="1"/>
  <c r="D2060" i="106" s="1"/>
  <c r="B5677" i="106"/>
  <c r="D5677" i="106" s="1"/>
  <c r="F130" i="34"/>
  <c r="L22" i="37"/>
  <c r="B2734" i="106"/>
  <c r="D2734" i="106" s="1"/>
  <c r="B1511" i="106"/>
  <c r="D1511" i="106" s="1"/>
  <c r="G14" i="4"/>
  <c r="B2609" i="106" s="1"/>
  <c r="D2609" i="106" s="1"/>
  <c r="C109" i="5"/>
  <c r="B5121" i="106" s="1"/>
  <c r="D5121" i="106" s="1"/>
  <c r="B5066" i="106"/>
  <c r="D5066" i="106" s="1"/>
  <c r="B1745" i="106"/>
  <c r="D1745" i="106" s="1"/>
  <c r="D5" i="7"/>
  <c r="B1761" i="106" s="1"/>
  <c r="D1761" i="106" s="1"/>
  <c r="B6848" i="106"/>
  <c r="D6848" i="106" s="1"/>
  <c r="F34" i="34"/>
  <c r="H28" i="118"/>
  <c r="K28" i="118" s="1"/>
  <c r="O27" i="118" s="1"/>
  <c r="O29" i="118" s="1"/>
  <c r="B1868" i="106"/>
  <c r="D1868" i="106" s="1"/>
  <c r="B6006" i="106"/>
  <c r="D6006" i="106" s="1"/>
  <c r="K173" i="5"/>
  <c r="K6" i="4" s="1"/>
  <c r="B3570" i="106" s="1"/>
  <c r="D3570" i="106" s="1"/>
  <c r="B5906" i="106"/>
  <c r="D5906" i="106" s="1"/>
  <c r="H6" i="4"/>
  <c r="B2656" i="106" s="1"/>
  <c r="D2656" i="106" s="1"/>
  <c r="G172" i="5"/>
  <c r="B5752" i="106"/>
  <c r="D5752" i="106" s="1"/>
  <c r="B1752" i="106"/>
  <c r="D1752" i="106" s="1"/>
  <c r="D11" i="7"/>
  <c r="B1768" i="106" s="1"/>
  <c r="D1768" i="106" s="1"/>
  <c r="B5488" i="106"/>
  <c r="D5488" i="106" s="1"/>
  <c r="F136" i="34"/>
  <c r="B5383" i="106"/>
  <c r="D5383" i="106" s="1"/>
  <c r="F106" i="34"/>
  <c r="B3668" i="106"/>
  <c r="D3668" i="106" s="1"/>
  <c r="K350" i="29"/>
  <c r="B6016" i="106"/>
  <c r="D6016" i="106" s="1"/>
  <c r="K274" i="5"/>
  <c r="B6022" i="106" s="1"/>
  <c r="D6022" i="106" s="1"/>
  <c r="B5178" i="106"/>
  <c r="D5178" i="106" s="1"/>
  <c r="C172" i="5"/>
  <c r="B5214" i="106" s="1"/>
  <c r="D5214" i="106" s="1"/>
  <c r="B3621" i="106"/>
  <c r="D3621" i="106" s="1"/>
  <c r="C367" i="29"/>
  <c r="B3622" i="106" s="1"/>
  <c r="D3622" i="106" s="1"/>
  <c r="B4373" i="106"/>
  <c r="D4373" i="106" s="1"/>
  <c r="I274" i="5"/>
  <c r="B4435" i="106" s="1"/>
  <c r="D4435" i="106" s="1"/>
  <c r="B3254" i="106"/>
  <c r="D3254" i="106" s="1"/>
  <c r="F77" i="4"/>
  <c r="B3255" i="106" s="1"/>
  <c r="D3255" i="106" s="1"/>
  <c r="F21" i="8"/>
  <c r="G109" i="5"/>
  <c r="L15" i="11"/>
  <c r="B3459" i="106" s="1"/>
  <c r="D3459" i="106" s="1"/>
  <c r="B3649" i="106"/>
  <c r="D3649" i="106" s="1"/>
  <c r="G367" i="29"/>
  <c r="B3650" i="106" s="1"/>
  <c r="D3650" i="106" s="1"/>
  <c r="K285" i="29"/>
  <c r="B1329" i="106"/>
  <c r="D1329" i="106" s="1"/>
  <c r="F61" i="34"/>
  <c r="G210" i="29"/>
  <c r="B1124" i="106"/>
  <c r="D1124" i="106" s="1"/>
  <c r="H342" i="29"/>
  <c r="B7221" i="106" s="1"/>
  <c r="D7221" i="106" s="1"/>
  <c r="L312"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2657" i="106"/>
  <c r="D2657" i="106" s="1"/>
  <c r="D274" i="5"/>
  <c r="B7270" i="106"/>
  <c r="D44" i="36" l="1"/>
  <c r="D51" i="36"/>
  <c r="B5527" i="106"/>
  <c r="D5527" i="106" s="1"/>
  <c r="N23" i="3"/>
  <c r="B284" i="106" s="1"/>
  <c r="D284" i="106" s="1"/>
  <c r="L16" i="11"/>
  <c r="B2061" i="106" s="1"/>
  <c r="D2061" i="106" s="1"/>
  <c r="I151" i="29"/>
  <c r="F59" i="34" s="1"/>
  <c r="C4" i="4"/>
  <c r="B2551" i="106" s="1"/>
  <c r="D2551" i="106" s="1"/>
  <c r="B3568" i="106"/>
  <c r="D3568" i="106" s="1"/>
  <c r="D52" i="36"/>
  <c r="J7" i="4"/>
  <c r="F41" i="108"/>
  <c r="G43" i="108" s="1"/>
  <c r="I6" i="4"/>
  <c r="B5011" i="106" s="1"/>
  <c r="D5011" i="106" s="1"/>
  <c r="B5356" i="106"/>
  <c r="D5356" i="106" s="1"/>
  <c r="D4" i="4"/>
  <c r="B2564" i="106" s="1"/>
  <c r="D2564" i="106" s="1"/>
  <c r="J16" i="4"/>
  <c r="B6226" i="106" s="1"/>
  <c r="D6226" i="106" s="1"/>
  <c r="B1266" i="106"/>
  <c r="D1266" i="106" s="1"/>
  <c r="D7253" i="106"/>
  <c r="H4" i="4"/>
  <c r="H275" i="5"/>
  <c r="B5915" i="106" s="1"/>
  <c r="D5915" i="106" s="1"/>
  <c r="B1381" i="106"/>
  <c r="D1381" i="106" s="1"/>
  <c r="K365" i="29"/>
  <c r="D7250" i="106"/>
  <c r="I7" i="4"/>
  <c r="B4444" i="106" s="1"/>
  <c r="D4444" i="106" s="1"/>
  <c r="B1317" i="106"/>
  <c r="D1317" i="106" s="1"/>
  <c r="D7252" i="106"/>
  <c r="B5914" i="106"/>
  <c r="D5914" i="106" s="1"/>
  <c r="D7254" i="106"/>
  <c r="D7255" i="106"/>
  <c r="F6" i="4"/>
  <c r="B2593" i="106" s="1"/>
  <c r="D2593" i="106" s="1"/>
  <c r="F274" i="5"/>
  <c r="F275" i="5" s="1"/>
  <c r="B5720" i="106" s="1"/>
  <c r="D5720" i="106" s="1"/>
  <c r="G173" i="5"/>
  <c r="B5770" i="106"/>
  <c r="D5770" i="106" s="1"/>
  <c r="C173" i="5"/>
  <c r="F73" i="34"/>
  <c r="G15" i="4"/>
  <c r="B6032" i="106" s="1"/>
  <c r="D6032" i="106" s="1"/>
  <c r="B1365" i="106"/>
  <c r="D1365" i="106" s="1"/>
  <c r="F65" i="34"/>
  <c r="B3670" i="106"/>
  <c r="D3670" i="106" s="1"/>
  <c r="K352" i="29"/>
  <c r="D7256" i="106"/>
  <c r="D7251" i="106"/>
  <c r="C114" i="29"/>
  <c r="B757" i="106" s="1"/>
  <c r="D757" i="106" s="1"/>
  <c r="B1879" i="106"/>
  <c r="D1879" i="106" s="1"/>
  <c r="H22" i="37"/>
  <c r="D19" i="7"/>
  <c r="B1775" i="106" s="1"/>
  <c r="D1775" i="106" s="1"/>
  <c r="K342" i="29"/>
  <c r="F13" i="34" s="1"/>
  <c r="B6024" i="106"/>
  <c r="D6024" i="106" s="1"/>
  <c r="G4" i="4"/>
  <c r="B2603" i="106" s="1"/>
  <c r="D2603" i="106" s="1"/>
  <c r="H367" i="29"/>
  <c r="B3660" i="106" s="1"/>
  <c r="D366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D7" i="4"/>
  <c r="B5507" i="106"/>
  <c r="D5507" i="106" s="1"/>
  <c r="B7298" i="106"/>
  <c r="B7299" i="106"/>
  <c r="B1145" i="106" l="1"/>
  <c r="D1145" i="106" s="1"/>
  <c r="F7" i="4"/>
  <c r="B2594" i="106" s="1"/>
  <c r="D2594" i="106" s="1"/>
  <c r="B7224" i="106"/>
  <c r="D7224" i="106" s="1"/>
  <c r="B5719" i="106"/>
  <c r="D5719" i="106" s="1"/>
  <c r="K367" i="29"/>
  <c r="B2655" i="106"/>
  <c r="D2655" i="106" s="1"/>
  <c r="H8" i="4"/>
  <c r="F8" i="4"/>
  <c r="F10" i="4" s="1"/>
  <c r="B4125" i="106" s="1"/>
  <c r="D4125" i="106" s="1"/>
  <c r="B5223" i="106"/>
  <c r="D5223" i="106" s="1"/>
  <c r="C6" i="4"/>
  <c r="B2553" i="106" s="1"/>
  <c r="D2553" i="106" s="1"/>
  <c r="K13" i="4"/>
  <c r="B3572" i="106" s="1"/>
  <c r="D3572" i="106" s="1"/>
  <c r="B3672" i="106"/>
  <c r="D3672" i="106" s="1"/>
  <c r="F24" i="37"/>
  <c r="G41" i="108"/>
  <c r="G44" i="108" s="1"/>
  <c r="G45" i="108" s="1"/>
  <c r="B5778" i="106"/>
  <c r="D5778" i="106" s="1"/>
  <c r="G6" i="4"/>
  <c r="B2604" i="106" s="1"/>
  <c r="D2604" i="106" s="1"/>
  <c r="J8" i="4"/>
  <c r="B6223" i="106" s="1"/>
  <c r="D6223"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D8" i="146" l="1"/>
  <c r="B2595" i="106"/>
  <c r="D2595" i="106" s="1"/>
  <c r="J10" i="4"/>
  <c r="B6225" i="106" s="1"/>
  <c r="D6225" i="106" s="1"/>
  <c r="J20" i="4"/>
  <c r="B6230" i="106" s="1"/>
  <c r="D6230" i="106" s="1"/>
  <c r="K17" i="4"/>
  <c r="D8" i="4"/>
  <c r="D10" i="4" s="1"/>
  <c r="B4123" i="106" s="1"/>
  <c r="D4123" i="106" s="1"/>
  <c r="F76" i="34"/>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l="1"/>
  <c r="B2568" i="106"/>
  <c r="D2568" i="106" s="1"/>
  <c r="C8" i="146"/>
  <c r="D20" i="4"/>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<sst xmlns="http://schemas.openxmlformats.org/spreadsheetml/2006/main" count="5503" uniqueCount="2223">
  <si>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</si>
  <si>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</si>
  <si>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</si>
  <si>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</si>
  <si>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</si>
  <si>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</si>
  <si>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</si>
  <si>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</si>
  <si>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</si>
  <si>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</si>
  <si>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</si>
  <si>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</si>
  <si>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</si>
  <si>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</si>
  <si>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</si>
  <si>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</si>
  <si>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</si>
  <si>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</si>
  <si>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</si>
  <si>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</si>
  <si>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</si>
  <si>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</si>
  <si>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</si>
  <si>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</si>
  <si>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</si>
  <si>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</si>
  <si>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</si>
  <si>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</si>
  <si>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</si>
  <si>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</si>
  <si>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</si>
  <si>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</si>
  <si>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</si>
  <si>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</si>
  <si>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</si>
  <si>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</si>
  <si>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</si>
  <si>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</si>
  <si>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</si>
  <si>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</si>
  <si>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</si>
  <si>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</si>
  <si>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</si>
  <si>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</si>
  <si>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</si>
  <si>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</si>
  <si>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</si>
  <si>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</si>
  <si>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</si>
  <si>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</si>
  <si>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</si>
  <si>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</si>
  <si>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</si>
  <si>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</si>
  <si>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</si>
  <si>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</si>
  <si>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</si>
  <si>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</si>
  <si>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</si>
  <si>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</si>
  <si>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</si>
  <si>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</si>
  <si>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</si>
  <si>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</si>
  <si>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</si>
  <si>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</si>
  <si>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</si>
  <si>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</si>
  <si>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</si>
  <si>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</si>
  <si>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</si>
  <si>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</si>
  <si>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</si>
  <si>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</si>
  <si>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</si>
  <si>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</si>
  <si>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</si>
  <si>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</si>
  <si>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</si>
  <si>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</si>
  <si>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</si>
  <si>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</si>
  <si>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</si>
  <si>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</si>
  <si>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</si>
  <si>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</si>
  <si>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</si>
  <si>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</si>
  <si>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</si>
  <si>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</si>
  <si>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</si>
  <si>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</si>
  <si>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</si>
  <si>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</si>
  <si>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</si>
  <si>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</si>
  <si>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</si>
  <si>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</si>
  <si>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</si>
  <si>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</si>
  <si>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</si>
  <si>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</si>
  <si>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</si>
  <si>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</si>
  <si>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</si>
  <si>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</si>
  <si>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</si>
  <si>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</si>
  <si>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</si>
  <si>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</si>
  <si>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</si>
  <si>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</si>
  <si>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</si>
  <si>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</si>
  <si>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</si>
  <si>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</si>
  <si>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</si>
  <si>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</si>
  <si>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</si>
  <si>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</si>
  <si>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</si>
  <si>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</si>
  <si>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</si>
  <si>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</si>
  <si>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</si>
  <si>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</si>
  <si>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</si>
  <si>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</si>
  <si>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</si>
  <si>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</si>
  <si>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</si>
  <si>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</si>
  <si>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</si>
  <si>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</si>
  <si>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</si>
  <si>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</si>
  <si>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</si>
  <si>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</si>
  <si>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</si>
  <si>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</si>
  <si>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</si>
  <si>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</si>
  <si>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</si>
  <si>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</si>
  <si>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</si>
  <si>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</si>
  <si>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</si>
  <si>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</si>
  <si>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</si>
  <si>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</si>
  <si>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</si>
  <si>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</si>
  <si>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</si>
  <si>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</si>
  <si>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</si>
  <si>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</si>
  <si>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</si>
  <si>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</si>
  <si>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</si>
  <si>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</si>
  <si>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</si>
  <si>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</si>
  <si>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</si>
  <si>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</si>
  <si>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</si>
  <si>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</si>
  <si>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</si>
  <si>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</si>
  <si>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</si>
  <si>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</si>
  <si>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</si>
  <si>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</si>
  <si>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</si>
  <si>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</si>
  <si>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</si>
  <si>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</si>
  <si>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</si>
  <si>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</si>
  <si>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</si>
  <si>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</si>
  <si>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</si>
  <si>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</si>
  <si>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</si>
  <si>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</si>
  <si>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</si>
  <si>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</si>
  <si>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</si>
  <si>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</si>
  <si>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</si>
  <si>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</si>
  <si>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</si>
  <si>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</si>
  <si>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</si>
  <si>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</si>
  <si>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</si>
  <si>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</si>
  <si>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</si>
  <si>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</si>
  <si>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</si>
  <si>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</si>
  <si>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</si>
  <si>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</si>
  <si>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</si>
  <si>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</si>
  <si>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</si>
  <si>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</si>
  <si>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</si>
  <si>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</si>
  <si>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</si>
  <si>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</si>
  <si>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</si>
  <si>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</si>
  <si>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</si>
  <si>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</si>
  <si>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</si>
  <si>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</si>
  <si>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</si>
  <si>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</si>
  <si>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</si>
  <si>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</si>
  <si>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</si>
  <si>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</si>
  <si>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</si>
  <si>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</si>
  <si>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</si>
  <si>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</si>
  <si>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</si>
  <si>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</si>
  <si>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</si>
  <si>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</si>
  <si>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</si>
  <si>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</si>
  <si>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</si>
  <si>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</si>
  <si>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</si>
  <si>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</si>
  <si>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</si>
  <si>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</si>
  <si>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</si>
  <si>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</si>
  <si>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</si>
  <si>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</si>
  <si>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</si>
  <si>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</si>
  <si>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</si>
  <si>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</si>
  <si>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</si>
  <si>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</si>
  <si>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</si>
  <si>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</si>
  <si>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</si>
  <si>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</si>
  <si>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</si>
  <si>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</si>
  <si>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</si>
  <si>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</si>
  <si>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</si>
  <si>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</si>
  <si>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</si>
  <si>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</si>
  <si>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</si>
  <si>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</si>
  <si>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</si>
  <si>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</si>
  <si>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</si>
  <si>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</si>
  <si>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</si>
  <si>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</si>
  <si>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</si>
  <si>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</si>
  <si>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</si>
  <si>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</si>
  <si>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</si>
  <si>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</si>
  <si>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</si>
  <si>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</si>
  <si>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</si>
  <si>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</si>
  <si>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</si>
  <si>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</si>
  <si>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</si>
  <si>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</si>
  <si>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</si>
  <si>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</si>
  <si>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</si>
  <si>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</si>
  <si>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</si>
  <si>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</si>
  <si>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</si>
  <si>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</si>
  <si>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</si>
  <si>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</si>
  <si>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</si>
  <si>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</si>
  <si>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</si>
  <si>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</si>
  <si>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</si>
  <si>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</si>
  <si>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</si>
  <si>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</si>
  <si>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</si>
  <si>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</si>
  <si>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</si>
  <si>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</si>
  <si>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</si>
  <si>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</si>
  <si>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</si>
  <si>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</si>
  <si>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</si>
  <si>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</si>
  <si>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</si>
  <si>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</si>
  <si>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</si>
  <si>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</si>
  <si>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</si>
  <si>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</si>
  <si>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</si>
  <si>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</si>
  <si>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</si>
  <si>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</si>
  <si>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</si>
  <si>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</si>
  <si>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</si>
  <si>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</si>
  <si>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</si>
  <si>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</si>
  <si>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</si>
  <si>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</si>
  <si>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</si>
  <si>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</si>
  <si>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</si>
  <si>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</si>
  <si>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</si>
  <si>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</si>
  <si>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</si>
  <si>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</si>
  <si>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</si>
  <si>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</si>
  <si>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</si>
  <si>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</si>
  <si>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</si>
  <si>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</si>
  <si>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</si>
  <si>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</si>
  <si>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</si>
  <si>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</si>
  <si>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</si>
  <si>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</si>
  <si>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</si>
  <si>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</si>
  <si>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</si>
  <si>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</si>
  <si>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</si>
  <si>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</si>
  <si>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</si>
  <si>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</si>
  <si>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</si>
  <si>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</si>
  <si>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</si>
  <si>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</si>
  <si>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</si>
  <si>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</si>
  <si>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</si>
  <si>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</si>
  <si>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</si>
  <si>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</si>
  <si>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</si>
  <si>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</si>
  <si>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</si>
  <si>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</si>
  <si>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</si>
  <si>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</si>
  <si>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</si>
  <si>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</si>
  <si>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</si>
  <si>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</si>
  <si>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</si>
  <si>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</si>
  <si>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</si>
  <si>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</si>
  <si>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</si>
  <si>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</si>
  <si>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</si>
  <si>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</si>
  <si>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</si>
  <si>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</si>
  <si>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</si>
  <si>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</si>
  <si>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</si>
  <si>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</si>
  <si>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</si>
  <si>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</si>
  <si>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</si>
  <si>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</si>
  <si>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</si>
  <si>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</si>
  <si>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</si>
  <si>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</si>
  <si>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</si>
  <si>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</si>
  <si>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</si>
  <si>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</si>
  <si>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</si>
  <si>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</si>
  <si>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</si>
  <si>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</si>
  <si>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</si>
  <si>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</si>
  <si>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</si>
  <si>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</si>
  <si>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</si>
  <si>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</si>
  <si>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</si>
  <si>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</si>
  <si>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</si>
  <si>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</si>
  <si>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</si>
  <si>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</si>
  <si>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</si>
  <si>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</si>
  <si>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</si>
  <si>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</si>
  <si>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</si>
  <si>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</si>
  <si>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</si>
  <si>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</si>
  <si>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</si>
  <si>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</si>
  <si>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</si>
  <si>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</si>
  <si>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</si>
  <si>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</si>
  <si>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</si>
  <si>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</si>
  <si>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</si>
  <si>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</si>
  <si>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</si>
  <si>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</si>
  <si>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</si>
  <si>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</si>
  <si>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</si>
  <si>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</si>
  <si>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</si>
  <si>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</si>
  <si>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</si>
  <si>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</si>
  <si>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</si>
  <si>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</si>
  <si>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</si>
  <si>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</si>
  <si>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</si>
  <si>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</si>
  <si>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</si>
  <si>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</si>
  <si>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</si>
  <si>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</si>
  <si>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</si>
  <si>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</si>
  <si>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</si>
  <si>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</si>
  <si>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</si>
  <si>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</si>
  <si>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</si>
  <si>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</si>
  <si>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</si>
  <si>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</si>
  <si>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</si>
  <si>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</si>
  <si>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</si>
  <si>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</si>
  <si>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</si>
  <si>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</si>
  <si>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</si>
  <si>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</si>
  <si>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</si>
  <si>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</si>
  <si>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</si>
  <si>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</si>
  <si>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</si>
  <si>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</si>
  <si>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</si>
  <si>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</si>
  <si>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</si>
  <si>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</si>
  <si>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</si>
  <si>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</si>
  <si>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</si>
  <si>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</si>
  <si>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</si>
  <si>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</si>
  <si>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</si>
  <si>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</si>
  <si>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</si>
  <si>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</si>
  <si>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</si>
  <si>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</si>
  <si>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</si>
  <si>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</si>
  <si>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</si>
  <si>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</si>
  <si>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</si>
  <si>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</si>
  <si>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</si>
  <si>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</si>
  <si>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</si>
  <si>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</si>
  <si>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</si>
  <si>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</si>
  <si>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</si>
  <si>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</si>
  <si>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</si>
  <si>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</si>
  <si>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</si>
  <si>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</si>
  <si>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</si>
  <si>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</si>
  <si>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</si>
  <si>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</si>
  <si>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</si>
  <si>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</si>
  <si>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</si>
  <si>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</si>
  <si>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</si>
  <si>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</si>
  <si>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</si>
  <si>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</si>
  <si>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</si>
  <si>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</si>
  <si>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</si>
  <si>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</si>
  <si>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</si>
  <si>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</si>
  <si>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</si>
  <si>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</si>
  <si>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</si>
  <si>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</si>
  <si>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</si>
  <si>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</si>
  <si>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</si>
  <si>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</si>
  <si>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</si>
  <si>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</si>
  <si>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</si>
  <si>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</si>
  <si>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</si>
  <si>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</si>
  <si>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</si>
  <si>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</si>
  <si>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</si>
  <si>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</si>
  <si>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</si>
  <si>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</si>
  <si>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</si>
  <si>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</si>
  <si>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</si>
  <si>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</si>
  <si>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</si>
  <si>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</si>
  <si>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</si>
  <si>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</si>
  <si>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</si>
  <si>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</si>
  <si>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</si>
  <si>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</si>
  <si>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</si>
  <si>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</si>
  <si>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</si>
  <si>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</si>
  <si>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</si>
  <si>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</si>
  <si>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</si>
  <si>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</si>
  <si>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</si>
  <si>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</si>
  <si>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</si>
  <si>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</si>
  <si>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</si>
  <si>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</si>
  <si>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</si>
  <si>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</si>
  <si>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</si>
  <si>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</si>
  <si>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</si>
  <si>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</si>
  <si>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</si>
  <si>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</si>
  <si>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</si>
  <si>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</si>
  <si>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</si>
  <si>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</si>
  <si>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</si>
  <si>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</si>
  <si>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</si>
  <si>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</si>
  <si>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</si>
  <si>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</si>
  <si>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</si>
  <si>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</si>
  <si>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</si>
  <si>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</si>
  <si>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</si>
  <si>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</si>
  <si>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</si>
  <si>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</si>
  <si>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</si>
  <si>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</si>
  <si>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</si>
  <si>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</si>
  <si>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</si>
  <si>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</si>
  <si>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</si>
  <si>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</si>
  <si>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</si>
  <si>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</si>
  <si>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</si>
  <si>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</si>
  <si>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</si>
  <si>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</si>
  <si>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</si>
  <si>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</si>
  <si>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</si>
  <si>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</si>
  <si>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</si>
  <si>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</si>
  <si>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</si>
  <si>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</si>
  <si>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</si>
  <si>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</si>
  <si>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</si>
  <si>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</si>
  <si>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</si>
  <si>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</si>
  <si>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</si>
  <si>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</si>
  <si>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</si>
  <si>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</si>
  <si>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</si>
  <si>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</si>
  <si>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</si>
  <si>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</si>
  <si>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</si>
  <si>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</si>
  <si>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</si>
  <si>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</si>
  <si>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</si>
  <si>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</si>
  <si>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</si>
  <si>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</si>
  <si>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</si>
  <si>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</si>
  <si>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</si>
  <si>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</si>
  <si>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</si>
  <si>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</si>
  <si>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</si>
  <si>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</si>
  <si>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</si>
  <si>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</si>
  <si>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</si>
  <si>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</si>
  <si>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</si>
  <si>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</si>
  <si>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</si>
  <si>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</si>
  <si>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</si>
  <si>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</si>
  <si>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</si>
  <si>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</si>
  <si>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</si>
  <si>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</si>
  <si>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</si>
  <si>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</si>
  <si>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</si>
  <si>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</si>
  <si>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</si>
  <si>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</si>
  <si>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</si>
  <si>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</si>
  <si>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</si>
  <si>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</si>
  <si>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</si>
  <si>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</si>
  <si>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</si>
  <si>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</si>
  <si>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</si>
  <si>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</si>
  <si>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</si>
  <si>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</si>
  <si>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</si>
  <si>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</si>
  <si>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</si>
  <si>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</si>
  <si>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</si>
  <si>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</si>
  <si>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</si>
  <si>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</si>
  <si>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</si>
  <si>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</si>
  <si>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</si>
  <si>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</si>
  <si>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</si>
  <si>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</si>
  <si>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</si>
  <si>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</si>
  <si>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</si>
  <si>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</si>
  <si>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</si>
  <si>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</si>
  <si>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</si>
  <si>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</si>
  <si>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</si>
  <si>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</si>
  <si>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</si>
  <si>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</si>
  <si>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</si>
  <si>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</si>
  <si>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</si>
  <si>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</si>
  <si>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</si>
  <si>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</si>
  <si>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</si>
  <si>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</si>
  <si>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</si>
  <si>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</si>
  <si>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</si>
  <si>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</si>
  <si>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</si>
  <si>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</si>
  <si>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</si>
  <si>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</si>
  <si>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</si>
  <si>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</si>
  <si>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</si>
  <si>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</si>
  <si>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</si>
  <si>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</si>
  <si>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</si>
  <si>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</si>
  <si>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</si>
  <si>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</si>
  <si>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</si>
  <si>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</si>
  <si>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</si>
  <si>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</si>
  <si>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</si>
  <si>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</si>
  <si>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</si>
  <si>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</si>
  <si>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</si>
  <si>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</si>
  <si>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</si>
  <si>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</si>
  <si>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</si>
  <si>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</si>
  <si>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</si>
  <si>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</si>
  <si>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</si>
  <si>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</si>
  <si>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</si>
  <si>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</si>
  <si>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</si>
  <si>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</si>
  <si>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</si>
  <si>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</si>
  <si>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</si>
  <si>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</si>
  <si>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</si>
  <si>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</si>
  <si>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</si>
  <si>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</si>
  <si>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</si>
  <si>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</si>
  <si>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</si>
  <si>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</si>
  <si>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</si>
  <si>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</si>
  <si>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</si>
  <si>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</si>
  <si>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</si>
  <si>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</si>
  <si>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</si>
  <si>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</si>
  <si>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</si>
  <si>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</si>
  <si>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</si>
  <si>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</si>
  <si>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</si>
  <si>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</si>
  <si>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</si>
  <si>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</si>
  <si>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</si>
  <si>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</si>
  <si>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</si>
  <si>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</si>
  <si>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</si>
  <si>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</si>
  <si>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</si>
  <si>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</si>
  <si>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</si>
  <si>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</si>
  <si>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</si>
  <si>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</si>
  <si>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</si>
  <si>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</si>
  <si>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</si>
  <si>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</si>
  <si>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</si>
  <si>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</si>
  <si>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</si>
  <si>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</si>
  <si>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</si>
  <si>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</si>
  <si>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</si>
  <si>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</si>
  <si>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</si>
  <si>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</si>
  <si>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</si>
  <si>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</si>
  <si>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</si>
  <si>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</si>
  <si>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</si>
  <si>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</si>
  <si>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</si>
  <si>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</si>
  <si>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</si>
  <si>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</si>
  <si>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</si>
  <si>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</si>
  <si>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</si>
  <si>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</si>
  <si>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</si>
  <si>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</si>
  <si>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</si>
  <si>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</si>
  <si>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</si>
  <si>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</si>
  <si>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</si>
  <si>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</si>
  <si>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</si>
  <si>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</si>
  <si>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</si>
  <si>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</si>
  <si>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</si>
  <si>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</si>
  <si>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</si>
  <si>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</si>
  <si>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</si>
  <si>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</si>
  <si>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</si>
  <si>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</si>
  <si>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</si>
  <si>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</si>
  <si>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</si>
  <si>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</si>
  <si>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</si>
  <si>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</si>
  <si>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</si>
  <si>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</si>
  <si>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</si>
  <si>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</si>
  <si>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</si>
  <si>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</si>
  <si>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</si>
  <si>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</si>
  <si>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</si>
  <si>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</si>
  <si>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</si>
  <si>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</si>
  <si>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</si>
  <si>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</si>
  <si>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</si>
  <si>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</si>
  <si>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</si>
  <si>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</si>
  <si>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</si>
  <si>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</si>
  <si>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</si>
  <si>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</si>
  <si>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</si>
  <si>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</si>
  <si>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</si>
  <si>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</si>
  <si>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</si>
  <si>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</si>
  <si>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</si>
  <si>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</si>
  <si>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</si>
  <si>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</si>
  <si>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</si>
  <si>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</si>
  <si>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</si>
  <si>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</si>
  <si>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</si>
  <si>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</si>
  <si>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</si>
  <si>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</si>
  <si>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</si>
  <si>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</si>
  <si>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</si>
  <si>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</si>
  <si>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</si>
  <si>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</si>
  <si>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</si>
  <si>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</si>
  <si>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</si>
  <si>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</si>
  <si>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</si>
  <si>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</si>
  <si>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</si>
  <si>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</si>
  <si>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</si>
  <si>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</si>
  <si>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</si>
  <si>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</si>
  <si>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</si>
  <si>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</si>
  <si>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</si>
  <si>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</si>
  <si>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</si>
  <si>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</si>
  <si>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</si>
  <si>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</si>
  <si>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</si>
  <si>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</si>
  <si>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</si>
  <si>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</si>
  <si>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</si>
  <si>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</si>
  <si>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</si>
  <si>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</si>
  <si>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</si>
  <si>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</si>
  <si>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</si>
  <si>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</si>
  <si>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</si>
  <si>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</si>
  <si>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</si>
  <si>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</si>
  <si>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</si>
  <si>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</si>
  <si>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</si>
  <si>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</si>
  <si>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</si>
  <si>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</si>
  <si>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</si>
  <si>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</si>
  <si>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</si>
  <si>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</si>
  <si>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</si>
  <si>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</si>
  <si>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</si>
  <si>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</si>
  <si>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</si>
  <si>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</si>
  <si>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</si>
  <si>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</si>
  <si>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</si>
  <si>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</si>
  <si>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</si>
  <si>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</si>
  <si>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</si>
  <si>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</si>
  <si>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</si>
  <si>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</si>
  <si>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</si>
  <si>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</si>
  <si>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</si>
  <si>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</si>
  <si>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</si>
  <si>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</si>
  <si>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</si>
  <si>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</si>
  <si>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</si>
  <si>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</si>
  <si>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</si>
  <si>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</si>
  <si>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</si>
  <si>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</si>
  <si>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</si>
  <si>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</si>
  <si>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</si>
  <si>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</si>
  <si>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</si>
  <si>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</si>
  <si>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</si>
  <si>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</si>
  <si>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</si>
  <si>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</si>
  <si>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</si>
  <si>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</si>
  <si>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</si>
  <si>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</si>
  <si>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</si>
  <si>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</si>
  <si>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</si>
  <si>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</si>
  <si>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</si>
  <si>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</si>
  <si>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</si>
  <si>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</si>
  <si>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</si>
  <si>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</si>
  <si>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</si>
  <si>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</si>
  <si>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</si>
  <si>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</si>
  <si>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</si>
  <si>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</si>
  <si>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</si>
  <si>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</si>
  <si>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</si>
  <si>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</si>
  <si>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</si>
  <si>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</si>
  <si>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</si>
  <si>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</si>
  <si>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</si>
  <si>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</si>
  <si>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</si>
  <si>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</si>
  <si>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</si>
  <si>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</si>
  <si>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</si>
  <si>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</si>
  <si>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</si>
  <si>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</si>
  <si>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</si>
  <si>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</si>
  <si>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</si>
  <si>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</si>
  <si>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</si>
  <si>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</si>
  <si>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</si>
  <si>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</si>
  <si>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</si>
  <si>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</si>
  <si>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</si>
  <si>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</si>
  <si>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</si>
  <si>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</si>
  <si>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</si>
  <si>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</si>
  <si>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</si>
  <si>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</si>
  <si>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</si>
  <si>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</si>
  <si>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</si>
  <si>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</si>
  <si>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</si>
  <si>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</si>
  <si>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</si>
  <si>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</si>
  <si>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</si>
  <si>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</si>
  <si>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</si>
  <si>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</si>
  <si>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</si>
  <si>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</si>
  <si>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</si>
  <si>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</si>
  <si>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</si>
  <si>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</si>
  <si>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</si>
  <si>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</si>
  <si>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</si>
  <si>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</si>
  <si>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</si>
  <si>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</si>
  <si>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</si>
  <si>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</si>
  <si>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</si>
  <si>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</si>
  <si>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</si>
  <si>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</si>
  <si>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</si>
  <si>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</si>
  <si>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</si>
  <si>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</si>
  <si>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</si>
  <si>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</si>
  <si>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</si>
  <si>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</si>
  <si>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</si>
  <si>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</si>
  <si>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</si>
  <si>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</si>
  <si>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</si>
  <si>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</si>
  <si>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</si>
  <si>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</si>
  <si>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</si>
  <si>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</si>
  <si>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</si>
  <si>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</si>
  <si>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</si>
  <si>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</si>
  <si>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</si>
  <si>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</si>
  <si>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</si>
  <si>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</si>
  <si>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</si>
  <si>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</si>
  <si>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</si>
  <si>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</si>
  <si>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</si>
  <si>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</si>
  <si>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</si>
  <si>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</si>
  <si>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</si>
  <si>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</si>
  <si>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</si>
  <si>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</si>
  <si>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</si>
  <si>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</si>
  <si>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</si>
  <si>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</si>
  <si>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</si>
  <si>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</si>
  <si>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</si>
  <si>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</si>
  <si>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</si>
  <si>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</si>
  <si>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</si>
  <si>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</si>
  <si>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</si>
  <si>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</si>
  <si>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</si>
  <si>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</si>
  <si>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</si>
  <si>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</si>
  <si>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</si>
  <si>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</si>
  <si>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</si>
  <si>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</si>
  <si>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</si>
  <si>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</si>
  <si>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</si>
  <si>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</si>
  <si>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</si>
  <si>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</si>
  <si>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</si>
  <si>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</si>
  <si>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</si>
  <si>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</si>
  <si>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</si>
  <si>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</si>
  <si>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</si>
  <si>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</si>
  <si>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</si>
  <si>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</si>
  <si>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</si>
  <si>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</si>
  <si>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</si>
  <si>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</si>
  <si>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</si>
  <si>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</si>
  <si>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</si>
  <si>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</si>
  <si>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</si>
  <si>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</si>
  <si>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</si>
  <si>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</si>
  <si>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</si>
  <si>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</si>
  <si>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</si>
  <si>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</si>
  <si>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</si>
  <si>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</si>
  <si>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</si>
  <si>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</si>
  <si>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</si>
  <si>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</si>
  <si>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</si>
  <si>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</si>
  <si>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</si>
  <si>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</si>
  <si>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</si>
  <si>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</si>
  <si>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</si>
  <si>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</si>
  <si>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</si>
  <si>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</si>
  <si>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</si>
  <si>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</si>
  <si>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</si>
  <si>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</si>
  <si>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</si>
  <si>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</si>
  <si>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</si>
  <si>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</si>
  <si>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</si>
  <si>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</si>
  <si>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</si>
  <si>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</si>
  <si>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</si>
  <si>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</si>
  <si>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</si>
  <si>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</si>
  <si>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</si>
  <si>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</si>
  <si>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</si>
  <si>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</si>
  <si>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</si>
  <si>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</si>
  <si>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</si>
  <si>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</si>
  <si>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</si>
  <si>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</si>
  <si>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</si>
  <si>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</si>
  <si>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</si>
  <si>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</si>
  <si>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</si>
  <si>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</si>
  <si>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</si>
  <si>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</si>
  <si>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</si>
  <si>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</si>
  <si>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</si>
  <si>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</si>
  <si>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</si>
  <si>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</si>
  <si>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</si>
  <si>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</si>
  <si>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</si>
  <si>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</si>
  <si>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</si>
  <si>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</si>
  <si>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</si>
  <si>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</si>
  <si>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</si>
  <si>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</si>
  <si>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</si>
  <si>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</si>
  <si>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</si>
  <si>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</si>
  <si>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</si>
  <si>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</si>
  <si>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</si>
  <si>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</si>
  <si>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</si>
  <si>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</si>
  <si>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</si>
  <si>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</si>
  <si>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</si>
  <si>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</si>
  <si>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</si>
  <si>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</si>
  <si>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</si>
  <si>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</si>
  <si>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</si>
  <si>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</si>
  <si>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</si>
  <si>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</si>
  <si>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</si>
  <si>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</si>
  <si>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</si>
  <si>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</si>
  <si>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</si>
  <si>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</si>
  <si>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</si>
  <si>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</si>
  <si>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</si>
  <si>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</si>
  <si>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</si>
  <si>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</si>
  <si>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</si>
  <si>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</si>
  <si>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</si>
  <si>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</si>
  <si>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</si>
  <si>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</si>
  <si>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</si>
  <si>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</si>
  <si>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</si>
  <si>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</si>
  <si>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</si>
  <si>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</si>
  <si>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</si>
  <si>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</si>
  <si>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</si>
  <si>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</si>
  <si>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</si>
  <si>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</si>
  <si>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</si>
  <si>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</si>
  <si>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</si>
  <si>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</si>
  <si>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</si>
  <si>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</si>
  <si>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</si>
  <si>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</si>
  <si>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</si>
  <si>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</si>
  <si>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</si>
  <si>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</si>
  <si>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</si>
  <si>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</si>
  <si>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</si>
  <si>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</si>
  <si>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</si>
  <si>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</si>
  <si>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</si>
  <si>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</si>
  <si>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</si>
  <si>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</si>
  <si>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</si>
  <si>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</si>
  <si>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</si>
  <si>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</si>
  <si>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</si>
  <si>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</si>
  <si>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</si>
  <si>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</si>
  <si>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</si>
  <si>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</si>
  <si>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</si>
  <si>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</si>
  <si>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</si>
  <si>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</si>
  <si>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</si>
  <si>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</si>
  <si>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</si>
  <si>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</si>
  <si>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</si>
  <si>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</si>
  <si>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</si>
  <si>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</si>
  <si>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</si>
  <si>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</si>
  <si>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</si>
  <si>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</si>
  <si>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</si>
  <si>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</si>
  <si>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</si>
  <si>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</si>
  <si>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</si>
  <si>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</si>
  <si>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</si>
  <si>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</si>
  <si>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</si>
  <si>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</si>
  <si>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</si>
  <si>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</si>
  <si>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</si>
  <si>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</si>
  <si>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</si>
  <si>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</si>
  <si>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</si>
  <si>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</si>
  <si>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</si>
  <si>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</si>
  <si>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</si>
  <si>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</si>
  <si>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</si>
  <si>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</si>
  <si>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</si>
  <si>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</si>
  <si>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</si>
  <si>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</si>
  <si>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</si>
  <si>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</si>
  <si>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</si>
  <si>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</si>
  <si>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</si>
  <si>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</si>
  <si>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</si>
  <si>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</si>
  <si>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</si>
  <si>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</si>
  <si>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</si>
  <si>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</si>
  <si>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</si>
  <si>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</si>
  <si>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</si>
  <si>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</si>
  <si>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</si>
  <si>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</si>
  <si>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</si>
  <si>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</si>
  <si>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</si>
  <si>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</si>
  <si>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</si>
  <si>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</si>
  <si>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</si>
  <si>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</si>
  <si>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</si>
  <si>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</si>
  <si>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</si>
  <si>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</si>
  <si>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</si>
  <si>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</si>
  <si>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</si>
  <si>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</si>
  <si>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</si>
  <si>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</si>
  <si>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</si>
  <si>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</si>
  <si>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</si>
  <si>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</si>
  <si>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</si>
  <si>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</si>
  <si>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</si>
  <si>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</si>
  <si>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</si>
  <si>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</si>
  <si>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</si>
  <si>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</si>
  <si>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</si>
  <si>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</si>
  <si>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</si>
  <si>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</si>
  <si>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</si>
  <si>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</si>
  <si>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</si>
  <si>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</si>
  <si>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</si>
  <si>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</si>
  <si>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</si>
  <si>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</si>
  <si>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</si>
  <si>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</si>
  <si>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</si>
  <si>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</si>
  <si>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</si>
  <si>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</si>
  <si>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</si>
  <si>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</si>
  <si>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</si>
  <si>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</si>
  <si>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</si>
  <si>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</si>
  <si>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</si>
  <si>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</si>
  <si>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</si>
  <si>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</si>
  <si>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</si>
  <si>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</si>
  <si>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</si>
  <si>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</si>
  <si>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</si>
  <si>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</si>
  <si>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</si>
  <si>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</si>
  <si>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</si>
  <si>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</si>
  <si>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</si>
  <si>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</si>
  <si>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</si>
  <si>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</si>
  <si>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</si>
  <si>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</si>
  <si>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</si>
  <si>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</si>
  <si>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</si>
  <si>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</si>
  <si>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</si>
  <si>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</si>
  <si>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</si>
  <si>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</si>
  <si>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</si>
  <si>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</si>
  <si>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</si>
  <si>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</si>
  <si>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</si>
  <si>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</si>
  <si>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</si>
  <si>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</si>
  <si>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</si>
  <si>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</si>
  <si>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</si>
  <si>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</si>
  <si>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</si>
  <si>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</si>
  <si>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</si>
  <si>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</si>
  <si>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</si>
  <si>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</si>
  <si>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</si>
  <si>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</si>
  <si>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</si>
  <si>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</si>
  <si>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</si>
  <si>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</si>
  <si>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</si>
  <si>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</si>
  <si>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</si>
  <si>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</si>
  <si>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</si>
  <si>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</si>
  <si>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</si>
  <si>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</si>
  <si>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</si>
  <si>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</si>
  <si>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</si>
  <si>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</si>
  <si>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</si>
  <si>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</si>
  <si>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</si>
  <si>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</si>
  <si>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</si>
  <si>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</si>
  <si>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</si>
  <si>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</si>
  <si>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</si>
  <si>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</si>
  <si>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</si>
  <si>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</si>
  <si>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</si>
  <si>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</si>
  <si>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</si>
  <si>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</si>
  <si>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</si>
  <si>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</si>
  <si>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</si>
  <si>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</si>
  <si>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</si>
  <si>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</si>
  <si>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</si>
  <si>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</si>
  <si>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</si>
  <si>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</si>
  <si>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</si>
  <si>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</si>
  <si>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</si>
  <si>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</si>
  <si>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</si>
  <si>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</si>
  <si>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</si>
  <si>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</si>
  <si>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</si>
  <si>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</si>
  <si>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</si>
  <si>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</si>
  <si>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</si>
  <si>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</si>
  <si>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</si>
  <si>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</si>
  <si>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</si>
  <si>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</si>
  <si>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</si>
  <si>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</si>
  <si>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</si>
  <si>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</si>
  <si>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</si>
  <si>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</si>
  <si>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</si>
  <si>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</si>
  <si>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</si>
  <si>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</si>
  <si>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</si>
  <si>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</si>
  <si>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</si>
  <si>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</si>
  <si>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</si>
  <si>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</si>
  <si>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</si>
  <si>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</si>
  <si>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</si>
  <si>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</si>
  <si>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</si>
  <si>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</si>
  <si>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</si>
  <si>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</si>
  <si>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</si>
  <si>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</si>
  <si>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</si>
  <si>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</si>
  <si>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</si>
  <si>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</si>
  <si>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</si>
  <si>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</si>
  <si>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</si>
  <si>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</si>
  <si>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</si>
  <si>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</si>
  <si>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</si>
  <si>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</si>
  <si>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</si>
  <si>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</si>
  <si>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</si>
  <si>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</si>
  <si>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</si>
  <si>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</si>
  <si>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</si>
  <si>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</si>
  <si>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</si>
  <si>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</si>
  <si>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</si>
  <si>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</si>
  <si>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</si>
  <si>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</si>
  <si>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</si>
  <si>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</si>
  <si>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</si>
  <si>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</si>
  <si>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</si>
  <si>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</si>
  <si>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</si>
  <si>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</si>
  <si>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</si>
  <si>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</si>
  <si>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</si>
  <si>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</si>
  <si>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</si>
  <si>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</si>
  <si>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</si>
  <si>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</si>
  <si>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</si>
  <si>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</si>
  <si>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</si>
  <si>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</si>
  <si>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</si>
  <si>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</si>
  <si>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</si>
  <si>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</si>
  <si>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</si>
  <si>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</si>
  <si>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</si>
  <si>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</si>
  <si>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</si>
  <si>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</si>
  <si>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</si>
  <si>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</si>
  <si>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</si>
  <si>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</si>
  <si>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</si>
  <si>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</si>
  <si>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</si>
  <si>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</si>
  <si>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</si>
  <si>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</si>
  <si>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</si>
  <si>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</si>
  <si>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</si>
  <si>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</si>
  <si>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</si>
  <si>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</si>
  <si>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</si>
  <si>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</si>
  <si>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</si>
  <si>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</si>
  <si>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</si>
  <si>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</si>
  <si>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</si>
  <si>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</si>
  <si>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</si>
  <si>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</si>
  <si>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</si>
  <si>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</si>
  <si>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</si>
  <si>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</si>
  <si>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</si>
  <si>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</si>
  <si>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</si>
  <si>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</si>
  <si>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</si>
  <si>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</si>
  <si>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</si>
  <si>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</si>
  <si>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</si>
  <si>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</si>
  <si>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</si>
  <si>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</si>
  <si>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</si>
  <si>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</si>
  <si>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</si>
  <si>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</si>
  <si>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</si>
  <si>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</si>
  <si>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</si>
  <si>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</si>
  <si>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</si>
  <si>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</si>
  <si>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</si>
  <si>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</si>
  <si>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</si>
  <si>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</si>
  <si>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</si>
  <si>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</si>
  <si>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</si>
  <si>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</si>
  <si>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</si>
  <si>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</si>
  <si>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</si>
  <si>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</si>
  <si>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</si>
  <si>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</si>
  <si>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</si>
  <si>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</si>
  <si>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</si>
  <si>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</si>
  <si>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</si>
  <si>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</si>
  <si>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</si>
  <si>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</si>
  <si>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</si>
  <si>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</si>
  <si>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</si>
  <si>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</si>
  <si>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</si>
  <si>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</si>
  <si>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</si>
  <si>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</si>
  <si>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</si>
  <si>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</si>
  <si>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</si>
  <si>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</si>
  <si>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</si>
  <si>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</si>
  <si>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</si>
  <si>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</si>
  <si>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</si>
  <si>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</si>
  <si>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</si>
  <si>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</si>
  <si>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</si>
  <si>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</si>
  <si>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</si>
  <si>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</si>
  <si>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</si>
  <si>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</si>
  <si>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</si>
  <si>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</si>
  <si>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</si>
  <si>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</si>
  <si>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</si>
  <si>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</si>
  <si>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</si>
  <si>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</si>
  <si>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</si>
  <si>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</si>
  <si>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</si>
  <si>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</si>
  <si>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</si>
  <si>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</si>
  <si>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</si>
  <si>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</si>
  <si>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</si>
  <si>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</si>
  <si>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</si>
  <si>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</si>
  <si>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</si>
  <si>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</si>
  <si>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</si>
  <si>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</si>
  <si>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</si>
  <si>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</si>
  <si>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</si>
  <si>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</si>
  <si>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</si>
  <si>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</si>
  <si>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</si>
  <si>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</si>
  <si>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</si>
  <si>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</si>
  <si>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</si>
  <si>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</si>
  <si>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</si>
  <si>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</si>
  <si>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</si>
  <si>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</si>
  <si>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</si>
  <si>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</si>
  <si>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</si>
  <si>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</si>
  <si>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</si>
  <si>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</si>
  <si>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</si>
  <si>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</si>
  <si>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</si>
  <si>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</si>
  <si>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</si>
  <si>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</si>
  <si>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</si>
  <si>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</si>
  <si>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</si>
  <si>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</si>
  <si>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</si>
  <si>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</si>
  <si>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</si>
  <si>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</si>
  <si>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</si>
  <si>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</si>
  <si>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</si>
  <si>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</si>
  <si>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</si>
  <si>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</si>
  <si>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</si>
  <si>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</si>
  <si>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</si>
  <si>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</si>
  <si>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</si>
  <si>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</si>
  <si>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</si>
  <si>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</si>
  <si>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</si>
  <si>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</si>
  <si>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</si>
  <si>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</si>
  <si>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</si>
  <si>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</si>
  <si>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</si>
  <si>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</si>
  <si>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</si>
  <si>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</si>
  <si>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</si>
  <si>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</si>
  <si>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</si>
  <si>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</si>
  <si>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</si>
  <si>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</si>
  <si>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</si>
  <si>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</si>
  <si>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</si>
  <si>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</si>
  <si>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</si>
  <si>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</si>
  <si>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</si>
  <si>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</si>
  <si>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</si>
  <si>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</si>
  <si>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</si>
  <si>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</si>
  <si>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</si>
  <si>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</si>
  <si>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</si>
  <si>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</si>
  <si>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</si>
  <si>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</si>
  <si>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</si>
  <si>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</si>
  <si>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</si>
  <si>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</si>
  <si>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</si>
  <si>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</si>
  <si>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</si>
  <si>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</si>
  <si>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</si>
  <si>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</si>
  <si>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</si>
  <si>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</si>
  <si>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</si>
  <si>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</si>
  <si>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</si>
  <si>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</si>
  <si>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</si>
  <si>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</si>
  <si>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</si>
  <si>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</si>
  <si>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</si>
  <si>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</si>
  <si>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</si>
  <si>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</si>
  <si>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</si>
  <si>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</si>
  <si>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</si>
  <si>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</si>
  <si>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</si>
  <si>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</si>
  <si>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</si>
  <si>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</si>
  <si>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</si>
  <si>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</si>
  <si>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</si>
  <si>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</si>
  <si>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</si>
  <si>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</si>
  <si>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</si>
  <si>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</si>
  <si>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</si>
  <si>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</si>
  <si>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</si>
  <si>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</si>
  <si>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</si>
  <si>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</si>
  <si>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</si>
  <si>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</si>
  <si>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</si>
  <si>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</si>
  <si>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</si>
  <si>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</si>
  <si>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</si>
  <si>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</si>
  <si>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</si>
  <si>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</si>
  <si>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</si>
  <si>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</si>
  <si>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</si>
  <si>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</si>
  <si>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</si>
  <si>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</si>
  <si>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</si>
  <si>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</si>
  <si>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</si>
  <si>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</si>
  <si>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</si>
  <si>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</si>
  <si>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</si>
  <si>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</si>
  <si>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</si>
  <si>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</si>
  <si>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</si>
  <si>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</si>
  <si>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</si>
  <si>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</si>
  <si>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</si>
  <si>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</si>
  <si>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</si>
  <si>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</si>
  <si>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</si>
  <si>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</si>
  <si>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</si>
  <si>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</si>
  <si>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</si>
  <si>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</si>
  <si>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</si>
  <si>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</si>
  <si>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</si>
  <si>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</si>
  <si>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</si>
  <si>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</si>
  <si>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</si>
  <si>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</si>
  <si>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</si>
  <si>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</si>
  <si>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</si>
  <si>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</si>
  <si>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</si>
  <si>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</si>
  <si>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</si>
  <si>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</si>
  <si>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</si>
  <si>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</si>
  <si>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</si>
  <si>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</si>
  <si>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</si>
  <si>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</si>
  <si>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</si>
  <si>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</si>
  <si>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</si>
  <si>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</si>
  <si>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</si>
  <si>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</si>
  <si>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</si>
  <si>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</si>
  <si>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</si>
  <si>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</si>
  <si>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</si>
  <si>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</si>
  <si>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</si>
  <si>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</si>
  <si>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</si>
  <si>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</si>
  <si>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</si>
  <si>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</si>
  <si>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</si>
  <si>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</si>
  <si>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</si>
  <si>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</si>
  <si>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</si>
  <si>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</si>
  <si>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</si>
  <si>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</si>
  <si>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</si>
  <si>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</si>
  <si>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</si>
  <si>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</si>
  <si>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</si>
  <si>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</si>
  <si>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</si>
  <si>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</si>
  <si>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</si>
  <si>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</si>
  <si>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</si>
  <si>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</si>
  <si>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</si>
  <si>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</si>
  <si>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</si>
  <si>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</si>
  <si>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</si>
  <si>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</si>
  <si>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</si>
  <si>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</si>
  <si>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</si>
  <si>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</si>
  <si>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</si>
  <si>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</si>
  <si>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</si>
  <si>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</si>
  <si>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</si>
  <si>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</si>
  <si>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</si>
  <si>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</si>
  <si>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</si>
  <si>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</si>
  <si>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</si>
  <si>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</si>
  <si>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</si>
  <si>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</si>
  <si>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</si>
  <si>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</si>
  <si>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</si>
  <si>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</si>
  <si>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</si>
  <si>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</si>
  <si>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</si>
  <si>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</si>
  <si>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</si>
  <si>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</si>
  <si>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</si>
  <si>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</si>
  <si>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</si>
  <si>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</si>
  <si>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</si>
  <si>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</si>
  <si>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</si>
  <si>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</si>
  <si>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</si>
  <si>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</si>
  <si>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</si>
  <si>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</si>
  <si>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</si>
  <si>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</si>
  <si>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</si>
  <si>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</si>
  <si>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</si>
  <si>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</si>
  <si>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</si>
  <si>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</si>
  <si>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</si>
  <si>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</si>
  <si>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</si>
  <si>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</si>
  <si>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</si>
  <si>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</si>
  <si>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</si>
  <si>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</si>
  <si>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</si>
  <si>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</si>
  <si>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</si>
  <si>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</si>
  <si>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</si>
  <si>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</si>
  <si>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</si>
  <si>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</si>
  <si>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</si>
  <si>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</si>
  <si>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</si>
  <si>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</si>
  <si>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</si>
  <si>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</si>
  <si>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</si>
  <si>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</si>
  <si>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</si>
  <si>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</si>
  <si>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</si>
  <si>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</si>
  <si>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</si>
  <si>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</si>
  <si>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</si>
  <si>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</si>
  <si>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</si>
  <si>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</si>
  <si>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</si>
  <si>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</si>
  <si>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</si>
  <si>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</si>
  <si>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</si>
  <si>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</si>
  <si>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</si>
  <si>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</si>
  <si>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</si>
  <si>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</si>
  <si>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DENNIS ROSE</t>
  </si>
  <si>
    <t>DENNIS ROSE &amp; ASSOCIATES, P.C.</t>
  </si>
  <si>
    <t xml:space="preserve">1904 STATE STREET </t>
  </si>
  <si>
    <t>ALTON</t>
  </si>
  <si>
    <t>IL</t>
  </si>
  <si>
    <t>618-465-4999</t>
  </si>
  <si>
    <t>618-465-5050</t>
  </si>
  <si>
    <t>066-005060</t>
  </si>
  <si>
    <t>DROSECPA@DRA-CPA.COM</t>
  </si>
  <si>
    <t>41-057-0120-26</t>
  </si>
  <si>
    <t>MADISON</t>
  </si>
  <si>
    <t>MADISON COMMUNITY UNIT SCHOOL DISTRICT NO. 12</t>
  </si>
  <si>
    <t>602 FARRISH ST.</t>
  </si>
  <si>
    <r>
      <t xml:space="preserve">The following amounts were expended in the form of non-cash assistance by Madison CUSD No. 12 and </t>
    </r>
    <r>
      <rPr>
        <b/>
        <sz val="9"/>
        <rFont val="Calibri"/>
        <family val="2"/>
        <scheme val="minor"/>
      </rPr>
      <t>should be</t>
    </r>
    <r>
      <rPr>
        <sz val="9"/>
        <rFont val="Calibri"/>
        <family val="2"/>
        <scheme val="minor"/>
      </rPr>
      <t xml:space="preserve"> included in the Schedule of Expenditures of Federal Awards:</t>
    </r>
  </si>
  <si>
    <t>NONE</t>
  </si>
  <si>
    <t>U.S. DEPARTMENT OF EDUCATION:</t>
  </si>
  <si>
    <t>PASS THROUGH FROM THE ILLINOIS STATE BOARD OF EDUCATION:</t>
  </si>
  <si>
    <t>84.010A</t>
  </si>
  <si>
    <t>2017-4300</t>
  </si>
  <si>
    <t>2018-4300</t>
  </si>
  <si>
    <t>84.367A</t>
  </si>
  <si>
    <t>2017-4932</t>
  </si>
  <si>
    <t>TITLE II - TEACHER QUALITY</t>
  </si>
  <si>
    <t>2018-4932</t>
  </si>
  <si>
    <t>TITLE IV - 21ST CENTURY COMM. LEARNING CENTER</t>
  </si>
  <si>
    <t>84.287C</t>
  </si>
  <si>
    <t>2017-4421</t>
  </si>
  <si>
    <t>2018-4421</t>
  </si>
  <si>
    <t>TITLE IVA - STUDENT SUPPORT &amp; ACADEMIC ENRICHMENT</t>
  </si>
  <si>
    <t>84.424A</t>
  </si>
  <si>
    <t>2018-4400</t>
  </si>
  <si>
    <t>TOTAL PASS THROUGH ILLINOIS STATE BOARD OF EDUCATION</t>
  </si>
  <si>
    <t>PASS THROUGH REGION I:</t>
  </si>
  <si>
    <t>IDEA PART B PRESCHOOL</t>
  </si>
  <si>
    <t>2017-4600</t>
  </si>
  <si>
    <t>2018-4600</t>
  </si>
  <si>
    <t>IDEA PART B FLOW THROUGH</t>
  </si>
  <si>
    <t>2017-4620</t>
  </si>
  <si>
    <t>2018-4620</t>
  </si>
  <si>
    <t>TOTAL PASS THROUGH REGION I</t>
  </si>
  <si>
    <t>PASS THROUGH MADISON COUNTY CAREER &amp; TECHNICAL EDUCATION SYSTEM:</t>
  </si>
  <si>
    <t>PERKINS</t>
  </si>
  <si>
    <t>2018-4799</t>
  </si>
  <si>
    <t>TOTAL U.S. DEPARTMENT OF EDUCATION</t>
  </si>
  <si>
    <t>U.S. DEPARTMENT OF HEALTH AND HUMAN SERVICES:</t>
  </si>
  <si>
    <t>ADMINISTRATIVE OUTREACH</t>
  </si>
  <si>
    <t>2018-4991</t>
  </si>
  <si>
    <t>U.S. DEPARTMENT OF LABOR:</t>
  </si>
  <si>
    <t>PASS THROUGH MADISON COUNTY EMPLOYMENT AND TRAINING:</t>
  </si>
  <si>
    <t>WORKFORCE INVESTMENT ACT</t>
  </si>
  <si>
    <t>2017-4999</t>
  </si>
  <si>
    <t>2018-4999</t>
  </si>
  <si>
    <t>TOTAL PASS THROUGH MADISON COUNTY EMPLOYMENT AND TRAINING</t>
  </si>
  <si>
    <t>TOTAL U.S. DEPARTMENT OF LABOR</t>
  </si>
  <si>
    <t>U.S. DEPARTMENT OF AGRICULTURE:</t>
  </si>
  <si>
    <t>PASS THROUGH THE ILLINOIS STATE BOARD OF EDUCATION:</t>
  </si>
  <si>
    <t>2017-4210</t>
  </si>
  <si>
    <t>2017-4220</t>
  </si>
  <si>
    <t>2018-4220</t>
  </si>
  <si>
    <t>2018-4240</t>
  </si>
  <si>
    <t>TOTAL PASS T HROUGH ILLINOIS STATE BOARD OF EDUCATION</t>
  </si>
  <si>
    <t>TOTAL U.S. DEPARTMENT OF AGRICULTURE</t>
  </si>
  <si>
    <t>INFORMATIONAL ONLY:</t>
  </si>
  <si>
    <t>TOTAL CFDA 84.010A</t>
  </si>
  <si>
    <t>TOTAL CFDA 84.367A</t>
  </si>
  <si>
    <t>TOTAL CFDA 84.287C</t>
  </si>
  <si>
    <t>TOTAL CFDA 84.027</t>
  </si>
  <si>
    <t>TOTAL CFDA 84.213</t>
  </si>
  <si>
    <t>TOTAL CFDA 93.778</t>
  </si>
  <si>
    <t>TOTAL CFDA 17.259</t>
  </si>
  <si>
    <t>TOTAL CFDA 10.555</t>
  </si>
  <si>
    <t>TOTAL CFDA 10.553</t>
  </si>
  <si>
    <t>TOTAL CFDA 10.582</t>
  </si>
  <si>
    <t>TOTAL ALL CFDAS</t>
  </si>
  <si>
    <t>TOTAL FEDERAL PROGRAMS</t>
  </si>
  <si>
    <t>2014 G.O. BONDS</t>
  </si>
  <si>
    <t>DELAGE LANDON FINANCE</t>
  </si>
  <si>
    <t>LIGHTING LEASE</t>
  </si>
  <si>
    <t>ISBE SCHOOL TECHNOLOGY LOAN</t>
  </si>
  <si>
    <t>1,3</t>
  </si>
  <si>
    <t>2018A G.O. BONDS</t>
  </si>
  <si>
    <t>2018B G.O. BONDS</t>
  </si>
  <si>
    <t>BUS LEASE</t>
  </si>
  <si>
    <t>LEASE PURCHASE</t>
  </si>
  <si>
    <t>ISBE LOAN</t>
  </si>
  <si>
    <t>Of the federal expenditures presented in the schedule, Madison Community Unit School District No. 12 provided federal awards to subrecipients as follows:</t>
  </si>
  <si>
    <r>
      <t>The accompanying Schedule of Expenditures of Federal Awards includes the federal grant activity of Madison Community Unit School District No. 12 and is presented on the cash</t>
    </r>
    <r>
      <rPr>
        <b/>
        <sz val="9"/>
        <rFont val="Calibri"/>
        <family val="2"/>
        <scheme val="minor"/>
      </rPr>
      <t xml:space="preserve"> </t>
    </r>
    <r>
      <rPr>
        <sz val="9"/>
        <rFont val="Calibri"/>
        <family val="2"/>
        <scheme val="minor"/>
      </rPr>
      <t>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t>
    </r>
    <r>
      <rPr>
        <sz val="9"/>
        <rFont val="Calibri"/>
        <family val="2"/>
        <scheme val="minor"/>
      </rPr>
      <t>basic financial statements.</t>
    </r>
  </si>
  <si>
    <t>DISCLAIMER</t>
  </si>
  <si>
    <t>2017-4991</t>
  </si>
  <si>
    <t>TOTAL U.S. DEPARTMENT OF HEALTH AND HUMAN SERVICES</t>
  </si>
  <si>
    <t>TOTAL CFDA 84.424A</t>
  </si>
  <si>
    <t>CLUSTERS:</t>
  </si>
  <si>
    <t>10.555, 10.553, 10.582</t>
  </si>
  <si>
    <t>2018-4210</t>
  </si>
  <si>
    <t>CULLEN.CULLEN@MADISONCUSD12.ORG</t>
  </si>
  <si>
    <t>REGION I</t>
  </si>
  <si>
    <t>VALUE OF COMMODITIES</t>
  </si>
  <si>
    <t>TITLE I - LOW INCOME                                    (M)</t>
  </si>
  <si>
    <t>NATIONAL SCHOOL LUNCH                      (M)</t>
  </si>
  <si>
    <t>SCHOOL BREAKFAST                                     (M)</t>
  </si>
  <si>
    <t>FRESH FRUITS &amp; VEGETABLES                 (M)</t>
  </si>
  <si>
    <t>COMMODITIES (NON-CASH ASSISTANCE)           (M)</t>
  </si>
  <si>
    <t>TITLE I - LOW INCOME</t>
  </si>
  <si>
    <t>NATIONAL SCHOOL LUNCH, SCHOOL BREAKFAST, FRESH FRUITS &amp; VEGETABLES, NON-CASH COMMODITIES</t>
  </si>
  <si>
    <t>R9-14 ED FUND A/C 1999 OTHER REVENUE - OTHER $269,128</t>
  </si>
  <si>
    <t>R9-14 O&amp;M FND A/C 1999 OTHER REVENUE - OTHER $15,872</t>
  </si>
  <si>
    <t>R9-14 ED FUND A/C 3999 OTHER STATE REVENUE - OTHER $202,649</t>
  </si>
  <si>
    <t>R9-14 ED FUND A/C 4299 FOOD SERVICE - OTHER NON-CASH COMMODITIES $25,915</t>
  </si>
  <si>
    <t>R9-14 ED FUND A/C 4799 CTE - OTHER $18,171</t>
  </si>
  <si>
    <t>R9-14 ED FUND A/C 4999 OTHER FEDERAL REVENUE - OTHER $36,525</t>
  </si>
  <si>
    <t>E15-22 DEBT SERV FUND A/C 5400 OTHER - OTHER $263,415</t>
  </si>
  <si>
    <t>E15-22 IMRF FUND A/C 2900 OTHER SUPPORT SERVICES - OTHER $2,970</t>
  </si>
  <si>
    <t>E15-22 ED FUND A/C 2900 OTHER SUPPORT SERVICES - OTHER $29,781</t>
  </si>
  <si>
    <t xml:space="preserve">INTERNAL CONTROL </t>
  </si>
  <si>
    <t>NO QUESTIONED COSTS</t>
  </si>
  <si>
    <t>2018-4300-00-41-057-0120-26</t>
  </si>
  <si>
    <t>US DEPARTMENT OF EDUCATION</t>
  </si>
  <si>
    <t>ALLOWABLE COSTS/COST PRINCIPLES</t>
  </si>
  <si>
    <t>MANAGEMENT FAILED TO PROPERLY SUPERVISE THE ACCOUNTING STAFF. DUE TO THIS CONDITION, THE STAFF WAS NOT ACQUIRING OR RETAINING DOCUMENTATION FOR PURCHASES AND DISBURSEMENTS. IN ADDITION, MANAGEMENT WAS NOT REVIEWING INVOICES FOR APPROVAL PRIOR TO PAYMENT.</t>
  </si>
  <si>
    <t>DISTRICT EXPENDED FUNDS WITHOUT PROPER APPROVAL AND DOCUMENTATION.</t>
  </si>
  <si>
    <t>LACK OF MANAGEMENT SUPERVISION.</t>
  </si>
  <si>
    <t>INACCURATE PREPARATION OF REPORTS</t>
  </si>
  <si>
    <t>SEE "BASIS FOR DISCLAIMER OF OPINION" PARAGRAPH IN THE INDEPENDENT AUDITOR'S REPORT.</t>
  </si>
  <si>
    <t>2017-4240</t>
  </si>
  <si>
    <t>MANAGEMENT FAILED TO PROPERLY SUPERVISE THE ACCOUNTING STAFF.</t>
  </si>
  <si>
    <t>MANAGEMENT NEEDS TO BE REVIEWING INVOICES AND OTHER DOCUMENTATION FOR APPROVAL PRIOR TO PAYMENT. THE ACCOUNTING STAFF NEEDS TO BE RETAINING DOCUMENTATION FOR ALL TRANSACTIONS.  ACCOUNT RECONCILIATIONS SHOULD BE PREPARED MONTHLY AS SOON AS POSSIBLE.</t>
  </si>
  <si>
    <t>ACCOUNTING STAFF WAS NOT TRACKING ACTIVITY  DISBURSEMENTS AND RECEIPTS BY ACTIVITY ACCOUNTS, RESULTING IN UNAUDITABLE ACTIVITY ACCOUNT RECORDS.</t>
  </si>
  <si>
    <t>ACTIVITY ACCOUNT BALANCES SHOULD BE KEPT BY ACTIVITY.</t>
  </si>
  <si>
    <t>ACCOUNTING STAFF SHOULD PREPARE A SPREADSHEET THAT TRACKS ACTIVITY FUNDS RECEIPTS AND DISBURSEMENTS BY ACTIVITY WITHIN THE RESPECTIVE BANK ACCOUNTS.</t>
  </si>
  <si>
    <t>REPORTING DOCUMENTATION</t>
  </si>
  <si>
    <t>INACCURATE REPORTS</t>
  </si>
  <si>
    <t>ACCOUNTING STAFF SHOULD PREPARE AN EXCEL SPREADSHEET ACCUMULATING BY ACCOUNT NUMBER THE EXPENDITURES TO REPORT BY FUNCTION AND OBJECT CODE.  THIS SHOULD BE RETAINED AS DOCUMENTATION FOR REPORTING PROCESS.</t>
  </si>
  <si>
    <t>ACCOUNTING STAFF FAILED TO ACQUIRE OR RETAIN ADEQUATE DOCUMENTATION FOR PURCHASES AND DISBURSEMENTS.  MANAGEMENT FAILED TO REVIEW INVOICES AND OTHER DOCUMENTATION FOR APRROVAL PRIOR TO PAYMENT. ACCOUNT RECONCILIATIONS WERE NOT BEING COMPLETED ON A TIMELY BASIS.</t>
  </si>
  <si>
    <t>ACTIVITY ACCOUNTS NEED TO BE RECONCILED AND MAINTAINED BY ACTIVITY ACCOUNT.</t>
  </si>
  <si>
    <t xml:space="preserve">MANAGEMENT NEEDS TO BE APPROVING PURCHASE ORDERS AND REVIEWING INVOICES AND OTHER SUPPORTING DOCUMENTATION FOR APPROVAL PRIOR TO PAYMENT. THE ACCOUNTING STAFF NEEDS TO BE RETAINING ALL DOCUMENTATION FOR ALL TRANSACTIONS.  </t>
  </si>
  <si>
    <t>ACCOUNTING STAFF DID NOT RETAIN DOCUMENTATION FOR EXPENDITURE REPORTS PREPARATION.</t>
  </si>
  <si>
    <t>MULTIPLE GENERAL LEDGER ACCOUNTS ARE REQUIRED TO BE SUMMARIZED FOR THE EXPENDITURE REPORTS.  THE ACCOUNTING STAFF ADDED TOTALS ON ADDING MACHINE AND NO DOCUMENTATION WAS RETAINED AS TO HOW AMOUNTS WERE ARRIVED.</t>
  </si>
  <si>
    <t>UNMODIFIED ON ALL MAJOR PROGRAMS EXCEPT FOR TITLE I LOW INCOME, WHICH WAS ADVERSE</t>
  </si>
  <si>
    <t>OF PURCHASED COSTS (EXCLUDING SALARIES AND BENEFITS), THE TOTAL AMOUNT TESTED WAS $313,444, WHICH WAS 84% OF TOTAL POPULATION. QUESTIONED COSTS WAS 57% OF THE TOTAL POPULATION.</t>
  </si>
  <si>
    <t>2017-4300-00-41-057-0120-26</t>
  </si>
  <si>
    <t>AN INVOICE WAS PAID TWICE FOR $2,998. INVOICES PAID BUT NO DOCUMENTATION ACQUIRED OR RETAINED TOTALED $112,124. AN INVOICE WAS PAID FOR AN UNALLOWABLE COST OF $2,100. AMOUNTS THAT WERE CLAIMED IN PRIOR PROJECT YEAR AND REPORTED IN CURRENT YEAR CLAIM WAS $96,112.</t>
  </si>
  <si>
    <t>LACK OF ADEQUATE MANAGEMENT SUPERVISION.</t>
  </si>
  <si>
    <t>AMOUNTS CLAIMED ON EXPENDITURE REPORTS WHICH WERE NOT DOCUMENTED WERE $32,804 FOR SALARIES AND $29,982 FOR CAPITAL OUTLAY.</t>
  </si>
  <si>
    <t>OF PURCHASED COSTS (EXCLUDING SALARIES AND BENEFITS), THE TOTAL AMOUNT TESTED WAS $313,444, WHICH WAS 84% OF TOTAL POPULATION. QUESTIONED COSTS WAS 9.5% OF THE TOTAL POPULATION. OF SALARIES AND BENEFITS, THE TOTAL QUESTIONED COSTS WERE 7.1%  OF TOTAL POPULATION OF $461,248.</t>
  </si>
  <si>
    <t>THE SUPERINTENDENT WILL REVIEW INVOICES AND OTHER DOCUMENTATION FOR APPROVAL PRIOR TO PAYMENT.  THE BUSINESS OFFICE AND ACCOUNTING STAFF WILL RETAIN DOCUMENTATION FOR ALL TRANSACTIONS.  ACCOUNT RECONCILIATION WILL BE PERFORMED ON A MONTHLY BASIS AS SOON AS POSSIBLE.</t>
  </si>
  <si>
    <t>BUSINESS OFFICE AND ACCOUNTING STAFF WILL PREPARE A SPREADSHEET THAT TRACKS FUND RECEIPTS AND DISBURSEMENTS BY ACTIVITY WITHIN THE RESPECTIVE BANK ACCOUNTS.</t>
  </si>
  <si>
    <t>THE SUPERINTENDENT WILL APPROVE PURCHASE ORDERS AND REVIEW INVOICES AND OTHER SUPPORTING DOCUMENTATION FOR APPROVAL PRIOR TO PAYMENT.  THE BUSINESS OFFICE AND ACCOUNTING STAFF WILL RETAIN ALL DOCUMENTATION FOR ALL TRANSACTIONS.</t>
  </si>
  <si>
    <t>THE BUSINESS OFFICE AND ACCOUNTING STAFF WILL PREPARE AN EXCEL SPREADSHEET, ACCUMULATING BY ACCOUNT NUMBER, THE EXPENDITURES TO REPORT BY FUNCTION AND OBJECT CODE.  THIS WILL BE RETAINED AS DOCUMENTATION FOR THE REPORTING PROCESS.</t>
  </si>
  <si>
    <t>THE SUPERINTENDENT NEEDS TO APPROVE PURCHASE ORDERS AND REVIEW INVOICES AND OTHER SUPPORTING DOCUMENTATION FOR APPROVAL PRIOR TO PAYMENT.  THE BUSINESS AND ACCOUNTING STAFF WILL RETAIN ALL DOCUMENTATION FOR ALL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</si>
</sst>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9">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1" fillId="0" borderId="0" xfId="3" applyFont="1" applyAlignment="1" applyProtection="1">
      <alignment horizontal="center" vertical="center"/>
    </xf>
    <xf numFmtId="0" fontId="51"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59" fillId="0" borderId="150" xfId="3" applyFont="1" applyBorder="1" applyAlignment="1" applyProtection="1">
      <alignment horizontal="left" vertical="center" wrapText="1"/>
      <protection locked="0"/>
    </xf>
    <xf numFmtId="0" fontId="59" fillId="0" borderId="76" xfId="3" applyFont="1" applyBorder="1" applyAlignment="1" applyProtection="1">
      <alignment horizontal="left" vertical="center" wrapText="1"/>
      <protection locked="0"/>
    </xf>
    <xf numFmtId="0" fontId="59" fillId="0" borderId="151" xfId="3" applyFont="1" applyBorder="1" applyAlignment="1" applyProtection="1">
      <alignment horizontal="left" vertical="center" wrapText="1"/>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wrapText="1"/>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4" fillId="0" borderId="74" xfId="3" applyFont="1" applyBorder="1" applyAlignment="1" applyProtection="1">
      <alignment horizont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C8C649F1-0D03-472A-A2A3-B9FF633855D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1C3E9794-33B5-453A-8111-E88BD70BF6B1}"/>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5BA7AC2-D42D-4DDC-846E-80449E5DA019}"/>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EA1F75BF-3BBC-4EF1-9B73-4AB765E0A707}"/>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7BEB7535-8E0A-4409-B6FE-CCCC28F8420C}"/>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9BFFC8F3-359C-443F-ADF8-3D5FAB3F5502}"/>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111F1ABF-CB67-41D2-8D87-D4810041253E}"/>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I39" sqref="I39:M3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4" t="s">
        <v>424</v>
      </c>
      <c r="J1" s="2035"/>
      <c r="K1" s="2035"/>
      <c r="L1" s="2035"/>
      <c r="M1" s="2035"/>
      <c r="N1" s="2035"/>
      <c r="O1" s="2035"/>
      <c r="P1" s="2035"/>
      <c r="Q1" s="2035"/>
      <c r="R1" s="2035"/>
      <c r="S1" s="2035"/>
    </row>
    <row r="2" spans="1:28" ht="12" customHeight="1" x14ac:dyDescent="0.2">
      <c r="A2" s="47" t="s">
        <v>1683</v>
      </c>
      <c r="D2" s="48"/>
      <c r="I2" s="2036" t="s">
        <v>1035</v>
      </c>
      <c r="J2" s="2035"/>
      <c r="K2" s="2035"/>
      <c r="L2" s="2035"/>
      <c r="M2" s="2035"/>
      <c r="N2" s="2035"/>
      <c r="O2" s="2035"/>
      <c r="P2" s="2035"/>
      <c r="Q2" s="2035"/>
      <c r="R2" s="2035"/>
      <c r="S2" s="2035"/>
    </row>
    <row r="3" spans="1:28" ht="12" customHeight="1" x14ac:dyDescent="0.2">
      <c r="A3" s="155" t="s">
        <v>1684</v>
      </c>
      <c r="B3" s="156"/>
      <c r="C3" s="156"/>
      <c r="D3" s="157"/>
      <c r="I3" s="2036" t="s">
        <v>54</v>
      </c>
      <c r="J3" s="2035"/>
      <c r="K3" s="2035"/>
      <c r="L3" s="2035"/>
      <c r="M3" s="2035"/>
      <c r="N3" s="2035"/>
      <c r="O3" s="2035"/>
      <c r="P3" s="2035"/>
      <c r="Q3" s="2035"/>
      <c r="R3" s="2035"/>
      <c r="S3" s="2035"/>
    </row>
    <row r="4" spans="1:28" ht="12" customHeight="1" x14ac:dyDescent="0.2">
      <c r="A4" s="37"/>
      <c r="I4" s="2036" t="s">
        <v>544</v>
      </c>
      <c r="J4" s="2035"/>
      <c r="K4" s="2035"/>
      <c r="L4" s="2035"/>
      <c r="M4" s="2035"/>
      <c r="N4" s="2035"/>
      <c r="O4" s="2035"/>
      <c r="P4" s="2035"/>
      <c r="Q4" s="2035"/>
      <c r="R4" s="2035"/>
      <c r="S4" s="2035"/>
    </row>
    <row r="5" spans="1:28" ht="14.1" customHeight="1" x14ac:dyDescent="0.2">
      <c r="B5" s="104" t="s">
        <v>2073</v>
      </c>
      <c r="C5" s="26" t="s">
        <v>965</v>
      </c>
      <c r="D5" s="84"/>
      <c r="E5" s="84"/>
      <c r="H5" s="38"/>
      <c r="I5" s="2043" t="s">
        <v>700</v>
      </c>
      <c r="J5" s="1988"/>
      <c r="K5" s="1988"/>
      <c r="L5" s="1988"/>
      <c r="M5" s="1988"/>
      <c r="N5" s="1988"/>
      <c r="O5" s="1988"/>
      <c r="P5" s="1988"/>
      <c r="Q5" s="1988"/>
      <c r="R5" s="1988"/>
      <c r="S5" s="1988"/>
    </row>
    <row r="6" spans="1:28" ht="14.1" customHeight="1" x14ac:dyDescent="0.2">
      <c r="B6" s="104"/>
      <c r="C6" s="26" t="s">
        <v>966</v>
      </c>
      <c r="D6" s="84"/>
      <c r="E6" s="84"/>
      <c r="I6" s="2042" t="s">
        <v>937</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694</v>
      </c>
      <c r="J9" s="2040"/>
      <c r="K9" s="2040"/>
      <c r="L9" s="2040"/>
      <c r="M9" s="2040"/>
      <c r="N9" s="2040"/>
      <c r="O9" s="2040"/>
      <c r="P9" s="2040"/>
      <c r="Q9" s="2040"/>
      <c r="R9" s="2040"/>
      <c r="S9" s="2041"/>
      <c r="T9" s="1984" t="s">
        <v>553</v>
      </c>
      <c r="U9" s="1985"/>
      <c r="V9" s="1985"/>
      <c r="W9" s="1985"/>
      <c r="X9" s="1985"/>
      <c r="Y9" s="1985"/>
      <c r="Z9" s="1985"/>
      <c r="AA9" s="1986"/>
    </row>
    <row r="10" spans="1:28" ht="13.5" customHeight="1" x14ac:dyDescent="0.2">
      <c r="A10" s="1993" t="s">
        <v>695</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1011</v>
      </c>
      <c r="B11" s="1997"/>
      <c r="C11" s="1997"/>
      <c r="D11" s="1997"/>
      <c r="E11" s="1997"/>
      <c r="F11" s="1997"/>
      <c r="G11" s="1997"/>
      <c r="H11" s="1998"/>
      <c r="I11" s="27"/>
      <c r="J11" s="74"/>
      <c r="K11" s="27"/>
      <c r="O11" s="148" t="s">
        <v>2073</v>
      </c>
      <c r="P11" s="100" t="s">
        <v>210</v>
      </c>
      <c r="Q11" s="30"/>
      <c r="R11" s="28"/>
      <c r="S11" s="27"/>
      <c r="T11" s="1990"/>
      <c r="U11" s="1991"/>
      <c r="V11" s="1991"/>
      <c r="W11" s="1991"/>
      <c r="X11" s="1991"/>
      <c r="Y11" s="1991"/>
      <c r="Z11" s="1991"/>
      <c r="AA11" s="199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4" t="s">
        <v>2083</v>
      </c>
      <c r="B13" s="2005"/>
      <c r="C13" s="2005"/>
      <c r="D13" s="2005"/>
      <c r="E13" s="2005"/>
      <c r="F13" s="2005"/>
      <c r="G13" s="2005"/>
      <c r="H13" s="2006"/>
      <c r="I13" s="31"/>
      <c r="J13" s="30"/>
      <c r="K13" s="28"/>
      <c r="L13" s="30"/>
      <c r="M13" s="30"/>
      <c r="N13" s="30"/>
      <c r="O13" s="30"/>
      <c r="P13" s="30"/>
      <c r="Q13" s="30"/>
      <c r="R13" s="30"/>
      <c r="S13" s="30"/>
      <c r="T13" s="2009" t="s">
        <v>2075</v>
      </c>
      <c r="U13" s="2010"/>
      <c r="V13" s="2010"/>
      <c r="W13" s="2010"/>
      <c r="X13" s="2010"/>
      <c r="Y13" s="2011"/>
      <c r="Z13" s="2011"/>
      <c r="AA13" s="201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2" t="s">
        <v>2084</v>
      </c>
      <c r="B15" s="2007"/>
      <c r="C15" s="2007"/>
      <c r="D15" s="2007"/>
      <c r="E15" s="2007"/>
      <c r="F15" s="2007"/>
      <c r="G15" s="2007"/>
      <c r="H15" s="2008"/>
      <c r="T15" s="1970" t="s">
        <v>2074</v>
      </c>
      <c r="U15" s="1971"/>
      <c r="V15" s="1971"/>
      <c r="W15" s="1971"/>
      <c r="X15" s="1971"/>
      <c r="Y15" s="2013"/>
      <c r="Z15" s="2013"/>
      <c r="AA15" s="201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2" t="s">
        <v>2085</v>
      </c>
      <c r="B17" s="2032"/>
      <c r="C17" s="2032"/>
      <c r="D17" s="2032"/>
      <c r="E17" s="2032"/>
      <c r="F17" s="2032"/>
      <c r="G17" s="2032"/>
      <c r="H17" s="2033"/>
      <c r="T17" s="2019" t="s">
        <v>2076</v>
      </c>
      <c r="U17" s="2020"/>
      <c r="V17" s="2020"/>
      <c r="W17" s="2020"/>
      <c r="X17" s="2020"/>
      <c r="Y17" s="2020"/>
      <c r="Z17" s="2020"/>
      <c r="AA17" s="2021"/>
    </row>
    <row r="18" spans="1:27" ht="13.5" customHeight="1" x14ac:dyDescent="0.2">
      <c r="A18" s="85" t="s">
        <v>550</v>
      </c>
      <c r="B18" s="76"/>
      <c r="C18" s="72"/>
      <c r="D18" s="76"/>
      <c r="E18" s="76"/>
      <c r="F18" s="76"/>
      <c r="G18" s="76"/>
      <c r="H18" s="56"/>
      <c r="I18" s="2029" t="s">
        <v>696</v>
      </c>
      <c r="J18" s="2030"/>
      <c r="K18" s="2030"/>
      <c r="L18" s="2030"/>
      <c r="M18" s="2030"/>
      <c r="N18" s="2030"/>
      <c r="O18" s="2030"/>
      <c r="P18" s="2030"/>
      <c r="Q18" s="2030"/>
      <c r="R18" s="2030"/>
      <c r="S18" s="2031"/>
      <c r="T18" s="85" t="s">
        <v>734</v>
      </c>
      <c r="U18" s="51"/>
      <c r="V18" s="72"/>
      <c r="W18" s="50"/>
      <c r="X18" s="85" t="s">
        <v>283</v>
      </c>
      <c r="Y18" s="81"/>
      <c r="Z18" s="159" t="s">
        <v>697</v>
      </c>
      <c r="AA18" s="46"/>
    </row>
    <row r="19" spans="1:27" ht="13.5" customHeight="1" x14ac:dyDescent="0.2">
      <c r="A19" s="2002" t="s">
        <v>2086</v>
      </c>
      <c r="B19" s="2003"/>
      <c r="C19" s="2003"/>
      <c r="D19" s="2003"/>
      <c r="E19" s="2003"/>
      <c r="F19" s="2003"/>
      <c r="G19" s="2003"/>
      <c r="H19" s="2001"/>
      <c r="I19" s="30"/>
      <c r="J19" s="99"/>
      <c r="K19" s="40"/>
      <c r="L19" s="38"/>
      <c r="M19" s="112" t="s">
        <v>332</v>
      </c>
      <c r="P19" s="27"/>
      <c r="Q19" s="27"/>
      <c r="R19" s="27"/>
      <c r="S19" s="31"/>
      <c r="T19" s="2002" t="s">
        <v>2077</v>
      </c>
      <c r="U19" s="2000"/>
      <c r="V19" s="2000"/>
      <c r="W19" s="2001"/>
      <c r="X19" s="2017" t="s">
        <v>2078</v>
      </c>
      <c r="Y19" s="2018"/>
      <c r="Z19" s="2015">
        <v>62002</v>
      </c>
      <c r="AA19" s="201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9" t="s">
        <v>2084</v>
      </c>
      <c r="B21" s="2000"/>
      <c r="C21" s="2000"/>
      <c r="D21" s="2000"/>
      <c r="E21" s="2000"/>
      <c r="F21" s="2000"/>
      <c r="G21" s="2000"/>
      <c r="H21" s="2001"/>
      <c r="I21" s="2025" t="s">
        <v>698</v>
      </c>
      <c r="J21" s="1988"/>
      <c r="K21" s="1988"/>
      <c r="L21" s="1988"/>
      <c r="M21" s="1988"/>
      <c r="N21" s="1988"/>
      <c r="O21" s="1988"/>
      <c r="P21" s="1988"/>
      <c r="Q21" s="1988"/>
      <c r="R21" s="1988"/>
      <c r="S21" s="1989"/>
      <c r="T21" s="1967" t="s">
        <v>2079</v>
      </c>
      <c r="U21" s="1968"/>
      <c r="V21" s="1968"/>
      <c r="W21" s="1968"/>
      <c r="X21" s="1981" t="s">
        <v>2080</v>
      </c>
      <c r="Y21" s="1982"/>
      <c r="Z21" s="1982"/>
      <c r="AA21" s="1983"/>
    </row>
    <row r="22" spans="1:27" ht="13.5" customHeight="1" x14ac:dyDescent="0.2">
      <c r="A22" s="87" t="s">
        <v>551</v>
      </c>
      <c r="B22" s="59"/>
      <c r="C22" s="59"/>
      <c r="D22" s="59"/>
      <c r="E22" s="59"/>
      <c r="F22" s="59"/>
      <c r="G22" s="59"/>
      <c r="H22" s="60"/>
      <c r="I22" s="2026" t="s">
        <v>1503</v>
      </c>
      <c r="J22" s="2027"/>
      <c r="K22" s="2027"/>
      <c r="L22" s="2027"/>
      <c r="M22" s="2027"/>
      <c r="N22" s="2027"/>
      <c r="O22" s="2027"/>
      <c r="P22" s="2027"/>
      <c r="Q22" s="2027"/>
      <c r="R22" s="2027"/>
      <c r="S22" s="2028"/>
      <c r="T22" s="85" t="s">
        <v>1595</v>
      </c>
      <c r="U22" s="51"/>
      <c r="V22" s="72"/>
      <c r="W22" s="51"/>
      <c r="X22" s="160" t="s">
        <v>1384</v>
      </c>
      <c r="Z22" s="45"/>
      <c r="AA22" s="46"/>
    </row>
    <row r="23" spans="1:27" ht="13.5" customHeight="1" x14ac:dyDescent="0.2">
      <c r="A23" s="2022" t="s">
        <v>2168</v>
      </c>
      <c r="B23" s="2023"/>
      <c r="C23" s="2023"/>
      <c r="D23" s="2023"/>
      <c r="E23" s="2023"/>
      <c r="F23" s="2023"/>
      <c r="G23" s="2023"/>
      <c r="H23" s="2024"/>
      <c r="T23" s="1962" t="s">
        <v>2081</v>
      </c>
      <c r="U23" s="1963"/>
      <c r="V23" s="1963"/>
      <c r="W23" s="1963"/>
      <c r="X23" s="1978">
        <v>43434</v>
      </c>
      <c r="Y23" s="1979"/>
      <c r="Z23" s="1979"/>
      <c r="AA23" s="1980"/>
    </row>
    <row r="24" spans="1:27" ht="14.1" customHeight="1" x14ac:dyDescent="0.2">
      <c r="A24" s="88" t="s">
        <v>697</v>
      </c>
      <c r="B24" s="49"/>
      <c r="C24" s="49"/>
      <c r="D24" s="49"/>
      <c r="E24" s="49"/>
      <c r="F24" s="49"/>
      <c r="G24" s="49"/>
      <c r="H24" s="61"/>
      <c r="J24" s="2064" t="str">
        <f>IF(B5="x",IF(AUDITCHECK!D29="AFR form Incomplete.","",IF(AUDITCHECK!D29="Deficit reduction plan is required.","School District must complete a deficit reduction plan in the 2018-2019 Budget",)),"")</f>
        <v>School District must complete a deficit reduction plan in the 2018-2019 Budget</v>
      </c>
      <c r="K24" s="2064"/>
      <c r="L24" s="2064"/>
      <c r="M24" s="2064"/>
      <c r="N24" s="2064"/>
      <c r="O24" s="2064"/>
      <c r="P24" s="2064"/>
      <c r="Q24" s="2064"/>
      <c r="R24" s="2064"/>
      <c r="S24" s="2065"/>
      <c r="T24" s="105" t="s">
        <v>551</v>
      </c>
      <c r="U24" s="106"/>
      <c r="V24" s="106"/>
      <c r="W24" s="106"/>
      <c r="X24" s="107"/>
      <c r="Y24" s="107"/>
      <c r="Z24" s="107"/>
      <c r="AA24" s="108"/>
    </row>
    <row r="25" spans="1:27" ht="14.1" customHeight="1" x14ac:dyDescent="0.2">
      <c r="A25" s="1999">
        <v>62060</v>
      </c>
      <c r="B25" s="2000"/>
      <c r="C25" s="2000"/>
      <c r="D25" s="2000"/>
      <c r="E25" s="2000"/>
      <c r="F25" s="2000"/>
      <c r="G25" s="2000"/>
      <c r="H25" s="2001"/>
      <c r="I25" s="113"/>
      <c r="J25" s="2066"/>
      <c r="K25" s="2066"/>
      <c r="L25" s="2066"/>
      <c r="M25" s="2066"/>
      <c r="N25" s="2066"/>
      <c r="O25" s="2066"/>
      <c r="P25" s="2066"/>
      <c r="Q25" s="2066"/>
      <c r="R25" s="2066"/>
      <c r="S25" s="2067"/>
      <c r="T25" s="1959" t="s">
        <v>2082</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7" t="s">
        <v>1590</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t="s">
        <v>2073</v>
      </c>
      <c r="C31" s="124" t="s">
        <v>1226</v>
      </c>
      <c r="D31" s="28"/>
      <c r="E31" s="28"/>
      <c r="F31" s="28"/>
      <c r="G31" s="28"/>
      <c r="H31" s="28"/>
      <c r="I31" s="54"/>
      <c r="J31" s="148" t="s">
        <v>2073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2"/>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551</v>
      </c>
      <c r="B39" s="2056"/>
      <c r="C39" s="72"/>
      <c r="D39" s="69"/>
      <c r="E39" s="69"/>
      <c r="F39" s="79"/>
      <c r="G39" s="69"/>
      <c r="H39" s="56"/>
      <c r="I39" s="2055" t="s">
        <v>551</v>
      </c>
      <c r="J39" s="2056"/>
      <c r="K39" s="2056"/>
      <c r="L39" s="2056"/>
      <c r="M39" s="2056"/>
      <c r="N39" s="67"/>
      <c r="O39" s="72"/>
      <c r="P39" s="72"/>
      <c r="Q39" s="78"/>
      <c r="R39" s="72"/>
      <c r="S39" s="56"/>
      <c r="T39" s="72" t="s">
        <v>551</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8"/>
      <c r="B42" s="2049"/>
      <c r="C42" s="2050"/>
      <c r="D42" s="2063"/>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rintOptions horizontalCentered="1"/>
  <pageMargins left="0.75" right="0.75" top="1" bottom="0.5" header="0.5" footer="0.5"/>
  <pageSetup scale="67" orientation="landscape" r:id="rId3"/>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58" zoomScale="110" zoomScaleNormal="110" workbookViewId="0">
      <selection activeCell="B50" sqref="B5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1" t="s">
        <v>1124</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714</v>
      </c>
      <c r="B40" s="2068"/>
      <c r="C40" s="2068"/>
      <c r="D40" s="2068"/>
      <c r="E40" s="2068"/>
    </row>
    <row r="41" spans="1:5" x14ac:dyDescent="0.2">
      <c r="A41" s="2069" t="s">
        <v>1705</v>
      </c>
      <c r="B41" s="2069"/>
      <c r="C41" s="2069"/>
      <c r="D41" s="2069"/>
      <c r="E41" s="2069"/>
    </row>
    <row r="42" spans="1:5" ht="12.75" customHeight="1" x14ac:dyDescent="0.2">
      <c r="A42" s="2070" t="s">
        <v>1079</v>
      </c>
      <c r="B42" s="2070"/>
      <c r="C42" s="2070"/>
      <c r="D42" s="2070"/>
      <c r="E42" s="2070"/>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5" right="0.75" top="1" bottom="0.5" header="0.5" footer="0.5"/>
  <pageSetup scale="72" fitToHeight="0" orientation="portrait" r:id="rId4"/>
  <headerFooter>
    <oddHeader>&amp;C&amp;"Times New Roman,Regular"MADISON COMMUNITY UNIT SCHOOL DISTRICT NO. 12</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1229</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t="s">
        <v>2073</v>
      </c>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t="s">
        <v>2073</v>
      </c>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6" t="s">
        <v>1730</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330</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2073</v>
      </c>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2196</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1389</v>
      </c>
      <c r="B70" s="2089"/>
      <c r="C70" s="2089"/>
      <c r="D70" s="2089"/>
      <c r="E70" s="2090"/>
      <c r="F70" s="2090"/>
      <c r="G70" s="2090"/>
      <c r="H70" s="2090"/>
      <c r="I70" s="209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1386</v>
      </c>
      <c r="B83" s="2091"/>
      <c r="C83" s="2091"/>
      <c r="D83" s="209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2075</v>
      </c>
      <c r="D114" s="208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1396</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rintOptions horizontalCentered="1"/>
  <pageMargins left="0.75" right="0.75" top="0.75" bottom="0.5" header="0.5" footer="0.5"/>
  <pageSetup scale="48" firstPageNumber="2" orientation="portrait" r:id="rId1"/>
  <headerFooter>
    <oddHeader>&amp;C&amp;"Times New Roman,Regular"MADISON COMMUNITY UNIT SCHOOL DISTRICT NO. 12</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J13" sqref="J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403</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25127764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2.5899999999999999E-2</v>
      </c>
      <c r="E10" s="356" t="s">
        <v>1061</v>
      </c>
      <c r="F10" s="355">
        <v>5.0000000000000001E-3</v>
      </c>
      <c r="G10" s="356" t="s">
        <v>1061</v>
      </c>
      <c r="H10" s="355">
        <v>2E-3</v>
      </c>
      <c r="I10" s="356" t="s">
        <v>1062</v>
      </c>
      <c r="J10" s="1754">
        <f>ROUND(D10+F10+H10,5)</f>
        <v>3.2899999999999999E-2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10618938</v>
      </c>
      <c r="E16" s="356"/>
      <c r="F16" s="1755">
        <f>SUM('Acct Summary 7-8'!C17,'Acct Summary 7-8'!D17,'Acct Summary 7-8'!F17)</f>
        <v>13655007</v>
      </c>
      <c r="G16" s="356"/>
      <c r="H16" s="1755">
        <f>SUM(D16-F16)</f>
        <v>-3036069</v>
      </c>
      <c r="I16" s="222"/>
      <c r="J16" s="1755">
        <f>SUM('Acct Summary 7-8'!C81,'Acct Summary 7-8'!D81,'Acct Summary 7-8'!F81,'Acct Summary 7-8'!I81)</f>
        <v>2757450</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3467631.4320000005</v>
      </c>
      <c r="I31" s="368"/>
      <c r="J31" s="222"/>
      <c r="K31" s="222"/>
      <c r="L31" s="222"/>
      <c r="M31" s="222"/>
    </row>
    <row r="32" spans="1:13" ht="13.35" customHeight="1" x14ac:dyDescent="0.2">
      <c r="B32" s="369" t="s">
        <v>2073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6610207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orizontalCentered="1"/>
  <pageMargins left="0.75" right="0.75" top="1" bottom="0.5" header="0.5" footer="0.5"/>
  <pageSetup scale="91" firstPageNumber="3" orientation="portrait" r:id="rId1"/>
  <headerFooter>
    <oddHeader>&amp;C&amp;"Times New Roman,Regular"MADISON COMMUNITY UNIT SCHOOL DISTRICT NO. 12</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F18" sqref="F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576</v>
      </c>
      <c r="B2" s="2121"/>
      <c r="C2" s="2121"/>
      <c r="D2" s="2121"/>
      <c r="E2" s="2121"/>
      <c r="F2" s="2121"/>
      <c r="G2" s="2121"/>
      <c r="H2" s="2121"/>
      <c r="I2" s="2121"/>
      <c r="J2" s="2121"/>
      <c r="K2" s="2121"/>
      <c r="L2" s="2121"/>
      <c r="M2" s="2121"/>
      <c r="N2" s="2121"/>
      <c r="O2" s="2121"/>
      <c r="P2" s="2121"/>
      <c r="Q2" s="2121"/>
      <c r="R2" s="2121"/>
    </row>
    <row r="3" spans="1:18" ht="12.75" x14ac:dyDescent="0.2">
      <c r="A3" s="2122" t="s">
        <v>1479</v>
      </c>
      <c r="B3" s="2122"/>
      <c r="C3" s="2122"/>
      <c r="D3" s="2122"/>
      <c r="E3" s="2122"/>
      <c r="F3" s="2122"/>
      <c r="G3" s="2122"/>
      <c r="H3" s="2122"/>
      <c r="I3" s="2122"/>
      <c r="J3" s="2122"/>
      <c r="K3" s="2122"/>
      <c r="L3" s="2122"/>
      <c r="M3" s="2122"/>
      <c r="N3" s="2122"/>
      <c r="O3" s="2122"/>
      <c r="P3" s="2122"/>
      <c r="Q3" s="2122"/>
      <c r="R3" s="2122"/>
    </row>
    <row r="4" spans="1:18" x14ac:dyDescent="0.2">
      <c r="A4" s="2123" t="s">
        <v>1634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MADISON COMMUNITY UNIT SCHOOL DISTRICT NO. 12</v>
      </c>
      <c r="E7" s="391"/>
      <c r="G7" s="252"/>
      <c r="H7" s="387"/>
      <c r="I7" s="387"/>
      <c r="J7" s="387"/>
      <c r="K7" s="387"/>
      <c r="L7" s="329"/>
      <c r="M7" s="329"/>
      <c r="N7" s="329"/>
      <c r="O7" s="329"/>
      <c r="P7" s="329"/>
    </row>
    <row r="8" spans="1:18" ht="12.75" x14ac:dyDescent="0.2">
      <c r="A8" s="329"/>
      <c r="B8" s="329"/>
      <c r="C8" s="389" t="s">
        <v>1186</v>
      </c>
      <c r="D8" s="392" t="str">
        <f>COVER!A13</f>
        <v>41-057-0120-26</v>
      </c>
      <c r="E8" s="393"/>
      <c r="G8" s="329"/>
      <c r="H8" s="329"/>
      <c r="I8" s="329"/>
      <c r="J8" s="329"/>
      <c r="K8" s="329"/>
      <c r="L8" s="329"/>
      <c r="M8" s="329"/>
      <c r="N8" s="329"/>
      <c r="O8" s="329"/>
      <c r="P8" s="329"/>
    </row>
    <row r="9" spans="1:18" ht="12.75" x14ac:dyDescent="0.2">
      <c r="A9" s="329"/>
      <c r="B9" s="329"/>
      <c r="C9" s="389" t="s">
        <v>736</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2731416</v>
      </c>
      <c r="I12" s="404"/>
      <c r="J12" s="404"/>
      <c r="K12" s="405">
        <f>TRUNC((H12/H13*100000),5)/100000</f>
        <v>0.25722120230000001</v>
      </c>
      <c r="L12" s="406"/>
      <c r="M12" s="360" t="s">
        <v>1205</v>
      </c>
      <c r="N12" s="360"/>
      <c r="O12" s="407">
        <v>0.35</v>
      </c>
      <c r="P12" s="218"/>
      <c r="Q12" s="218"/>
    </row>
    <row r="13" spans="1:18" s="408" customFormat="1" ht="12.75" x14ac:dyDescent="0.2">
      <c r="A13" s="218"/>
      <c r="B13" s="401"/>
      <c r="C13" s="2119" t="s">
        <v>1390</v>
      </c>
      <c r="D13" s="2120"/>
      <c r="E13" s="218"/>
      <c r="F13" s="409" t="s">
        <v>825</v>
      </c>
      <c r="G13" s="402"/>
      <c r="H13" s="403">
        <f>SUM('Acct Summary 7-8'!C8+'Acct Summary 7-8'!D8+'Acct Summary 7-8'!F8+'Acct Summary 7-8'!I8)+H14</f>
        <v>10618938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1</v>
      </c>
      <c r="P16" s="216"/>
      <c r="R16" s="384"/>
    </row>
    <row r="17" spans="1:18" s="408" customFormat="1" ht="11.25" x14ac:dyDescent="0.2">
      <c r="A17" s="218"/>
      <c r="B17" s="401"/>
      <c r="C17" s="218" t="s">
        <v>829</v>
      </c>
      <c r="D17" s="218"/>
      <c r="E17" s="218"/>
      <c r="F17" s="218" t="s">
        <v>463</v>
      </c>
      <c r="G17" s="402"/>
      <c r="H17" s="403">
        <f>SUM('Acct Summary 7-8'!C17+'Acct Summary 7-8'!D17+'Acct Summary 7-8'!F17)</f>
        <v>13655007</v>
      </c>
      <c r="I17" s="404"/>
      <c r="J17" s="416"/>
      <c r="K17" s="405">
        <f>TRUNC((H17/H18*100000),5)/100000</f>
        <v>1.2859107944000001</v>
      </c>
      <c r="L17" s="406"/>
      <c r="M17" s="417" t="s">
        <v>1232</v>
      </c>
      <c r="O17" s="418" t="str">
        <f>IF(AND(O16="2", J20 &gt; 2),"1",IF(AND(O16 = "1", J20 &gt; 2),"2",IF(AND(O16="1", J20 &gt;1),"1","0")))</f>
        <v>0</v>
      </c>
      <c r="P17" s="218"/>
    </row>
    <row r="18" spans="1:18" s="408" customFormat="1" ht="11.25" x14ac:dyDescent="0.2">
      <c r="A18" s="218"/>
      <c r="B18" s="401"/>
      <c r="C18" s="2119" t="s">
        <v>1383</v>
      </c>
      <c r="D18" s="2120"/>
      <c r="E18" s="218"/>
      <c r="F18" s="419" t="s">
        <v>826</v>
      </c>
      <c r="G18" s="402"/>
      <c r="H18" s="403">
        <f>SUM('Acct Summary 7-8'!C8+'Acct Summary 7-8'!D8+'Acct Summary 7-8'!F8+'Acct Summary 7-8'!I8)+H19</f>
        <v>10618938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0.54989600000000005</v>
      </c>
      <c r="K20" s="405" t="str">
        <f>IF(K17&lt;=1,"0",IF(AND(O16="2", J20 &gt; 2),TRUNC(((K12-0.1)/(K17-1)*100),5)/100,IF(AND(O16 = "1", J20 &gt; 2),TRUNC(((K12-0.1)/(K17-1)*100),5)/100,IF(AND(O16="1", J20 &gt;1),TRUNC(((K12-0.1)/(K17-1)*100),5)/100,""))))</f>
        <v/>
      </c>
      <c r="L20" s="218"/>
      <c r="M20" s="360" t="s">
        <v>1206</v>
      </c>
      <c r="N20" s="360"/>
      <c r="O20" s="411">
        <f>(O16+O17)*O18</f>
        <v>0.35</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2</v>
      </c>
      <c r="P23" s="216"/>
      <c r="R23" s="384"/>
    </row>
    <row r="24" spans="1:18" s="408" customFormat="1" ht="11.25" x14ac:dyDescent="0.2">
      <c r="A24" s="218"/>
      <c r="B24" s="401"/>
      <c r="C24" s="2116" t="s">
        <v>1478</v>
      </c>
      <c r="D24" s="2116"/>
      <c r="E24" s="218"/>
      <c r="F24" s="218" t="s">
        <v>464</v>
      </c>
      <c r="G24" s="402"/>
      <c r="H24" s="403">
        <f>SUM('Assets-Liab 5-6'!C4+'Assets-Liab 5-6'!D4+'Assets-Liab 5-6'!F4+'Assets-Liab 5-6'!I4+'Assets-Liab 5-6'!C5+'Assets-Liab 5-6'!D5+'Assets-Liab 5-6'!F5+'Assets-Liab 5-6'!I5)</f>
        <v>2727450</v>
      </c>
      <c r="I24" s="422"/>
      <c r="J24" s="422"/>
      <c r="K24" s="423">
        <f>TRUNC(((H24/H25*100000)/100000),2)</f>
        <v>71.900000000000006</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37930.574999999997</v>
      </c>
      <c r="I25" s="425"/>
      <c r="J25" s="425"/>
      <c r="K25" s="410"/>
      <c r="L25" s="218"/>
      <c r="M25" s="360" t="s">
        <v>1206</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702697.92026000004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6610207</v>
      </c>
      <c r="I32" s="420"/>
      <c r="J32" s="420"/>
      <c r="K32" s="423">
        <f>TRUNC(100-((((H32/H33*100))*100)/100),2)</f>
        <v>-90.62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3467631.4320000005</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2.4500000000000002</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orizontalCentered="1"/>
  <pageMargins left="0.75" right="0.75" top="1" bottom="0.5" header="0.5" footer="0.5"/>
  <pageSetup scale="78" firstPageNumber="4" orientation="landscape" r:id="rId3"/>
  <headerFooter>
    <oddHeader>&amp;C&amp;"Times New Roman,Regular"MADISON COMMUNITY UNIT SCHOOL DISTRICT NO. 12</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8" activePane="bottomLeft" state="frozen"/>
      <selection activeCell="AF38" sqref="AF38"/>
      <selection pane="bottomLeft" activeCell="L54" sqref="L5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6" t="s">
        <v>1029</v>
      </c>
      <c r="B3" s="2127"/>
      <c r="C3" s="1581"/>
      <c r="D3" s="1582"/>
      <c r="E3" s="1582"/>
      <c r="F3" s="1582"/>
      <c r="G3" s="1582"/>
      <c r="H3" s="1582"/>
      <c r="I3" s="1582"/>
      <c r="J3" s="1582"/>
      <c r="K3" s="1582"/>
      <c r="L3" s="1582"/>
      <c r="M3" s="1583"/>
      <c r="N3" s="1584"/>
    </row>
    <row r="4" spans="1:14" ht="13.5" customHeight="1" x14ac:dyDescent="0.2">
      <c r="A4" s="463" t="s">
        <v>1749</v>
      </c>
      <c r="B4" s="464"/>
      <c r="C4" s="465">
        <v>4447</v>
      </c>
      <c r="D4" s="466">
        <v>336286</v>
      </c>
      <c r="E4" s="466">
        <v>628653</v>
      </c>
      <c r="F4" s="466">
        <v>315775</v>
      </c>
      <c r="G4" s="466">
        <v>3966</v>
      </c>
      <c r="H4" s="466"/>
      <c r="I4" s="466">
        <v>2070942</v>
      </c>
      <c r="J4" s="467">
        <v>421474</v>
      </c>
      <c r="K4" s="466">
        <v>159090</v>
      </c>
      <c r="L4" s="466">
        <v>30654</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v>340000</v>
      </c>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4447</v>
      </c>
      <c r="D13" s="1759">
        <f t="shared" ref="D13:L13" si="0">SUM(D4:D12)</f>
        <v>336286</v>
      </c>
      <c r="E13" s="1759">
        <f t="shared" si="0"/>
        <v>628653</v>
      </c>
      <c r="F13" s="1759">
        <f t="shared" si="0"/>
        <v>315775</v>
      </c>
      <c r="G13" s="1759">
        <f t="shared" si="0"/>
        <v>3966</v>
      </c>
      <c r="H13" s="1759">
        <f t="shared" si="0"/>
        <v>0</v>
      </c>
      <c r="I13" s="1759">
        <f t="shared" si="0"/>
        <v>2410942</v>
      </c>
      <c r="J13" s="1759">
        <f t="shared" si="0"/>
        <v>421474</v>
      </c>
      <c r="K13" s="1759">
        <f t="shared" si="0"/>
        <v>159090</v>
      </c>
      <c r="L13" s="1759">
        <f t="shared" si="0"/>
        <v>30654</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233604</v>
      </c>
      <c r="N16" s="484"/>
    </row>
    <row r="17" spans="1:14" s="485" customFormat="1" ht="12.75" customHeight="1" x14ac:dyDescent="0.2">
      <c r="A17" s="482" t="s">
        <v>1469</v>
      </c>
      <c r="B17" s="483">
        <v>230</v>
      </c>
      <c r="C17" s="477"/>
      <c r="D17" s="477"/>
      <c r="E17" s="477"/>
      <c r="F17" s="477"/>
      <c r="G17" s="477"/>
      <c r="H17" s="477"/>
      <c r="I17" s="477"/>
      <c r="J17" s="477"/>
      <c r="K17" s="477"/>
      <c r="L17" s="477"/>
      <c r="M17" s="467">
        <v>11992599</v>
      </c>
      <c r="N17" s="484"/>
    </row>
    <row r="18" spans="1:14" s="485" customFormat="1" ht="12.75" customHeight="1" x14ac:dyDescent="0.2">
      <c r="A18" s="482" t="s">
        <v>1470</v>
      </c>
      <c r="B18" s="483">
        <v>240</v>
      </c>
      <c r="C18" s="477"/>
      <c r="D18" s="477"/>
      <c r="E18" s="477"/>
      <c r="F18" s="477"/>
      <c r="G18" s="477"/>
      <c r="H18" s="477"/>
      <c r="I18" s="477"/>
      <c r="J18" s="477"/>
      <c r="K18" s="477"/>
      <c r="L18" s="477"/>
      <c r="M18" s="467">
        <v>1038750</v>
      </c>
      <c r="N18" s="484"/>
    </row>
    <row r="19" spans="1:14" s="485" customFormat="1" ht="12.75" customHeight="1" x14ac:dyDescent="0.2">
      <c r="A19" s="482" t="s">
        <v>1471</v>
      </c>
      <c r="B19" s="483">
        <v>250</v>
      </c>
      <c r="C19" s="477"/>
      <c r="D19" s="477"/>
      <c r="E19" s="477"/>
      <c r="F19" s="477"/>
      <c r="G19" s="477"/>
      <c r="H19" s="477"/>
      <c r="I19" s="477"/>
      <c r="J19" s="477"/>
      <c r="K19" s="477"/>
      <c r="L19" s="477"/>
      <c r="M19" s="467">
        <v>3926672</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628653</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5981554</v>
      </c>
    </row>
    <row r="23" spans="1:14" ht="13.5" customHeight="1" thickBot="1" x14ac:dyDescent="0.25">
      <c r="A23" s="1758" t="s">
        <v>663</v>
      </c>
      <c r="B23" s="1763"/>
      <c r="C23" s="468"/>
      <c r="D23" s="468"/>
      <c r="E23" s="468"/>
      <c r="F23" s="468"/>
      <c r="G23" s="468"/>
      <c r="H23" s="468"/>
      <c r="I23" s="468"/>
      <c r="J23" s="468"/>
      <c r="K23" s="468"/>
      <c r="L23" s="468"/>
      <c r="M23" s="1710">
        <f>SUM(M15:M22)</f>
        <v>17191625</v>
      </c>
      <c r="N23" s="1710">
        <f>SUM(N21:N22)</f>
        <v>6610207</v>
      </c>
    </row>
    <row r="24" spans="1:14" ht="18" customHeight="1" thickTop="1" x14ac:dyDescent="0.2">
      <c r="A24" s="2130" t="s">
        <v>618</v>
      </c>
      <c r="B24" s="2131"/>
      <c r="C24" s="1590"/>
      <c r="D24" s="1587"/>
      <c r="E24" s="1587"/>
      <c r="F24" s="1587"/>
      <c r="G24" s="1587"/>
      <c r="H24" s="1587"/>
      <c r="I24" s="1587"/>
      <c r="J24" s="1587"/>
      <c r="K24" s="1587"/>
      <c r="L24" s="1587"/>
      <c r="M24" s="1586"/>
      <c r="N24" s="1591"/>
    </row>
    <row r="25" spans="1:14" x14ac:dyDescent="0.2">
      <c r="A25" s="473" t="s">
        <v>665</v>
      </c>
      <c r="B25" s="470">
        <v>410</v>
      </c>
      <c r="C25" s="478">
        <v>310000</v>
      </c>
      <c r="D25" s="478"/>
      <c r="E25" s="478"/>
      <c r="F25" s="478"/>
      <c r="G25" s="478">
        <v>30000</v>
      </c>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30654</v>
      </c>
      <c r="M33" s="468"/>
      <c r="N33" s="469"/>
    </row>
    <row r="34" spans="1:14" ht="13.5" customHeight="1" thickBot="1" x14ac:dyDescent="0.25">
      <c r="A34" s="1760" t="s">
        <v>674</v>
      </c>
      <c r="B34" s="1761"/>
      <c r="C34" s="1762">
        <f>SUM(C25:C33)</f>
        <v>310000</v>
      </c>
      <c r="D34" s="1762">
        <f t="shared" ref="D34:K34" si="1">SUM(D25:D33)</f>
        <v>0</v>
      </c>
      <c r="E34" s="1762">
        <f t="shared" si="1"/>
        <v>0</v>
      </c>
      <c r="F34" s="1762">
        <f t="shared" si="1"/>
        <v>0</v>
      </c>
      <c r="G34" s="1762">
        <f t="shared" si="1"/>
        <v>30000</v>
      </c>
      <c r="H34" s="1762">
        <f t="shared" si="1"/>
        <v>0</v>
      </c>
      <c r="I34" s="1762">
        <f t="shared" si="1"/>
        <v>0</v>
      </c>
      <c r="J34" s="1762">
        <f t="shared" si="1"/>
        <v>0</v>
      </c>
      <c r="K34" s="1762">
        <f t="shared" si="1"/>
        <v>0</v>
      </c>
      <c r="L34" s="1743">
        <f>SUM(L33)</f>
        <v>30654</v>
      </c>
      <c r="M34" s="468"/>
      <c r="N34" s="480"/>
    </row>
    <row r="35" spans="1:14" ht="18" customHeight="1" thickTop="1" x14ac:dyDescent="0.2">
      <c r="A35" s="2132" t="s">
        <v>549</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6610207</v>
      </c>
    </row>
    <row r="37" spans="1:14" ht="13.5" thickBot="1" x14ac:dyDescent="0.25">
      <c r="A37" s="1758" t="s">
        <v>673</v>
      </c>
      <c r="B37" s="1763"/>
      <c r="C37" s="477"/>
      <c r="D37" s="477"/>
      <c r="E37" s="477"/>
      <c r="F37" s="477"/>
      <c r="G37" s="477"/>
      <c r="H37" s="477"/>
      <c r="I37" s="477"/>
      <c r="J37" s="477"/>
      <c r="K37" s="477"/>
      <c r="L37" s="480"/>
      <c r="M37" s="468"/>
      <c r="N37" s="1710">
        <f>SUM(N36:N36)</f>
        <v>6610207</v>
      </c>
    </row>
    <row r="38" spans="1:14" s="329" customFormat="1" ht="13.5" customHeight="1" thickTop="1" x14ac:dyDescent="0.2">
      <c r="A38" s="496" t="s">
        <v>439</v>
      </c>
      <c r="B38" s="483">
        <v>714</v>
      </c>
      <c r="C38" s="466"/>
      <c r="D38" s="466"/>
      <c r="E38" s="466">
        <v>628653</v>
      </c>
      <c r="F38" s="466"/>
      <c r="G38" s="466">
        <v>-53131</v>
      </c>
      <c r="H38" s="466"/>
      <c r="I38" s="466"/>
      <c r="J38" s="467"/>
      <c r="K38" s="466"/>
      <c r="L38" s="481"/>
      <c r="M38" s="497"/>
      <c r="N38" s="497"/>
    </row>
    <row r="39" spans="1:14" s="329" customFormat="1" ht="13.5" customHeight="1" x14ac:dyDescent="0.2">
      <c r="A39" s="496" t="s">
        <v>359</v>
      </c>
      <c r="B39" s="483">
        <v>730</v>
      </c>
      <c r="C39" s="466">
        <v>-305553</v>
      </c>
      <c r="D39" s="466">
        <v>336286</v>
      </c>
      <c r="E39" s="466"/>
      <c r="F39" s="466">
        <v>315775</v>
      </c>
      <c r="G39" s="466">
        <v>27097</v>
      </c>
      <c r="H39" s="466"/>
      <c r="I39" s="466">
        <v>2410942</v>
      </c>
      <c r="J39" s="467">
        <v>421474</v>
      </c>
      <c r="K39" s="466">
        <v>159090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17191625</v>
      </c>
      <c r="N40" s="497"/>
    </row>
    <row r="41" spans="1:14" ht="13.5" customHeight="1" thickBot="1" x14ac:dyDescent="0.25">
      <c r="A41" s="1758" t="s">
        <v>675</v>
      </c>
      <c r="B41" s="1728"/>
      <c r="C41" s="1710">
        <f>(SUM(C34,C37,C38,C39))</f>
        <v>4447</v>
      </c>
      <c r="D41" s="1710">
        <f t="shared" ref="D41:L41" si="2">SUM(D34,D37,D38:D39)</f>
        <v>336286</v>
      </c>
      <c r="E41" s="1710">
        <f t="shared" si="2"/>
        <v>628653</v>
      </c>
      <c r="F41" s="1710">
        <f t="shared" si="2"/>
        <v>315775</v>
      </c>
      <c r="G41" s="1710">
        <f t="shared" si="2"/>
        <v>3966</v>
      </c>
      <c r="H41" s="1710">
        <f t="shared" si="2"/>
        <v>0</v>
      </c>
      <c r="I41" s="1710">
        <f t="shared" si="2"/>
        <v>2410942</v>
      </c>
      <c r="J41" s="1710">
        <f t="shared" si="2"/>
        <v>421474</v>
      </c>
      <c r="K41" s="1710">
        <f t="shared" si="2"/>
        <v>159090</v>
      </c>
      <c r="L41" s="1710">
        <f t="shared" si="2"/>
        <v>30654</v>
      </c>
      <c r="M41" s="1710">
        <f>SUM(M40)</f>
        <v>17191625</v>
      </c>
      <c r="N41" s="1710">
        <f>SUM(N37)</f>
        <v>6610207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orizontalCentered="1" gridLinesSet="0"/>
  <pageMargins left="0.75" right="0.75" top="1.75" bottom="0.5" header="0.5" footer="0.5"/>
  <pageSetup scale="56" firstPageNumber="14" orientation="landscape" useFirstPageNumber="1" r:id="rId1"/>
  <headerFooter>
    <oddHeader>&amp;C&amp;"Times New Roman,Regular"MADISON COMMUNITY UNIT SCHOOL DISTRICT NO. 12
STATEMENT OF ASSETS AND LIABILITIES ARISING FROM CASH TRANSACTIONS - CASH - REGULATORY BASIS
ALL FUNDS AND ACCOUNT GROUPS
JUNE 30, 2018</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80" workbookViewId="0">
      <pane ySplit="2" topLeftCell="A57" activePane="bottomLeft" state="frozenSplit"/>
      <selection activeCell="AF38" sqref="AF38"/>
      <selection pane="bottomLeft" activeCell="F34" sqref="F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3"/>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4" t="s">
        <v>1236</v>
      </c>
      <c r="B3" s="2155"/>
      <c r="C3" s="1595"/>
      <c r="D3" s="1596"/>
      <c r="E3" s="1596"/>
      <c r="F3" s="1596"/>
      <c r="G3" s="1596"/>
      <c r="H3" s="1596"/>
      <c r="I3" s="1596"/>
      <c r="J3" s="1596"/>
      <c r="K3" s="1597"/>
      <c r="L3" s="506"/>
    </row>
    <row r="4" spans="1:13" ht="15.75" customHeight="1" x14ac:dyDescent="0.2">
      <c r="A4" s="1954" t="s">
        <v>1578</v>
      </c>
      <c r="B4" s="1955">
        <v>1000</v>
      </c>
      <c r="C4" s="1764">
        <f>'Revenues 9-14'!C109</f>
        <v>1668823</v>
      </c>
      <c r="D4" s="1764">
        <f>'Revenues 9-14'!D109</f>
        <v>134079</v>
      </c>
      <c r="E4" s="1764">
        <f>'Revenues 9-14'!E109</f>
        <v>410415</v>
      </c>
      <c r="F4" s="1764">
        <f>'Revenues 9-14'!F109</f>
        <v>47376</v>
      </c>
      <c r="G4" s="1764">
        <f>'Revenues 9-14'!G109</f>
        <v>228733</v>
      </c>
      <c r="H4" s="1764">
        <f>'Revenues 9-14'!H109</f>
        <v>0</v>
      </c>
      <c r="I4" s="1764">
        <f>'Revenues 9-14'!I109</f>
        <v>21070</v>
      </c>
      <c r="J4" s="1764">
        <f>'Revenues 9-14'!J109</f>
        <v>238772</v>
      </c>
      <c r="K4" s="1764">
        <f>'Revenues 9-14'!K109</f>
        <v>12729</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5772753</v>
      </c>
      <c r="D6" s="1765">
        <f>'Revenues 9-14'!D173</f>
        <v>500000</v>
      </c>
      <c r="E6" s="1765">
        <f>'Revenues 9-14'!E173</f>
        <v>0</v>
      </c>
      <c r="F6" s="1765">
        <f>'Revenues 9-14'!F173</f>
        <v>765008</v>
      </c>
      <c r="G6" s="1765">
        <f>'Revenues 9-14'!G173</f>
        <v>50000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1659829</v>
      </c>
      <c r="D7" s="1765">
        <f>'Revenues 9-14'!D274</f>
        <v>0</v>
      </c>
      <c r="E7" s="1765">
        <f>'Revenues 9-14'!E274</f>
        <v>0</v>
      </c>
      <c r="F7" s="1765">
        <f>'Revenues 9-14'!F274</f>
        <v>50000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9101405</v>
      </c>
      <c r="D8" s="1710">
        <f t="shared" ref="D8:K8" si="0">SUM(D4:D7)</f>
        <v>634079</v>
      </c>
      <c r="E8" s="1710">
        <f t="shared" si="0"/>
        <v>410415</v>
      </c>
      <c r="F8" s="1710">
        <f t="shared" si="0"/>
        <v>862384</v>
      </c>
      <c r="G8" s="1710">
        <f t="shared" si="0"/>
        <v>278733</v>
      </c>
      <c r="H8" s="1710">
        <f t="shared" si="0"/>
        <v>0</v>
      </c>
      <c r="I8" s="1710">
        <f t="shared" si="0"/>
        <v>21070</v>
      </c>
      <c r="J8" s="1710">
        <f t="shared" si="0"/>
        <v>238772</v>
      </c>
      <c r="K8" s="1710">
        <f t="shared" si="0"/>
        <v>12729</v>
      </c>
      <c r="L8" s="347"/>
    </row>
    <row r="9" spans="1:13" ht="15.75" thickTop="1" x14ac:dyDescent="0.2">
      <c r="A9" s="514" t="s">
        <v>1751</v>
      </c>
      <c r="B9" s="515">
        <v>3998</v>
      </c>
      <c r="C9" s="481">
        <v>2745429</v>
      </c>
      <c r="D9" s="516"/>
      <c r="E9" s="481"/>
      <c r="F9" s="481"/>
      <c r="G9" s="517"/>
      <c r="H9" s="481"/>
      <c r="I9" s="509" t="s">
        <v>1230</v>
      </c>
      <c r="J9" s="478"/>
      <c r="K9" s="481"/>
      <c r="L9" s="347"/>
    </row>
    <row r="10" spans="1:13" s="519" customFormat="1" ht="13.5" thickBot="1" x14ac:dyDescent="0.25">
      <c r="A10" s="1758" t="s">
        <v>1234</v>
      </c>
      <c r="B10" s="1731"/>
      <c r="C10" s="1710">
        <f>SUM(C8:C9)</f>
        <v>11846834</v>
      </c>
      <c r="D10" s="1710">
        <f t="shared" ref="D10:K10" si="1">SUM(D8:D9)</f>
        <v>634079</v>
      </c>
      <c r="E10" s="1710">
        <f t="shared" si="1"/>
        <v>410415</v>
      </c>
      <c r="F10" s="1710">
        <f t="shared" si="1"/>
        <v>862384</v>
      </c>
      <c r="G10" s="1710">
        <f t="shared" si="1"/>
        <v>278733</v>
      </c>
      <c r="H10" s="1710">
        <f t="shared" si="1"/>
        <v>0</v>
      </c>
      <c r="I10" s="1710">
        <f t="shared" si="1"/>
        <v>21070</v>
      </c>
      <c r="J10" s="1710">
        <f t="shared" si="1"/>
        <v>238772</v>
      </c>
      <c r="K10" s="1710">
        <f t="shared" si="1"/>
        <v>12729</v>
      </c>
      <c r="L10" s="518"/>
    </row>
    <row r="11" spans="1:13" s="519" customFormat="1" ht="16.7" customHeight="1" thickTop="1" x14ac:dyDescent="0.2">
      <c r="A11" s="2128" t="s">
        <v>1237</v>
      </c>
      <c r="B11" s="2129"/>
      <c r="C11" s="1592"/>
      <c r="D11" s="1593"/>
      <c r="E11" s="1593"/>
      <c r="F11" s="1593"/>
      <c r="G11" s="1593"/>
      <c r="H11" s="1593"/>
      <c r="I11" s="1593"/>
      <c r="J11" s="1593"/>
      <c r="K11" s="1594"/>
      <c r="L11" s="518"/>
    </row>
    <row r="12" spans="1:13" ht="15.75" customHeight="1" x14ac:dyDescent="0.2">
      <c r="A12" s="1598" t="s">
        <v>475</v>
      </c>
      <c r="B12" s="1600">
        <v>1000</v>
      </c>
      <c r="C12" s="1764">
        <f>'Expenditures 15-22'!K33</f>
        <v>5012826</v>
      </c>
      <c r="D12" s="520" t="s">
        <v>1230</v>
      </c>
      <c r="E12" s="468" t="s">
        <v>1230</v>
      </c>
      <c r="F12" s="468" t="s">
        <v>1230</v>
      </c>
      <c r="G12" s="1764">
        <f>'Expenditures 15-22'!K229</f>
        <v>131878</v>
      </c>
      <c r="H12" s="521"/>
      <c r="I12" s="468" t="s">
        <v>1230</v>
      </c>
      <c r="J12" s="468" t="s">
        <v>1230</v>
      </c>
      <c r="K12" s="521" t="s">
        <v>1230</v>
      </c>
      <c r="L12" s="347"/>
    </row>
    <row r="13" spans="1:13" ht="15.75" customHeight="1" x14ac:dyDescent="0.2">
      <c r="A13" s="1598" t="s">
        <v>476</v>
      </c>
      <c r="B13" s="1600">
        <v>2000</v>
      </c>
      <c r="C13" s="1765">
        <f>'Expenditures 15-22'!K74</f>
        <v>4041996</v>
      </c>
      <c r="D13" s="1765">
        <f>'Expenditures 15-22'!K129</f>
        <v>3091553</v>
      </c>
      <c r="E13" s="469" t="s">
        <v>1230</v>
      </c>
      <c r="F13" s="1765">
        <f>'Expenditures 15-22'!K184</f>
        <v>1189543</v>
      </c>
      <c r="G13" s="1765">
        <f>'Expenditures 15-22'!K279</f>
        <v>228668</v>
      </c>
      <c r="H13" s="1765">
        <f>'Expenditures 15-22'!K303</f>
        <v>0</v>
      </c>
      <c r="I13" s="468" t="s">
        <v>1230</v>
      </c>
      <c r="J13" s="1765">
        <f>'Expenditures 15-22'!K330</f>
        <v>49028</v>
      </c>
      <c r="K13" s="1769">
        <f>'Expenditures 15-22'!K352</f>
        <v>0</v>
      </c>
      <c r="L13" s="347"/>
    </row>
    <row r="14" spans="1:13" ht="15.75" customHeight="1" x14ac:dyDescent="0.2">
      <c r="A14" s="1598" t="s">
        <v>468</v>
      </c>
      <c r="B14" s="1600">
        <v>3000</v>
      </c>
      <c r="C14" s="1765">
        <f>'Expenditures 15-22'!K75</f>
        <v>274587</v>
      </c>
      <c r="D14" s="1765">
        <f>'Expenditures 15-22'!K130</f>
        <v>0</v>
      </c>
      <c r="E14" s="520" t="s">
        <v>1230</v>
      </c>
      <c r="F14" s="1765">
        <f>'Expenditures 15-22'!K185</f>
        <v>0</v>
      </c>
      <c r="G14" s="1765">
        <f>'Expenditures 15-22'!K280</f>
        <v>27334</v>
      </c>
      <c r="H14" s="512"/>
      <c r="I14" s="468" t="s">
        <v>1230</v>
      </c>
      <c r="J14" s="468" t="s">
        <v>1230</v>
      </c>
      <c r="K14" s="512" t="s">
        <v>1230</v>
      </c>
      <c r="L14" s="347"/>
    </row>
    <row r="15" spans="1:13" ht="15.75" customHeight="1" x14ac:dyDescent="0.2">
      <c r="A15" s="1598" t="s">
        <v>109</v>
      </c>
      <c r="B15" s="1600">
        <v>4000</v>
      </c>
      <c r="C15" s="1765">
        <f>'Expenditures 15-22'!K102</f>
        <v>44502</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4077112</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9373911</v>
      </c>
      <c r="D17" s="1710">
        <f t="shared" si="2"/>
        <v>3091553</v>
      </c>
      <c r="E17" s="1710">
        <f t="shared" si="2"/>
        <v>4077112</v>
      </c>
      <c r="F17" s="1710">
        <f t="shared" si="2"/>
        <v>1189543</v>
      </c>
      <c r="G17" s="1710">
        <f t="shared" si="2"/>
        <v>387880</v>
      </c>
      <c r="H17" s="1710">
        <f t="shared" si="2"/>
        <v>0</v>
      </c>
      <c r="I17" s="468"/>
      <c r="J17" s="1710">
        <f>SUM(J12:J16)</f>
        <v>49028</v>
      </c>
      <c r="K17" s="1710">
        <f>SUM(K12:K16)</f>
        <v>0</v>
      </c>
      <c r="L17" s="347"/>
    </row>
    <row r="18" spans="1:12" ht="15" customHeight="1" thickTop="1" x14ac:dyDescent="0.2">
      <c r="A18" s="1766" t="s">
        <v>1752</v>
      </c>
      <c r="B18" s="1767">
        <v>4180</v>
      </c>
      <c r="C18" s="1764">
        <f t="shared" ref="C18:H18" si="3">C9</f>
        <v>2745429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12119340</v>
      </c>
      <c r="D19" s="1710">
        <f t="shared" si="4"/>
        <v>3091553</v>
      </c>
      <c r="E19" s="1710">
        <f t="shared" si="4"/>
        <v>4077112</v>
      </c>
      <c r="F19" s="1710">
        <f t="shared" si="4"/>
        <v>1189543</v>
      </c>
      <c r="G19" s="1710">
        <f t="shared" si="4"/>
        <v>387880</v>
      </c>
      <c r="H19" s="1710">
        <f t="shared" si="4"/>
        <v>0</v>
      </c>
      <c r="I19" s="468"/>
      <c r="J19" s="1710">
        <f>SUM(J17:J18)</f>
        <v>49028</v>
      </c>
      <c r="K19" s="1710">
        <f>SUM(K17:K18)</f>
        <v>0</v>
      </c>
      <c r="L19" s="347"/>
    </row>
    <row r="20" spans="1:12" ht="16.5" thickTop="1" thickBot="1" x14ac:dyDescent="0.25">
      <c r="A20" s="2144" t="s">
        <v>1753</v>
      </c>
      <c r="B20" s="2145"/>
      <c r="C20" s="1768">
        <f>C8-C17</f>
        <v>-272506</v>
      </c>
      <c r="D20" s="1768">
        <f t="shared" ref="D20:K20" si="5">D8-D17</f>
        <v>-2457474</v>
      </c>
      <c r="E20" s="1768">
        <f t="shared" si="5"/>
        <v>-3666697</v>
      </c>
      <c r="F20" s="1768">
        <f t="shared" si="5"/>
        <v>-327159</v>
      </c>
      <c r="G20" s="1768">
        <f t="shared" si="5"/>
        <v>-109147</v>
      </c>
      <c r="H20" s="1768">
        <f t="shared" si="5"/>
        <v>0</v>
      </c>
      <c r="I20" s="1768">
        <f t="shared" si="5"/>
        <v>21070</v>
      </c>
      <c r="J20" s="1768">
        <f t="shared" si="5"/>
        <v>189744</v>
      </c>
      <c r="K20" s="1768">
        <f t="shared" si="5"/>
        <v>12729</v>
      </c>
      <c r="L20" s="347"/>
    </row>
    <row r="21" spans="1:12" ht="16.7" customHeight="1" thickTop="1" x14ac:dyDescent="0.2">
      <c r="A21" s="2156" t="s">
        <v>615</v>
      </c>
      <c r="B21" s="2157"/>
      <c r="C21" s="1592"/>
      <c r="D21" s="1593"/>
      <c r="E21" s="1593"/>
      <c r="F21" s="1593"/>
      <c r="G21" s="1593"/>
      <c r="H21" s="1593"/>
      <c r="I21" s="1593"/>
      <c r="J21" s="1593"/>
      <c r="K21" s="1594"/>
      <c r="L21" s="524"/>
    </row>
    <row r="22" spans="1:12" ht="15.75" customHeight="1" collapsed="1" x14ac:dyDescent="0.2">
      <c r="A22" s="2152" t="s">
        <v>616</v>
      </c>
      <c r="B22" s="2153"/>
      <c r="C22" s="477"/>
      <c r="D22" s="477"/>
      <c r="E22" s="477"/>
      <c r="F22" s="477"/>
      <c r="G22" s="477"/>
      <c r="H22" s="477"/>
      <c r="I22" s="477"/>
      <c r="J22" s="477"/>
      <c r="K22" s="477"/>
      <c r="L22" s="347"/>
    </row>
    <row r="23" spans="1:12" s="485" customFormat="1" ht="15.75" customHeight="1" x14ac:dyDescent="0.2">
      <c r="A23" s="2148" t="s">
        <v>310</v>
      </c>
      <c r="B23" s="2149"/>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50" t="s">
        <v>1037</v>
      </c>
      <c r="B32" s="2151"/>
      <c r="C32" s="477"/>
      <c r="D32" s="477"/>
      <c r="E32" s="475"/>
      <c r="F32" s="477"/>
      <c r="G32" s="477"/>
      <c r="H32" s="477"/>
      <c r="I32" s="477"/>
      <c r="J32" s="477"/>
      <c r="K32" s="477"/>
      <c r="L32" s="524"/>
    </row>
    <row r="33" spans="1:12" s="485" customFormat="1" x14ac:dyDescent="0.2">
      <c r="A33" s="1511" t="s">
        <v>431</v>
      </c>
      <c r="B33" s="525">
        <v>7210</v>
      </c>
      <c r="C33" s="467"/>
      <c r="D33" s="467">
        <v>2692093</v>
      </c>
      <c r="E33" s="467">
        <v>3809602</v>
      </c>
      <c r="F33" s="467">
        <v>732148</v>
      </c>
      <c r="G33" s="477"/>
      <c r="H33" s="467"/>
      <c r="I33" s="467">
        <v>1555398</v>
      </c>
      <c r="J33" s="467"/>
      <c r="K33" s="467"/>
      <c r="L33" s="524"/>
    </row>
    <row r="34" spans="1:12" s="485" customFormat="1" x14ac:dyDescent="0.2">
      <c r="A34" s="1511" t="s">
        <v>1057</v>
      </c>
      <c r="B34" s="525">
        <v>7220</v>
      </c>
      <c r="C34" s="467"/>
      <c r="D34" s="467"/>
      <c r="E34" s="467">
        <v>114604</v>
      </c>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101804</v>
      </c>
      <c r="F37" s="475"/>
      <c r="G37" s="475"/>
      <c r="H37" s="475"/>
      <c r="I37" s="477"/>
      <c r="J37" s="475"/>
      <c r="K37" s="475"/>
      <c r="L37" s="524"/>
    </row>
    <row r="38" spans="1:12" s="485" customFormat="1" x14ac:dyDescent="0.2">
      <c r="A38" s="1511" t="s">
        <v>461</v>
      </c>
      <c r="B38" s="525">
        <v>7500</v>
      </c>
      <c r="C38" s="477"/>
      <c r="D38" s="477"/>
      <c r="E38" s="1765">
        <f>SUM(C58:D61,H58:H61)</f>
        <v>123991</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v>128462</v>
      </c>
      <c r="F43" s="467"/>
      <c r="G43" s="467"/>
      <c r="H43" s="467"/>
      <c r="I43" s="467"/>
      <c r="J43" s="467"/>
      <c r="K43" s="467"/>
      <c r="L43" s="524"/>
    </row>
    <row r="44" spans="1:12" s="485" customFormat="1" ht="13.5" customHeight="1" thickBot="1" x14ac:dyDescent="0.25">
      <c r="A44" s="2158" t="s">
        <v>391</v>
      </c>
      <c r="B44" s="2159"/>
      <c r="C44" s="1725">
        <f>SUM(C24:C43)</f>
        <v>0</v>
      </c>
      <c r="D44" s="1725">
        <f t="shared" ref="D44:K44" si="6">SUM(D24:D43)</f>
        <v>2692093</v>
      </c>
      <c r="E44" s="1725">
        <f t="shared" si="6"/>
        <v>4278463</v>
      </c>
      <c r="F44" s="1725">
        <f t="shared" si="6"/>
        <v>732148</v>
      </c>
      <c r="G44" s="1725">
        <f t="shared" si="6"/>
        <v>0</v>
      </c>
      <c r="H44" s="1725">
        <f t="shared" si="6"/>
        <v>0</v>
      </c>
      <c r="I44" s="1725">
        <f t="shared" si="6"/>
        <v>1555398</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v>35554</v>
      </c>
      <c r="D57" s="531">
        <v>66250</v>
      </c>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v>4613</v>
      </c>
      <c r="D61" s="531">
        <v>119378</v>
      </c>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v>128462</v>
      </c>
      <c r="G75" s="532"/>
      <c r="H75" s="532"/>
      <c r="I75" s="530"/>
      <c r="J75" s="530"/>
      <c r="K75" s="532"/>
      <c r="L75" s="524"/>
    </row>
    <row r="76" spans="1:12" s="485" customFormat="1" ht="14.25" thickTop="1" thickBot="1" x14ac:dyDescent="0.25">
      <c r="A76" s="2134" t="s">
        <v>459</v>
      </c>
      <c r="B76" s="2135"/>
      <c r="C76" s="1725">
        <f t="shared" ref="C76:K76" si="7">SUM(C47:C75)</f>
        <v>40167</v>
      </c>
      <c r="D76" s="1725">
        <f t="shared" si="7"/>
        <v>185628</v>
      </c>
      <c r="E76" s="1725">
        <f t="shared" si="7"/>
        <v>0</v>
      </c>
      <c r="F76" s="1725">
        <f t="shared" si="7"/>
        <v>128462</v>
      </c>
      <c r="G76" s="1725">
        <f t="shared" si="7"/>
        <v>0</v>
      </c>
      <c r="H76" s="1725">
        <f t="shared" si="7"/>
        <v>0</v>
      </c>
      <c r="I76" s="1725">
        <f t="shared" si="7"/>
        <v>0</v>
      </c>
      <c r="J76" s="1725">
        <f t="shared" si="7"/>
        <v>0</v>
      </c>
      <c r="K76" s="1725">
        <f t="shared" si="7"/>
        <v>0</v>
      </c>
      <c r="L76" s="524"/>
    </row>
    <row r="77" spans="1:12" ht="14.25" thickTop="1" thickBot="1" x14ac:dyDescent="0.25">
      <c r="A77" s="2136" t="s">
        <v>1238</v>
      </c>
      <c r="B77" s="2137"/>
      <c r="C77" s="1725">
        <f t="shared" ref="C77:K77" si="8">C44-C76</f>
        <v>-40167</v>
      </c>
      <c r="D77" s="1725">
        <f t="shared" si="8"/>
        <v>2506465</v>
      </c>
      <c r="E77" s="1725">
        <f t="shared" si="8"/>
        <v>4278463</v>
      </c>
      <c r="F77" s="1725">
        <f t="shared" si="8"/>
        <v>603686</v>
      </c>
      <c r="G77" s="1725">
        <f t="shared" si="8"/>
        <v>0</v>
      </c>
      <c r="H77" s="1725">
        <f t="shared" si="8"/>
        <v>0</v>
      </c>
      <c r="I77" s="1725">
        <f t="shared" si="8"/>
        <v>1555398</v>
      </c>
      <c r="J77" s="1725">
        <f t="shared" si="8"/>
        <v>0</v>
      </c>
      <c r="K77" s="1725">
        <f t="shared" si="8"/>
        <v>0</v>
      </c>
      <c r="L77" s="347"/>
    </row>
    <row r="78" spans="1:12" ht="21.75" customHeight="1" thickTop="1" thickBot="1" x14ac:dyDescent="0.25">
      <c r="A78" s="2140" t="s">
        <v>617</v>
      </c>
      <c r="B78" s="2141"/>
      <c r="C78" s="1724">
        <f t="shared" ref="C78:K78" si="9">C20+C77</f>
        <v>-312673</v>
      </c>
      <c r="D78" s="1724">
        <f t="shared" si="9"/>
        <v>48991</v>
      </c>
      <c r="E78" s="1724">
        <f t="shared" si="9"/>
        <v>611766</v>
      </c>
      <c r="F78" s="1724">
        <f t="shared" si="9"/>
        <v>276527</v>
      </c>
      <c r="G78" s="1724">
        <f t="shared" si="9"/>
        <v>-109147</v>
      </c>
      <c r="H78" s="1724">
        <f t="shared" si="9"/>
        <v>0</v>
      </c>
      <c r="I78" s="1724">
        <f t="shared" si="9"/>
        <v>1576468</v>
      </c>
      <c r="J78" s="1724">
        <f t="shared" si="9"/>
        <v>189744</v>
      </c>
      <c r="K78" s="1724">
        <f t="shared" si="9"/>
        <v>12729</v>
      </c>
      <c r="L78" s="533"/>
    </row>
    <row r="79" spans="1:12" ht="13.5" thickTop="1" x14ac:dyDescent="0.2">
      <c r="A79" s="1516" t="s">
        <v>2069</v>
      </c>
      <c r="B79" s="534"/>
      <c r="C79" s="478">
        <v>7120</v>
      </c>
      <c r="D79" s="535">
        <v>287295</v>
      </c>
      <c r="E79" s="535">
        <v>16887</v>
      </c>
      <c r="F79" s="535">
        <v>39248</v>
      </c>
      <c r="G79" s="535">
        <v>83113</v>
      </c>
      <c r="H79" s="535"/>
      <c r="I79" s="535">
        <v>834474</v>
      </c>
      <c r="J79" s="535">
        <v>231730</v>
      </c>
      <c r="K79" s="535">
        <v>146361</v>
      </c>
      <c r="L79" s="347"/>
    </row>
    <row r="80" spans="1:12" x14ac:dyDescent="0.2">
      <c r="A80" s="2146" t="s">
        <v>1894</v>
      </c>
      <c r="B80" s="2147"/>
      <c r="C80" s="467"/>
      <c r="D80" s="467"/>
      <c r="E80" s="467"/>
      <c r="F80" s="467"/>
      <c r="G80" s="467"/>
      <c r="H80" s="467"/>
      <c r="I80" s="467"/>
      <c r="J80" s="467"/>
      <c r="K80" s="467"/>
      <c r="L80" s="347"/>
    </row>
    <row r="81" spans="1:12" ht="13.5" thickBot="1" x14ac:dyDescent="0.25">
      <c r="A81" s="2138" t="s">
        <v>2070</v>
      </c>
      <c r="B81" s="2139"/>
      <c r="C81" s="1710">
        <f>(SUM(C78:C80))</f>
        <v>-305553</v>
      </c>
      <c r="D81" s="1710">
        <f>SUM(D78:D80)</f>
        <v>336286</v>
      </c>
      <c r="E81" s="1710">
        <f t="shared" ref="E81:K81" si="10">SUM(E78:E80)</f>
        <v>628653</v>
      </c>
      <c r="F81" s="1710">
        <f t="shared" si="10"/>
        <v>315775</v>
      </c>
      <c r="G81" s="1710">
        <f t="shared" si="10"/>
        <v>-26034</v>
      </c>
      <c r="H81" s="1710">
        <f t="shared" si="10"/>
        <v>0</v>
      </c>
      <c r="I81" s="1710">
        <f t="shared" si="10"/>
        <v>2410942</v>
      </c>
      <c r="J81" s="1710">
        <f t="shared" si="10"/>
        <v>421474</v>
      </c>
      <c r="K81" s="1710">
        <f t="shared" si="10"/>
        <v>159090</v>
      </c>
      <c r="L81" s="347"/>
    </row>
    <row r="82" spans="1:12" ht="0.75" customHeight="1" thickTop="1" thickBot="1" x14ac:dyDescent="0.25">
      <c r="A82" s="536" t="s">
        <v>360</v>
      </c>
      <c r="B82" s="537"/>
      <c r="C82" s="538">
        <f>(C81-C79)</f>
        <v>-312673</v>
      </c>
      <c r="D82" s="538">
        <f t="shared" ref="D82:K82" si="11">(D81-D79)</f>
        <v>48991</v>
      </c>
      <c r="E82" s="538">
        <f t="shared" si="11"/>
        <v>611766</v>
      </c>
      <c r="F82" s="538">
        <f t="shared" si="11"/>
        <v>276527</v>
      </c>
      <c r="G82" s="538">
        <f t="shared" si="11"/>
        <v>-109147</v>
      </c>
      <c r="H82" s="538">
        <f t="shared" si="11"/>
        <v>0</v>
      </c>
      <c r="I82" s="538">
        <f t="shared" si="11"/>
        <v>1576468</v>
      </c>
      <c r="J82" s="538">
        <f t="shared" si="11"/>
        <v>189744</v>
      </c>
      <c r="K82" s="538">
        <f t="shared" si="11"/>
        <v>12729</v>
      </c>
    </row>
    <row r="83" spans="1:12" ht="14.25" hidden="1" thickTop="1" thickBot="1" x14ac:dyDescent="0.25">
      <c r="A83" s="539" t="s">
        <v>361</v>
      </c>
      <c r="B83" s="464"/>
      <c r="C83" s="540">
        <f>C82/C81</f>
        <v>1.0233020130713821</v>
      </c>
      <c r="D83" s="540">
        <f t="shared" ref="D83:K83" si="12">D82/D81</f>
        <v>0.14568254402502631</v>
      </c>
      <c r="E83" s="540">
        <f t="shared" si="12"/>
        <v>0.97313780416223261</v>
      </c>
      <c r="F83" s="540">
        <f t="shared" si="12"/>
        <v>0.87570896999445813</v>
      </c>
      <c r="G83" s="540">
        <f t="shared" si="12"/>
        <v>4.1924790658369826</v>
      </c>
      <c r="H83" s="540" t="e">
        <f t="shared" si="12"/>
        <v>#DIV/0!</v>
      </c>
      <c r="I83" s="540">
        <f t="shared" si="12"/>
        <v>0.65388051641225708</v>
      </c>
      <c r="J83" s="540">
        <f t="shared" si="12"/>
        <v>0.45019147088551131</v>
      </c>
      <c r="K83" s="540">
        <f t="shared" si="12"/>
        <v>8.0011314350367721E-2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orizontalCentered="1"/>
  <pageMargins left="0.75" right="0.75" top="1.25" bottom="0.5" header="0.5" footer="0.5"/>
  <pageSetup scale="48" firstPageNumber="7" orientation="portrait" r:id="rId1"/>
  <headerFooter>
    <oddHeader>&amp;C&amp;"Times New Roman,Regular"MADISON COMMUNITY UNIT SCHOOL DISTRICT NO. 12
STATEMENT OF RECEIPTS, DISBURSEMENTS, OTHER SOURCES (USES), AND CHANGES IN FUND BALANCES - CASH - REGULATORY BASIS
ALL FUNDS
FOR THE YEAR ENDED JUNE 30, 2018</oddHeader>
    <oddFooter>&amp;C&amp;"Times New Roman,Regular"See Notes to Financial Statements and Independent Auditor's Reports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F38" sqref="AF38"/>
      <selection pane="bottomLeft" activeCell="K5" sqref="K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1901</v>
      </c>
      <c r="B1" s="452"/>
      <c r="C1" s="453" t="s">
        <v>444</v>
      </c>
      <c r="D1" s="453" t="s">
        <v>445</v>
      </c>
      <c r="E1" s="453" t="s">
        <v>446</v>
      </c>
      <c r="F1" s="453" t="s">
        <v>447</v>
      </c>
      <c r="G1" s="453" t="s">
        <v>448</v>
      </c>
      <c r="H1" s="453" t="s">
        <v>449</v>
      </c>
      <c r="I1" s="453" t="s">
        <v>450</v>
      </c>
      <c r="J1" s="453" t="s">
        <v>451</v>
      </c>
      <c r="K1" s="453" t="s">
        <v>779</v>
      </c>
    </row>
    <row r="2" spans="1:12" ht="36" x14ac:dyDescent="0.2">
      <c r="A2" s="2143"/>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605164</v>
      </c>
      <c r="D5" s="481">
        <v>116819</v>
      </c>
      <c r="E5" s="466">
        <v>409332</v>
      </c>
      <c r="F5" s="548">
        <v>46727</v>
      </c>
      <c r="G5" s="466">
        <v>73121</v>
      </c>
      <c r="H5" s="466"/>
      <c r="I5" s="466">
        <v>11683</v>
      </c>
      <c r="J5" s="467">
        <v>237128</v>
      </c>
      <c r="K5" s="466">
        <v>11682</v>
      </c>
    </row>
    <row r="6" spans="1:12" ht="15" x14ac:dyDescent="0.2">
      <c r="A6" s="463" t="s">
        <v>1760</v>
      </c>
      <c r="B6" s="470">
        <v>1130</v>
      </c>
      <c r="C6" s="466">
        <v>11683</v>
      </c>
      <c r="D6" s="466"/>
      <c r="E6" s="475"/>
      <c r="F6" s="475"/>
      <c r="G6" s="468"/>
      <c r="H6" s="468"/>
      <c r="I6" s="468"/>
      <c r="J6" s="468"/>
      <c r="K6" s="468"/>
    </row>
    <row r="7" spans="1:12" x14ac:dyDescent="0.2">
      <c r="A7" s="463" t="s">
        <v>112</v>
      </c>
      <c r="B7" s="549">
        <v>1140</v>
      </c>
      <c r="C7" s="466">
        <v>9345</v>
      </c>
      <c r="D7" s="466"/>
      <c r="E7" s="468"/>
      <c r="F7" s="467"/>
      <c r="G7" s="467"/>
      <c r="H7" s="467"/>
      <c r="I7" s="468"/>
      <c r="J7" s="468"/>
      <c r="K7" s="468"/>
    </row>
    <row r="8" spans="1:12" x14ac:dyDescent="0.2">
      <c r="A8" s="463" t="s">
        <v>432</v>
      </c>
      <c r="B8" s="470">
        <v>1150</v>
      </c>
      <c r="C8" s="475"/>
      <c r="D8" s="475"/>
      <c r="E8" s="477"/>
      <c r="F8" s="477"/>
      <c r="G8" s="481">
        <v>73121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626192</v>
      </c>
      <c r="D12" s="1729">
        <f t="shared" si="0"/>
        <v>116819</v>
      </c>
      <c r="E12" s="1729">
        <f t="shared" si="0"/>
        <v>409332</v>
      </c>
      <c r="F12" s="1729">
        <f t="shared" si="0"/>
        <v>46727</v>
      </c>
      <c r="G12" s="1729">
        <f t="shared" si="0"/>
        <v>146242</v>
      </c>
      <c r="H12" s="1729">
        <f t="shared" si="0"/>
        <v>0</v>
      </c>
      <c r="I12" s="1729">
        <f t="shared" si="0"/>
        <v>11683</v>
      </c>
      <c r="J12" s="1729">
        <f t="shared" si="0"/>
        <v>237128</v>
      </c>
      <c r="K12" s="1710">
        <f t="shared" si="0"/>
        <v>11682</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732134</v>
      </c>
      <c r="D16" s="466"/>
      <c r="E16" s="466"/>
      <c r="F16" s="466"/>
      <c r="G16" s="466">
        <v>81348</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732134</v>
      </c>
      <c r="D18" s="1732">
        <f t="shared" ref="D18:K18" si="1">SUM(D14:D17)</f>
        <v>0</v>
      </c>
      <c r="E18" s="1732">
        <f t="shared" si="1"/>
        <v>0</v>
      </c>
      <c r="F18" s="1732">
        <f t="shared" si="1"/>
        <v>0</v>
      </c>
      <c r="G18" s="1732">
        <f t="shared" si="1"/>
        <v>81348</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4724</v>
      </c>
      <c r="D65" s="466">
        <v>1388</v>
      </c>
      <c r="E65" s="466">
        <v>1083</v>
      </c>
      <c r="F65" s="467">
        <v>621</v>
      </c>
      <c r="G65" s="466">
        <v>1143</v>
      </c>
      <c r="H65" s="466"/>
      <c r="I65" s="466">
        <v>9387</v>
      </c>
      <c r="J65" s="467">
        <v>1644</v>
      </c>
      <c r="K65" s="466">
        <v>1047</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4724</v>
      </c>
      <c r="D67" s="1710">
        <f t="shared" ref="D67:K67" si="2">SUM(D65:D66)</f>
        <v>1388</v>
      </c>
      <c r="E67" s="1710">
        <f t="shared" si="2"/>
        <v>1083</v>
      </c>
      <c r="F67" s="1710">
        <f t="shared" si="2"/>
        <v>621</v>
      </c>
      <c r="G67" s="1710">
        <f t="shared" si="2"/>
        <v>1143</v>
      </c>
      <c r="H67" s="1710">
        <f t="shared" si="2"/>
        <v>0</v>
      </c>
      <c r="I67" s="1710">
        <f t="shared" si="2"/>
        <v>9387</v>
      </c>
      <c r="J67" s="1710">
        <f t="shared" si="2"/>
        <v>1644</v>
      </c>
      <c r="K67" s="1710">
        <f t="shared" si="2"/>
        <v>1047</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2031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2031</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1949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1949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32665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269128</v>
      </c>
      <c r="D107" s="466">
        <v>15872</v>
      </c>
      <c r="E107" s="466"/>
      <c r="F107" s="466">
        <v>28</v>
      </c>
      <c r="G107" s="466"/>
      <c r="H107" s="466"/>
      <c r="I107" s="466"/>
      <c r="J107" s="467"/>
      <c r="K107" s="466"/>
    </row>
    <row r="108" spans="1:12" ht="12.75" customHeight="1" thickBot="1" x14ac:dyDescent="0.25">
      <c r="A108" s="1730" t="s">
        <v>507</v>
      </c>
      <c r="B108" s="1734"/>
      <c r="C108" s="1729">
        <f>SUM(C95:C107)</f>
        <v>301793</v>
      </c>
      <c r="D108" s="1729">
        <f t="shared" ref="D108:K108" si="3">SUM(D95:D107)</f>
        <v>15872</v>
      </c>
      <c r="E108" s="1729">
        <f t="shared" si="3"/>
        <v>0</v>
      </c>
      <c r="F108" s="1729">
        <f t="shared" si="3"/>
        <v>28</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1668823</v>
      </c>
      <c r="D109" s="1737">
        <f t="shared" si="4"/>
        <v>134079</v>
      </c>
      <c r="E109" s="1737">
        <f t="shared" si="4"/>
        <v>410415</v>
      </c>
      <c r="F109" s="1737">
        <f t="shared" si="4"/>
        <v>47376</v>
      </c>
      <c r="G109" s="1737">
        <f t="shared" si="4"/>
        <v>228733</v>
      </c>
      <c r="H109" s="1737">
        <f t="shared" si="4"/>
        <v>0</v>
      </c>
      <c r="I109" s="1737">
        <f t="shared" si="4"/>
        <v>21070</v>
      </c>
      <c r="J109" s="1737">
        <f t="shared" si="4"/>
        <v>238772</v>
      </c>
      <c r="K109" s="1724">
        <f t="shared" si="4"/>
        <v>12729</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4194443</v>
      </c>
      <c r="D117" s="481">
        <v>500000</v>
      </c>
      <c r="E117" s="466"/>
      <c r="F117" s="481">
        <v>296498</v>
      </c>
      <c r="G117" s="481">
        <v>50000</v>
      </c>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4194443</v>
      </c>
      <c r="D121" s="1729">
        <f t="shared" si="5"/>
        <v>500000</v>
      </c>
      <c r="E121" s="1729">
        <f t="shared" si="5"/>
        <v>0</v>
      </c>
      <c r="F121" s="1729">
        <f t="shared" si="5"/>
        <v>296498</v>
      </c>
      <c r="G121" s="1729">
        <f t="shared" si="5"/>
        <v>50000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329337</v>
      </c>
      <c r="D124" s="561"/>
      <c r="E124" s="468"/>
      <c r="F124" s="548"/>
      <c r="G124" s="468"/>
      <c r="H124" s="468"/>
      <c r="I124" s="468"/>
      <c r="J124" s="468"/>
      <c r="K124" s="468"/>
    </row>
    <row r="125" spans="1:11" ht="12.75" customHeight="1" x14ac:dyDescent="0.2">
      <c r="A125" s="463" t="s">
        <v>1520</v>
      </c>
      <c r="B125" s="562">
        <v>3105</v>
      </c>
      <c r="C125" s="466">
        <v>54664</v>
      </c>
      <c r="D125" s="561"/>
      <c r="E125" s="468"/>
      <c r="F125" s="466"/>
      <c r="G125" s="468"/>
      <c r="H125" s="468"/>
      <c r="I125" s="468"/>
      <c r="J125" s="468"/>
      <c r="K125" s="468"/>
    </row>
    <row r="126" spans="1:11" ht="12.75" customHeight="1" x14ac:dyDescent="0.2">
      <c r="A126" s="463" t="s">
        <v>921</v>
      </c>
      <c r="B126" s="562">
        <v>3110</v>
      </c>
      <c r="C126" s="551">
        <v>83930</v>
      </c>
      <c r="D126" s="466"/>
      <c r="E126" s="468"/>
      <c r="F126" s="466"/>
      <c r="G126" s="468"/>
      <c r="H126" s="468"/>
      <c r="I126" s="468"/>
      <c r="J126" s="468"/>
      <c r="K126" s="468"/>
    </row>
    <row r="127" spans="1:11" ht="12.75" customHeight="1" x14ac:dyDescent="0.2">
      <c r="A127" s="463" t="s">
        <v>107</v>
      </c>
      <c r="B127" s="562">
        <v>3120</v>
      </c>
      <c r="C127" s="466">
        <v>2681</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10801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481413</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4575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4575</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8355</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5425</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241369</v>
      </c>
      <c r="G151" s="467"/>
      <c r="H151" s="468"/>
      <c r="I151" s="468"/>
      <c r="J151" s="468"/>
      <c r="K151" s="468"/>
    </row>
    <row r="152" spans="1:11" ht="12.75" customHeight="1" x14ac:dyDescent="0.2">
      <c r="A152" s="463" t="s">
        <v>1116</v>
      </c>
      <c r="B152" s="562">
        <v>3510</v>
      </c>
      <c r="C152" s="551"/>
      <c r="D152" s="466"/>
      <c r="E152" s="561"/>
      <c r="F152" s="466">
        <v>227141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468510</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875143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v>750</v>
      </c>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202649</v>
      </c>
      <c r="D171" s="580"/>
      <c r="E171" s="580"/>
      <c r="F171" s="580"/>
      <c r="G171" s="581"/>
      <c r="H171" s="582"/>
      <c r="I171" s="581"/>
      <c r="J171" s="581"/>
      <c r="K171" s="582"/>
    </row>
    <row r="172" spans="1:11" ht="12.75" customHeight="1" thickTop="1" thickBot="1" x14ac:dyDescent="0.25">
      <c r="A172" s="2162" t="s">
        <v>417</v>
      </c>
      <c r="B172" s="2163"/>
      <c r="C172" s="1744">
        <f t="shared" ref="C172:K172" si="6">SUM(C131,C140,C144,C145:C149,C154,C155:C170,C171)</f>
        <v>1578310</v>
      </c>
      <c r="D172" s="1744">
        <f t="shared" si="6"/>
        <v>0</v>
      </c>
      <c r="E172" s="1744">
        <f t="shared" si="6"/>
        <v>0</v>
      </c>
      <c r="F172" s="1744">
        <f t="shared" si="6"/>
        <v>468510</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5772753</v>
      </c>
      <c r="D173" s="1737">
        <f>SUM(D121,D172)</f>
        <v>500000</v>
      </c>
      <c r="E173" s="1737">
        <f>SUM(E121,E172)</f>
        <v>0</v>
      </c>
      <c r="F173" s="1737">
        <f t="shared" ref="F173:K173" si="7">SUM(F121,F172)</f>
        <v>765008</v>
      </c>
      <c r="G173" s="1737">
        <f t="shared" si="7"/>
        <v>50000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4" t="s">
        <v>1571</v>
      </c>
      <c r="B175" s="2165"/>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8" t="s">
        <v>1763</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1762</v>
      </c>
      <c r="B179" s="2173"/>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0" t="s">
        <v>817</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1902</v>
      </c>
      <c r="B185" s="2167"/>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292722</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186735</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v>18474</v>
      </c>
      <c r="D199" s="468"/>
      <c r="E199" s="561"/>
      <c r="F199" s="468"/>
      <c r="G199" s="586"/>
      <c r="H199" s="468"/>
      <c r="I199" s="468"/>
      <c r="J199" s="468"/>
      <c r="K199" s="468"/>
    </row>
    <row r="200" spans="1:11" ht="12.75" customHeight="1" x14ac:dyDescent="0.2">
      <c r="A200" s="463" t="s">
        <v>73</v>
      </c>
      <c r="B200" s="470">
        <v>4299</v>
      </c>
      <c r="C200" s="551">
        <v>25915</v>
      </c>
      <c r="D200" s="468"/>
      <c r="E200" s="561"/>
      <c r="F200" s="468"/>
      <c r="G200" s="585"/>
      <c r="H200" s="468"/>
      <c r="I200" s="468"/>
      <c r="J200" s="468"/>
      <c r="K200" s="468"/>
    </row>
    <row r="201" spans="1:11" ht="12.75" customHeight="1" thickBot="1" x14ac:dyDescent="0.25">
      <c r="A201" s="1730" t="s">
        <v>568</v>
      </c>
      <c r="B201" s="1731"/>
      <c r="C201" s="1710">
        <f>SUM(C193:C200)</f>
        <v>523846</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738730</v>
      </c>
      <c r="D203" s="466"/>
      <c r="E203" s="468"/>
      <c r="F203" s="466">
        <v>50000</v>
      </c>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738730</v>
      </c>
      <c r="D211" s="1729">
        <f>SUM(D203:D210)</f>
        <v>0</v>
      </c>
      <c r="E211" s="468"/>
      <c r="F211" s="1729">
        <f>SUM(F203:F210)</f>
        <v>50000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8400</v>
      </c>
      <c r="D213" s="466"/>
      <c r="E213" s="468"/>
      <c r="F213" s="466"/>
      <c r="G213" s="466"/>
      <c r="H213" s="468"/>
      <c r="I213" s="468"/>
      <c r="J213" s="468"/>
      <c r="K213" s="468"/>
    </row>
    <row r="214" spans="1:11" ht="12.75" customHeight="1" x14ac:dyDescent="0.2">
      <c r="A214" s="463" t="s">
        <v>1527</v>
      </c>
      <c r="B214" s="470">
        <v>4421</v>
      </c>
      <c r="C214" s="551">
        <v>82938</v>
      </c>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91338</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15069</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101372</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116441</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v>18171</v>
      </c>
      <c r="D227" s="466"/>
      <c r="E227" s="468"/>
      <c r="F227" s="468"/>
      <c r="G227" s="466"/>
      <c r="H227" s="468"/>
      <c r="I227" s="468"/>
      <c r="J227" s="468"/>
      <c r="K227" s="468"/>
    </row>
    <row r="228" spans="1:11" ht="12.75" customHeight="1" thickBot="1" x14ac:dyDescent="0.25">
      <c r="A228" s="1745" t="s">
        <v>1144</v>
      </c>
      <c r="B228" s="1746"/>
      <c r="C228" s="1729">
        <f>SUM(C226:C227)</f>
        <v>18171</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84175</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26302</v>
      </c>
      <c r="D270" s="576"/>
      <c r="E270" s="468"/>
      <c r="F270" s="576"/>
      <c r="G270" s="576"/>
      <c r="H270" s="468"/>
      <c r="I270" s="468"/>
      <c r="J270" s="468"/>
      <c r="K270" s="468"/>
    </row>
    <row r="271" spans="1:11" ht="12.75" customHeight="1" thickTop="1" thickBot="1" x14ac:dyDescent="0.25">
      <c r="A271" s="463" t="s">
        <v>394</v>
      </c>
      <c r="B271" s="470">
        <v>4992</v>
      </c>
      <c r="C271" s="575">
        <v>24301</v>
      </c>
      <c r="D271" s="576"/>
      <c r="E271" s="468"/>
      <c r="F271" s="576"/>
      <c r="G271" s="576"/>
      <c r="H271" s="468"/>
      <c r="I271" s="468"/>
      <c r="J271" s="468"/>
      <c r="K271" s="468"/>
    </row>
    <row r="272" spans="1:11" s="594" customFormat="1" ht="12.75" customHeight="1" thickTop="1" thickBot="1" x14ac:dyDescent="0.25">
      <c r="A272" s="563" t="s">
        <v>77</v>
      </c>
      <c r="B272" s="557">
        <v>4999</v>
      </c>
      <c r="C272" s="575">
        <v>36525</v>
      </c>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1659829</v>
      </c>
      <c r="D273" s="1737">
        <f t="shared" si="10"/>
        <v>0</v>
      </c>
      <c r="E273" s="1737">
        <f t="shared" si="10"/>
        <v>0</v>
      </c>
      <c r="F273" s="1737">
        <f t="shared" si="10"/>
        <v>50000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1659829</v>
      </c>
      <c r="D274" s="1737">
        <f>SUM(D178,D184,D273)</f>
        <v>0</v>
      </c>
      <c r="E274" s="1737">
        <f>SUM(E178,E273)</f>
        <v>0</v>
      </c>
      <c r="F274" s="1737">
        <f t="shared" ref="F274:K274" si="11">SUM(F178,F184,F273)</f>
        <v>50000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9101405</v>
      </c>
      <c r="D275" s="1737">
        <f t="shared" si="12"/>
        <v>634079</v>
      </c>
      <c r="E275" s="1737">
        <f t="shared" si="12"/>
        <v>410415</v>
      </c>
      <c r="F275" s="1737">
        <f t="shared" si="12"/>
        <v>862384</v>
      </c>
      <c r="G275" s="1737">
        <f t="shared" si="12"/>
        <v>278733</v>
      </c>
      <c r="H275" s="1737">
        <f t="shared" si="12"/>
        <v>0</v>
      </c>
      <c r="I275" s="1737">
        <f t="shared" si="12"/>
        <v>21070</v>
      </c>
      <c r="J275" s="1737">
        <f t="shared" si="12"/>
        <v>238772</v>
      </c>
      <c r="K275" s="1724">
        <f t="shared" si="12"/>
        <v>12729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orizontalCentered="1"/>
  <pageMargins left="0.75" right="0.75" top="1" bottom="0.5" header="0.5" footer="0.5"/>
  <pageSetup scale="60" firstPageNumber="9" orientation="landscape" r:id="rId1"/>
  <headerFooter>
    <oddHeader>&amp;C&amp;"Times New Roman,Regular"MADISON COMMUNITY UNIT SCHOOL DISTRICT NO. 12
STATEMENT OF RECEIPTS - CASH - REGULATORY BASIS
ALL FUNDS
FOR THE YEAR ENDED JUNE 30, 2018</oddHeader>
    <oddFooter>&amp;C&amp;"Times New Roman,Regular"See Notes to Financial Statements and Independent Auditor's Reports
&amp;P</oddFooter>
  </headerFooter>
  <rowBreaks count="4" manualBreakCount="4">
    <brk id="56" max="16383" man="1"/>
    <brk id="109" max="16383" man="1"/>
    <brk id="164" max="16383" man="1"/>
    <brk id="21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0" activePane="bottomLeft" state="frozen"/>
      <selection activeCell="AF38" sqref="AF38"/>
      <selection pane="bottomLeft" activeCell="E73" sqref="E7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4"/>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0" t="s">
        <v>314</v>
      </c>
      <c r="B3" s="2181"/>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2092237</v>
      </c>
      <c r="D5" s="466">
        <v>407488</v>
      </c>
      <c r="E5" s="466">
        <v>17290</v>
      </c>
      <c r="F5" s="466">
        <v>28102</v>
      </c>
      <c r="G5" s="466">
        <v>5996</v>
      </c>
      <c r="H5" s="466">
        <v>500</v>
      </c>
      <c r="I5" s="467"/>
      <c r="J5" s="467"/>
      <c r="K5" s="1693">
        <f>SUM(C5:J5)</f>
        <v>2551613</v>
      </c>
      <c r="L5" s="466">
        <v>2543970</v>
      </c>
    </row>
    <row r="6" spans="1:14" x14ac:dyDescent="0.2">
      <c r="A6" s="1526" t="s">
        <v>1507</v>
      </c>
      <c r="B6" s="615" t="s">
        <v>1505</v>
      </c>
      <c r="C6" s="477"/>
      <c r="D6" s="477"/>
      <c r="E6" s="466"/>
      <c r="F6" s="477"/>
      <c r="G6" s="477"/>
      <c r="H6" s="477"/>
      <c r="I6" s="477"/>
      <c r="J6" s="477"/>
      <c r="K6" s="1693">
        <f>SUM(C6,E6)</f>
        <v>0</v>
      </c>
      <c r="L6" s="466">
        <v>5100</v>
      </c>
    </row>
    <row r="7" spans="1:14" x14ac:dyDescent="0.2">
      <c r="A7" s="1526" t="s">
        <v>165</v>
      </c>
      <c r="B7" s="615" t="s">
        <v>1023</v>
      </c>
      <c r="C7" s="467">
        <v>165480</v>
      </c>
      <c r="D7" s="467">
        <v>25364</v>
      </c>
      <c r="E7" s="467">
        <v>1018</v>
      </c>
      <c r="F7" s="467">
        <v>15890</v>
      </c>
      <c r="G7" s="467">
        <v>1858</v>
      </c>
      <c r="H7" s="467"/>
      <c r="I7" s="467"/>
      <c r="J7" s="467"/>
      <c r="K7" s="1693">
        <f t="shared" ref="K7:K32" si="0">SUM(C7:J7)</f>
        <v>209610</v>
      </c>
      <c r="L7" s="466">
        <v>256350</v>
      </c>
    </row>
    <row r="8" spans="1:14" x14ac:dyDescent="0.2">
      <c r="A8" s="1526" t="s">
        <v>166</v>
      </c>
      <c r="B8" s="615">
        <v>1200</v>
      </c>
      <c r="C8" s="466">
        <v>917815</v>
      </c>
      <c r="D8" s="466">
        <v>174489</v>
      </c>
      <c r="E8" s="466"/>
      <c r="F8" s="466">
        <v>14153</v>
      </c>
      <c r="G8" s="466"/>
      <c r="H8" s="466"/>
      <c r="I8" s="467"/>
      <c r="J8" s="467"/>
      <c r="K8" s="1693">
        <f t="shared" si="0"/>
        <v>1106457</v>
      </c>
      <c r="L8" s="466">
        <v>1172400</v>
      </c>
    </row>
    <row r="9" spans="1:14" x14ac:dyDescent="0.2">
      <c r="A9" s="1526" t="s">
        <v>744</v>
      </c>
      <c r="B9" s="615" t="s">
        <v>1024</v>
      </c>
      <c r="C9" s="467">
        <v>25479</v>
      </c>
      <c r="D9" s="467">
        <v>6080</v>
      </c>
      <c r="E9" s="467"/>
      <c r="F9" s="467"/>
      <c r="G9" s="467"/>
      <c r="H9" s="467"/>
      <c r="I9" s="467"/>
      <c r="J9" s="467"/>
      <c r="K9" s="1693">
        <f t="shared" si="0"/>
        <v>31559</v>
      </c>
      <c r="L9" s="466">
        <v>46700</v>
      </c>
    </row>
    <row r="10" spans="1:14" x14ac:dyDescent="0.2">
      <c r="A10" s="1526" t="s">
        <v>745</v>
      </c>
      <c r="B10" s="615">
        <v>1250</v>
      </c>
      <c r="C10" s="466">
        <v>105668</v>
      </c>
      <c r="D10" s="466">
        <v>26825</v>
      </c>
      <c r="E10" s="466">
        <v>34735</v>
      </c>
      <c r="F10" s="466">
        <v>126615</v>
      </c>
      <c r="G10" s="466">
        <v>9800</v>
      </c>
      <c r="H10" s="466"/>
      <c r="I10" s="467"/>
      <c r="J10" s="467"/>
      <c r="K10" s="1693">
        <f t="shared" si="0"/>
        <v>303643</v>
      </c>
      <c r="L10" s="466">
        <v>431950</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46043</v>
      </c>
      <c r="D13" s="466">
        <v>11731</v>
      </c>
      <c r="E13" s="466">
        <v>624</v>
      </c>
      <c r="F13" s="466">
        <v>13002</v>
      </c>
      <c r="G13" s="466">
        <v>4661</v>
      </c>
      <c r="H13" s="466"/>
      <c r="I13" s="467"/>
      <c r="J13" s="467"/>
      <c r="K13" s="1693">
        <f t="shared" si="0"/>
        <v>76061</v>
      </c>
      <c r="L13" s="466">
        <v>77950</v>
      </c>
    </row>
    <row r="14" spans="1:14" x14ac:dyDescent="0.2">
      <c r="A14" s="1526" t="s">
        <v>1019</v>
      </c>
      <c r="B14" s="615">
        <v>1500</v>
      </c>
      <c r="C14" s="466">
        <v>138025</v>
      </c>
      <c r="D14" s="466">
        <v>6599</v>
      </c>
      <c r="E14" s="466">
        <v>9699</v>
      </c>
      <c r="F14" s="466">
        <v>63474</v>
      </c>
      <c r="G14" s="466">
        <v>10</v>
      </c>
      <c r="H14" s="466">
        <v>380</v>
      </c>
      <c r="I14" s="467"/>
      <c r="J14" s="467"/>
      <c r="K14" s="1693">
        <f t="shared" si="0"/>
        <v>218187</v>
      </c>
      <c r="L14" s="466">
        <v>130855</v>
      </c>
    </row>
    <row r="15" spans="1:14" x14ac:dyDescent="0.2">
      <c r="A15" s="1526" t="s">
        <v>1020</v>
      </c>
      <c r="B15" s="615">
        <v>1600</v>
      </c>
      <c r="C15" s="466"/>
      <c r="D15" s="466"/>
      <c r="E15" s="466"/>
      <c r="F15" s="466"/>
      <c r="G15" s="466"/>
      <c r="H15" s="466"/>
      <c r="I15" s="467"/>
      <c r="J15" s="467"/>
      <c r="K15" s="1693">
        <f t="shared" si="0"/>
        <v>0</v>
      </c>
      <c r="L15" s="466"/>
    </row>
    <row r="16" spans="1:14" x14ac:dyDescent="0.2">
      <c r="A16" s="1526" t="s">
        <v>1043</v>
      </c>
      <c r="B16" s="615" t="s">
        <v>443</v>
      </c>
      <c r="C16" s="466"/>
      <c r="D16" s="466"/>
      <c r="E16" s="466"/>
      <c r="F16" s="466"/>
      <c r="G16" s="466"/>
      <c r="H16" s="466"/>
      <c r="I16" s="467"/>
      <c r="J16" s="467"/>
      <c r="K16" s="1693">
        <f t="shared" si="0"/>
        <v>0</v>
      </c>
      <c r="L16" s="466"/>
    </row>
    <row r="17" spans="1:12" x14ac:dyDescent="0.2">
      <c r="A17" s="1526" t="s">
        <v>747</v>
      </c>
      <c r="B17" s="615" t="s">
        <v>164</v>
      </c>
      <c r="C17" s="467">
        <v>8106</v>
      </c>
      <c r="D17" s="467">
        <v>118</v>
      </c>
      <c r="E17" s="467"/>
      <c r="F17" s="467">
        <v>10</v>
      </c>
      <c r="G17" s="467"/>
      <c r="H17" s="467"/>
      <c r="I17" s="467"/>
      <c r="J17" s="467"/>
      <c r="K17" s="1693">
        <f t="shared" si="0"/>
        <v>8234</v>
      </c>
      <c r="L17" s="466">
        <v>1790</v>
      </c>
    </row>
    <row r="18" spans="1:12" x14ac:dyDescent="0.2">
      <c r="A18" s="1526" t="s">
        <v>1147</v>
      </c>
      <c r="B18" s="615">
        <v>1800</v>
      </c>
      <c r="C18" s="466"/>
      <c r="D18" s="466"/>
      <c r="E18" s="466"/>
      <c r="F18" s="466"/>
      <c r="G18" s="466"/>
      <c r="H18" s="466"/>
      <c r="I18" s="467"/>
      <c r="J18" s="467"/>
      <c r="K18" s="1693">
        <f t="shared" si="0"/>
        <v>0</v>
      </c>
      <c r="L18" s="466"/>
    </row>
    <row r="19" spans="1:12" x14ac:dyDescent="0.2">
      <c r="A19" s="1526" t="s">
        <v>136</v>
      </c>
      <c r="B19" s="615">
        <v>1900</v>
      </c>
      <c r="C19" s="466">
        <v>108897</v>
      </c>
      <c r="D19" s="466">
        <v>17435</v>
      </c>
      <c r="E19" s="466">
        <v>-77</v>
      </c>
      <c r="F19" s="466"/>
      <c r="G19" s="466"/>
      <c r="H19" s="466"/>
      <c r="I19" s="467"/>
      <c r="J19" s="467"/>
      <c r="K19" s="1693">
        <f t="shared" si="0"/>
        <v>126255</v>
      </c>
      <c r="L19" s="466">
        <v>156504</v>
      </c>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v>381207</v>
      </c>
      <c r="I22" s="617"/>
      <c r="J22" s="477"/>
      <c r="K22" s="1693">
        <f t="shared" si="0"/>
        <v>381207</v>
      </c>
      <c r="L22" s="471">
        <v>210000</v>
      </c>
    </row>
    <row r="23" spans="1:12" x14ac:dyDescent="0.2">
      <c r="A23" s="1527" t="s">
        <v>764</v>
      </c>
      <c r="B23" s="603" t="s">
        <v>751</v>
      </c>
      <c r="C23" s="477"/>
      <c r="D23" s="477"/>
      <c r="E23" s="477"/>
      <c r="F23" s="477"/>
      <c r="G23" s="477"/>
      <c r="H23" s="474"/>
      <c r="I23" s="617"/>
      <c r="J23" s="477"/>
      <c r="K23" s="1693">
        <f t="shared" si="0"/>
        <v>0</v>
      </c>
      <c r="L23" s="471">
        <v>2500</v>
      </c>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3607750</v>
      </c>
      <c r="D33" s="1692">
        <f t="shared" ref="D33:L33" si="1">SUM(D5:D32)</f>
        <v>676129</v>
      </c>
      <c r="E33" s="1692">
        <f t="shared" si="1"/>
        <v>63289</v>
      </c>
      <c r="F33" s="1692">
        <f t="shared" si="1"/>
        <v>261246</v>
      </c>
      <c r="G33" s="1692">
        <f t="shared" si="1"/>
        <v>22325</v>
      </c>
      <c r="H33" s="1692">
        <f t="shared" si="1"/>
        <v>382087</v>
      </c>
      <c r="I33" s="1692">
        <f t="shared" si="1"/>
        <v>0</v>
      </c>
      <c r="J33" s="1692">
        <f t="shared" si="1"/>
        <v>0</v>
      </c>
      <c r="K33" s="1692">
        <f t="shared" si="1"/>
        <v>5012826</v>
      </c>
      <c r="L33" s="1692">
        <f t="shared" si="1"/>
        <v>5036069</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46212</v>
      </c>
      <c r="D36" s="481">
        <v>10427</v>
      </c>
      <c r="E36" s="481"/>
      <c r="F36" s="481">
        <v>164</v>
      </c>
      <c r="G36" s="481"/>
      <c r="H36" s="481"/>
      <c r="I36" s="467"/>
      <c r="J36" s="467"/>
      <c r="K36" s="1693">
        <f t="shared" ref="K36:K41" si="2">SUM(C36:J36)</f>
        <v>56803</v>
      </c>
      <c r="L36" s="466">
        <v>54700</v>
      </c>
    </row>
    <row r="37" spans="1:14" x14ac:dyDescent="0.2">
      <c r="A37" s="1526" t="s">
        <v>1150</v>
      </c>
      <c r="B37" s="615">
        <v>2120</v>
      </c>
      <c r="C37" s="466">
        <v>43352</v>
      </c>
      <c r="D37" s="466">
        <v>7517</v>
      </c>
      <c r="E37" s="466">
        <v>109</v>
      </c>
      <c r="F37" s="466"/>
      <c r="G37" s="466"/>
      <c r="H37" s="466"/>
      <c r="I37" s="467"/>
      <c r="J37" s="467"/>
      <c r="K37" s="1693">
        <f t="shared" si="2"/>
        <v>50978</v>
      </c>
      <c r="L37" s="466">
        <v>93700</v>
      </c>
    </row>
    <row r="38" spans="1:14" x14ac:dyDescent="0.2">
      <c r="A38" s="1526" t="s">
        <v>207</v>
      </c>
      <c r="B38" s="615">
        <v>2130</v>
      </c>
      <c r="C38" s="466">
        <v>125024</v>
      </c>
      <c r="D38" s="466">
        <v>18190</v>
      </c>
      <c r="E38" s="466">
        <v>1525</v>
      </c>
      <c r="F38" s="466">
        <v>6674</v>
      </c>
      <c r="G38" s="466"/>
      <c r="H38" s="466"/>
      <c r="I38" s="467"/>
      <c r="J38" s="467"/>
      <c r="K38" s="1693">
        <f t="shared" si="2"/>
        <v>151413</v>
      </c>
      <c r="L38" s="466">
        <v>86860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1767</v>
      </c>
      <c r="B41" s="615">
        <v>2190</v>
      </c>
      <c r="C41" s="466"/>
      <c r="D41" s="466"/>
      <c r="E41" s="466"/>
      <c r="F41" s="466"/>
      <c r="G41" s="466"/>
      <c r="H41" s="466"/>
      <c r="I41" s="467"/>
      <c r="J41" s="467"/>
      <c r="K41" s="1693">
        <f t="shared" si="2"/>
        <v>0</v>
      </c>
      <c r="L41" s="466"/>
    </row>
    <row r="42" spans="1:14" ht="12.75" customHeight="1" thickBot="1" x14ac:dyDescent="0.25">
      <c r="A42" s="1690" t="s">
        <v>580</v>
      </c>
      <c r="B42" s="1691" t="s">
        <v>739</v>
      </c>
      <c r="C42" s="1692">
        <f>SUM(C36:C41)</f>
        <v>214588</v>
      </c>
      <c r="D42" s="1692">
        <f t="shared" ref="D42:L42" si="3">SUM(D36:D41)</f>
        <v>36134</v>
      </c>
      <c r="E42" s="1692">
        <f t="shared" si="3"/>
        <v>1634</v>
      </c>
      <c r="F42" s="1692">
        <f t="shared" si="3"/>
        <v>6838</v>
      </c>
      <c r="G42" s="1692">
        <f t="shared" si="3"/>
        <v>0</v>
      </c>
      <c r="H42" s="1692">
        <f t="shared" si="3"/>
        <v>0</v>
      </c>
      <c r="I42" s="1692">
        <f t="shared" si="3"/>
        <v>0</v>
      </c>
      <c r="J42" s="1692">
        <f t="shared" si="3"/>
        <v>0</v>
      </c>
      <c r="K42" s="1692">
        <f t="shared" si="3"/>
        <v>259194</v>
      </c>
      <c r="L42" s="1692">
        <f t="shared" si="3"/>
        <v>235260</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181187</v>
      </c>
      <c r="D44" s="481">
        <v>72677</v>
      </c>
      <c r="E44" s="481">
        <v>398677</v>
      </c>
      <c r="F44" s="481">
        <v>98094</v>
      </c>
      <c r="G44" s="481"/>
      <c r="H44" s="481"/>
      <c r="I44" s="467"/>
      <c r="J44" s="467"/>
      <c r="K44" s="1694">
        <f>SUM(C44:J44)</f>
        <v>750635</v>
      </c>
      <c r="L44" s="481">
        <v>287230</v>
      </c>
    </row>
    <row r="45" spans="1:14" x14ac:dyDescent="0.2">
      <c r="A45" s="1526" t="s">
        <v>868</v>
      </c>
      <c r="B45" s="615">
        <v>2220</v>
      </c>
      <c r="C45" s="466">
        <v>114749</v>
      </c>
      <c r="D45" s="466">
        <v>7270</v>
      </c>
      <c r="E45" s="466">
        <v>3955</v>
      </c>
      <c r="F45" s="466">
        <v>13055</v>
      </c>
      <c r="G45" s="466"/>
      <c r="H45" s="466"/>
      <c r="I45" s="467"/>
      <c r="J45" s="467"/>
      <c r="K45" s="1694">
        <f>SUM(C45:J45)</f>
        <v>139029</v>
      </c>
      <c r="L45" s="466">
        <v>90800</v>
      </c>
    </row>
    <row r="46" spans="1:14" x14ac:dyDescent="0.2">
      <c r="A46" s="1526" t="s">
        <v>869</v>
      </c>
      <c r="B46" s="615">
        <v>2230</v>
      </c>
      <c r="C46" s="466"/>
      <c r="D46" s="466"/>
      <c r="E46" s="466"/>
      <c r="F46" s="466"/>
      <c r="G46" s="466"/>
      <c r="H46" s="466"/>
      <c r="I46" s="467"/>
      <c r="J46" s="467"/>
      <c r="K46" s="1694">
        <f>SUM(C46:J46)</f>
        <v>0</v>
      </c>
      <c r="L46" s="466">
        <v>5500</v>
      </c>
    </row>
    <row r="47" spans="1:14" ht="12.75" customHeight="1" thickBot="1" x14ac:dyDescent="0.25">
      <c r="A47" s="1690" t="s">
        <v>581</v>
      </c>
      <c r="B47" s="1691" t="s">
        <v>32</v>
      </c>
      <c r="C47" s="1692">
        <f>SUM(C44:C46)</f>
        <v>295936</v>
      </c>
      <c r="D47" s="1692">
        <f t="shared" ref="D47:K47" si="4">SUM(D44:D46)</f>
        <v>79947</v>
      </c>
      <c r="E47" s="1692">
        <f t="shared" si="4"/>
        <v>402632</v>
      </c>
      <c r="F47" s="1692">
        <f t="shared" si="4"/>
        <v>111149</v>
      </c>
      <c r="G47" s="1692">
        <f t="shared" si="4"/>
        <v>0</v>
      </c>
      <c r="H47" s="1692">
        <f t="shared" si="4"/>
        <v>0</v>
      </c>
      <c r="I47" s="1692">
        <f t="shared" si="4"/>
        <v>0</v>
      </c>
      <c r="J47" s="1692">
        <f t="shared" si="4"/>
        <v>0</v>
      </c>
      <c r="K47" s="1692">
        <f t="shared" si="4"/>
        <v>889664</v>
      </c>
      <c r="L47" s="1692">
        <f>SUM(L44:L46)</f>
        <v>383530</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c r="E49" s="481">
        <v>166099</v>
      </c>
      <c r="F49" s="481">
        <v>2254</v>
      </c>
      <c r="G49" s="481"/>
      <c r="H49" s="481">
        <v>23683</v>
      </c>
      <c r="I49" s="467"/>
      <c r="J49" s="467"/>
      <c r="K49" s="1694">
        <f>SUM(C49:J49)</f>
        <v>192036</v>
      </c>
      <c r="L49" s="481">
        <v>100500</v>
      </c>
    </row>
    <row r="50" spans="1:14" x14ac:dyDescent="0.2">
      <c r="A50" s="1526" t="s">
        <v>871</v>
      </c>
      <c r="B50" s="615">
        <v>2320</v>
      </c>
      <c r="C50" s="466">
        <v>328409</v>
      </c>
      <c r="D50" s="466">
        <v>67499</v>
      </c>
      <c r="E50" s="466">
        <v>44916</v>
      </c>
      <c r="F50" s="466">
        <v>84118</v>
      </c>
      <c r="G50" s="466"/>
      <c r="H50" s="466">
        <v>1823</v>
      </c>
      <c r="I50" s="467"/>
      <c r="J50" s="467"/>
      <c r="K50" s="1694">
        <f>SUM(C50:J50)</f>
        <v>526765</v>
      </c>
      <c r="L50" s="466">
        <v>292150</v>
      </c>
    </row>
    <row r="51" spans="1:14" x14ac:dyDescent="0.2">
      <c r="A51" s="1526" t="s">
        <v>44</v>
      </c>
      <c r="B51" s="615">
        <v>2330</v>
      </c>
      <c r="C51" s="466">
        <v>74033</v>
      </c>
      <c r="D51" s="466">
        <v>16934</v>
      </c>
      <c r="E51" s="466">
        <v>106107</v>
      </c>
      <c r="F51" s="466">
        <v>644</v>
      </c>
      <c r="G51" s="466"/>
      <c r="H51" s="466"/>
      <c r="I51" s="467"/>
      <c r="J51" s="467"/>
      <c r="K51" s="1694">
        <f>SUM(C51:J51)</f>
        <v>197718</v>
      </c>
      <c r="L51" s="466">
        <v>126400</v>
      </c>
    </row>
    <row r="52" spans="1:14" ht="22.5" x14ac:dyDescent="0.2">
      <c r="A52" s="1527" t="s">
        <v>315</v>
      </c>
      <c r="B52" s="628" t="s">
        <v>383</v>
      </c>
      <c r="C52" s="474"/>
      <c r="D52" s="474"/>
      <c r="E52" s="474">
        <v>1213</v>
      </c>
      <c r="F52" s="474"/>
      <c r="G52" s="474"/>
      <c r="H52" s="474"/>
      <c r="I52" s="474"/>
      <c r="J52" s="474"/>
      <c r="K52" s="1694">
        <f>SUM(C52:J52)</f>
        <v>1213</v>
      </c>
      <c r="L52" s="474">
        <v>3000</v>
      </c>
    </row>
    <row r="53" spans="1:14" ht="12.75" customHeight="1" thickBot="1" x14ac:dyDescent="0.25">
      <c r="A53" s="1690" t="s">
        <v>740</v>
      </c>
      <c r="B53" s="1691" t="s">
        <v>33</v>
      </c>
      <c r="C53" s="1692">
        <f>SUM(C49:C52)</f>
        <v>402442</v>
      </c>
      <c r="D53" s="1692">
        <f t="shared" ref="D53:L53" si="5">SUM(D49:D52)</f>
        <v>84433</v>
      </c>
      <c r="E53" s="1692">
        <f t="shared" si="5"/>
        <v>318335</v>
      </c>
      <c r="F53" s="1692">
        <f t="shared" si="5"/>
        <v>87016</v>
      </c>
      <c r="G53" s="1692">
        <f t="shared" si="5"/>
        <v>0</v>
      </c>
      <c r="H53" s="1692">
        <f t="shared" si="5"/>
        <v>25506</v>
      </c>
      <c r="I53" s="1692">
        <f t="shared" si="5"/>
        <v>0</v>
      </c>
      <c r="J53" s="1692">
        <f t="shared" si="5"/>
        <v>0</v>
      </c>
      <c r="K53" s="1692">
        <f t="shared" si="5"/>
        <v>917732</v>
      </c>
      <c r="L53" s="1692">
        <f t="shared" si="5"/>
        <v>522050</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572611</v>
      </c>
      <c r="D55" s="481">
        <v>116727</v>
      </c>
      <c r="E55" s="481">
        <v>2305</v>
      </c>
      <c r="F55" s="481">
        <v>889</v>
      </c>
      <c r="G55" s="481"/>
      <c r="H55" s="481">
        <v>770</v>
      </c>
      <c r="I55" s="467"/>
      <c r="J55" s="467"/>
      <c r="K55" s="1694">
        <f>SUM(C55:J55)</f>
        <v>693302</v>
      </c>
      <c r="L55" s="481">
        <v>754540</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572611</v>
      </c>
      <c r="D57" s="1696">
        <f t="shared" ref="D57:K57" si="6">SUM(D55:D56)</f>
        <v>116727</v>
      </c>
      <c r="E57" s="1696">
        <f t="shared" si="6"/>
        <v>2305</v>
      </c>
      <c r="F57" s="1696">
        <f t="shared" si="6"/>
        <v>889</v>
      </c>
      <c r="G57" s="1696">
        <f t="shared" si="6"/>
        <v>0</v>
      </c>
      <c r="H57" s="1696">
        <f t="shared" si="6"/>
        <v>770</v>
      </c>
      <c r="I57" s="1696">
        <f t="shared" si="6"/>
        <v>0</v>
      </c>
      <c r="J57" s="1696">
        <f t="shared" si="6"/>
        <v>0</v>
      </c>
      <c r="K57" s="1696">
        <f t="shared" si="6"/>
        <v>693302</v>
      </c>
      <c r="L57" s="1692">
        <f>SUM(L55:L56)</f>
        <v>754540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v>41750</v>
      </c>
      <c r="M59" s="610"/>
      <c r="N59" s="610"/>
    </row>
    <row r="60" spans="1:14" s="343" customFormat="1" x14ac:dyDescent="0.2">
      <c r="A60" s="1526" t="s">
        <v>482</v>
      </c>
      <c r="B60" s="615">
        <v>2520</v>
      </c>
      <c r="C60" s="466">
        <v>103067</v>
      </c>
      <c r="D60" s="466">
        <v>16697</v>
      </c>
      <c r="E60" s="466">
        <v>39518</v>
      </c>
      <c r="F60" s="466">
        <v>11670</v>
      </c>
      <c r="G60" s="466"/>
      <c r="H60" s="466"/>
      <c r="I60" s="467"/>
      <c r="J60" s="467"/>
      <c r="K60" s="1694">
        <f t="shared" si="7"/>
        <v>170952</v>
      </c>
      <c r="L60" s="466">
        <v>104800</v>
      </c>
      <c r="M60" s="610"/>
      <c r="N60" s="610"/>
    </row>
    <row r="61" spans="1:14" s="343" customFormat="1" x14ac:dyDescent="0.2">
      <c r="A61" s="1526" t="s">
        <v>206</v>
      </c>
      <c r="B61" s="615">
        <v>2540</v>
      </c>
      <c r="C61" s="466">
        <v>456346</v>
      </c>
      <c r="D61" s="466">
        <v>51973</v>
      </c>
      <c r="E61" s="466">
        <v>8000</v>
      </c>
      <c r="F61" s="466">
        <v>6271</v>
      </c>
      <c r="G61" s="466"/>
      <c r="H61" s="466"/>
      <c r="I61" s="467"/>
      <c r="J61" s="467"/>
      <c r="K61" s="1694">
        <f t="shared" si="7"/>
        <v>522590</v>
      </c>
      <c r="L61" s="466">
        <v>522200</v>
      </c>
      <c r="M61" s="610"/>
      <c r="N61" s="610"/>
    </row>
    <row r="62" spans="1:14" s="343" customFormat="1" x14ac:dyDescent="0.2">
      <c r="A62" s="1526" t="s">
        <v>1009</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185277</v>
      </c>
      <c r="D63" s="466">
        <v>30447</v>
      </c>
      <c r="E63" s="466">
        <v>10232</v>
      </c>
      <c r="F63" s="466">
        <v>325858</v>
      </c>
      <c r="G63" s="466"/>
      <c r="H63" s="466"/>
      <c r="I63" s="467"/>
      <c r="J63" s="467"/>
      <c r="K63" s="1694">
        <f t="shared" si="7"/>
        <v>551814</v>
      </c>
      <c r="L63" s="466">
        <v>484680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744690</v>
      </c>
      <c r="D65" s="1692">
        <f t="shared" ref="D65:L65" si="8">SUM(D59:D64)</f>
        <v>99117</v>
      </c>
      <c r="E65" s="1692">
        <f t="shared" si="8"/>
        <v>57750</v>
      </c>
      <c r="F65" s="1692">
        <f t="shared" si="8"/>
        <v>343799</v>
      </c>
      <c r="G65" s="1692">
        <f t="shared" si="8"/>
        <v>0</v>
      </c>
      <c r="H65" s="1692">
        <f t="shared" si="8"/>
        <v>0</v>
      </c>
      <c r="I65" s="1692">
        <f t="shared" si="8"/>
        <v>0</v>
      </c>
      <c r="J65" s="1692">
        <f t="shared" si="8"/>
        <v>0</v>
      </c>
      <c r="K65" s="1692">
        <f t="shared" si="8"/>
        <v>1245356</v>
      </c>
      <c r="L65" s="1692">
        <f t="shared" si="8"/>
        <v>1153430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v>1700</v>
      </c>
      <c r="F68" s="466"/>
      <c r="G68" s="466"/>
      <c r="H68" s="466"/>
      <c r="I68" s="467"/>
      <c r="J68" s="467"/>
      <c r="K68" s="1694">
        <f>SUM(C68:J68)</f>
        <v>1700</v>
      </c>
      <c r="L68" s="466">
        <v>10000</v>
      </c>
      <c r="M68" s="610"/>
      <c r="N68" s="610"/>
    </row>
    <row r="69" spans="1:14" s="343" customFormat="1" x14ac:dyDescent="0.2">
      <c r="A69" s="1526" t="s">
        <v>1120</v>
      </c>
      <c r="B69" s="615">
        <v>2630</v>
      </c>
      <c r="C69" s="466"/>
      <c r="D69" s="466"/>
      <c r="E69" s="466"/>
      <c r="F69" s="466"/>
      <c r="G69" s="466"/>
      <c r="H69" s="466"/>
      <c r="I69" s="467"/>
      <c r="J69" s="467"/>
      <c r="K69" s="1694">
        <f>SUM(C69:J69)</f>
        <v>0</v>
      </c>
      <c r="L69" s="466">
        <v>400</v>
      </c>
      <c r="M69" s="610"/>
      <c r="N69" s="610"/>
    </row>
    <row r="70" spans="1:14" s="343" customFormat="1" x14ac:dyDescent="0.2">
      <c r="A70" s="1526" t="s">
        <v>422</v>
      </c>
      <c r="B70" s="615">
        <v>2640</v>
      </c>
      <c r="C70" s="466"/>
      <c r="D70" s="466"/>
      <c r="E70" s="466">
        <v>5267</v>
      </c>
      <c r="F70" s="466"/>
      <c r="G70" s="466"/>
      <c r="H70" s="466"/>
      <c r="I70" s="467"/>
      <c r="J70" s="467"/>
      <c r="K70" s="1694">
        <f>SUM(C70:J70)</f>
        <v>5267</v>
      </c>
      <c r="L70" s="466">
        <v>6030</v>
      </c>
      <c r="M70" s="610"/>
      <c r="N70" s="610"/>
    </row>
    <row r="71" spans="1:14" s="343" customFormat="1" x14ac:dyDescent="0.2">
      <c r="A71" s="1526" t="s">
        <v>423</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6967</v>
      </c>
      <c r="F72" s="1692">
        <f t="shared" si="9"/>
        <v>0</v>
      </c>
      <c r="G72" s="1692">
        <f t="shared" si="9"/>
        <v>0</v>
      </c>
      <c r="H72" s="1692">
        <f t="shared" si="9"/>
        <v>0</v>
      </c>
      <c r="I72" s="1692">
        <f t="shared" si="9"/>
        <v>0</v>
      </c>
      <c r="J72" s="1692">
        <f t="shared" si="9"/>
        <v>0</v>
      </c>
      <c r="K72" s="1692">
        <f t="shared" si="9"/>
        <v>6967</v>
      </c>
      <c r="L72" s="1692">
        <f>SUM(L67:L71)</f>
        <v>16430</v>
      </c>
      <c r="M72" s="610"/>
      <c r="N72" s="610"/>
    </row>
    <row r="73" spans="1:14" s="343" customFormat="1" ht="14.25" thickTop="1" thickBot="1" x14ac:dyDescent="0.25">
      <c r="A73" s="1532" t="s">
        <v>1036</v>
      </c>
      <c r="B73" s="633" t="s">
        <v>594</v>
      </c>
      <c r="C73" s="573">
        <v>17828</v>
      </c>
      <c r="D73" s="573">
        <v>11885</v>
      </c>
      <c r="E73" s="573"/>
      <c r="F73" s="573">
        <v>68</v>
      </c>
      <c r="G73" s="573"/>
      <c r="H73" s="573"/>
      <c r="I73" s="531"/>
      <c r="J73" s="531"/>
      <c r="K73" s="1692">
        <f>SUM(C73:J73)</f>
        <v>29781</v>
      </c>
      <c r="L73" s="576">
        <v>31000</v>
      </c>
      <c r="M73" s="610"/>
      <c r="N73" s="610"/>
    </row>
    <row r="74" spans="1:14" ht="12.75" customHeight="1" thickTop="1" thickBot="1" x14ac:dyDescent="0.25">
      <c r="A74" s="1690" t="s">
        <v>864</v>
      </c>
      <c r="B74" s="1698">
        <v>2000</v>
      </c>
      <c r="C74" s="1699">
        <f>SUM(C42,C47,C53,C57,C65,C72,C73)</f>
        <v>2248095</v>
      </c>
      <c r="D74" s="1699">
        <f t="shared" ref="D74:K74" si="10">SUM(D42,D47,D53,D57,D65,D72,D73)</f>
        <v>428243</v>
      </c>
      <c r="E74" s="1699">
        <f t="shared" si="10"/>
        <v>789623</v>
      </c>
      <c r="F74" s="1699">
        <f t="shared" si="10"/>
        <v>549759</v>
      </c>
      <c r="G74" s="1699">
        <f t="shared" si="10"/>
        <v>0</v>
      </c>
      <c r="H74" s="1699">
        <f t="shared" si="10"/>
        <v>26276</v>
      </c>
      <c r="I74" s="1699">
        <f t="shared" si="10"/>
        <v>0</v>
      </c>
      <c r="J74" s="1699">
        <f t="shared" si="10"/>
        <v>0</v>
      </c>
      <c r="K74" s="1699">
        <f t="shared" si="10"/>
        <v>4041996</v>
      </c>
      <c r="L74" s="1699">
        <f>SUM(L42,L47,L53,L57,L65,L72,L73)</f>
        <v>3096240</v>
      </c>
    </row>
    <row r="75" spans="1:14" s="259" customFormat="1" ht="15.75" customHeight="1" thickTop="1" thickBot="1" x14ac:dyDescent="0.25">
      <c r="A75" s="1632" t="s">
        <v>49</v>
      </c>
      <c r="B75" s="1633" t="s">
        <v>595</v>
      </c>
      <c r="C75" s="573">
        <v>189872</v>
      </c>
      <c r="D75" s="573">
        <v>26632</v>
      </c>
      <c r="E75" s="573">
        <v>32347</v>
      </c>
      <c r="F75" s="573">
        <v>25736</v>
      </c>
      <c r="G75" s="573"/>
      <c r="H75" s="573"/>
      <c r="I75" s="531"/>
      <c r="J75" s="531"/>
      <c r="K75" s="1692">
        <f>SUM(C75:J75)</f>
        <v>274587</v>
      </c>
      <c r="L75" s="576">
        <v>26800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c r="F79" s="617"/>
      <c r="G79" s="617"/>
      <c r="H79" s="466"/>
      <c r="I79" s="477"/>
      <c r="J79" s="477"/>
      <c r="K79" s="1693">
        <f t="shared" si="11"/>
        <v>0</v>
      </c>
      <c r="L79" s="466"/>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v>18750</v>
      </c>
    </row>
    <row r="84" spans="1:12" ht="13.5" thickBot="1" x14ac:dyDescent="0.25">
      <c r="A84" s="1690" t="s">
        <v>1564</v>
      </c>
      <c r="B84" s="1700">
        <v>4100</v>
      </c>
      <c r="C84" s="617"/>
      <c r="D84" s="617"/>
      <c r="E84" s="1692">
        <f>SUM(E78:E83)</f>
        <v>0</v>
      </c>
      <c r="F84" s="617"/>
      <c r="G84" s="617"/>
      <c r="H84" s="1692">
        <f>SUM(H78:H83)</f>
        <v>0</v>
      </c>
      <c r="I84" s="477"/>
      <c r="J84" s="477"/>
      <c r="K84" s="1692">
        <f>SUM(K78:K83)</f>
        <v>0</v>
      </c>
      <c r="L84" s="1692">
        <f>SUM(L78:L83)</f>
        <v>18750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c r="I86" s="477"/>
      <c r="J86" s="477"/>
      <c r="K86" s="1699">
        <f t="shared" ref="K86:K98" si="12">H86</f>
        <v>0</v>
      </c>
      <c r="L86" s="530">
        <v>140000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v>20795</v>
      </c>
      <c r="I91" s="477"/>
      <c r="J91" s="477"/>
      <c r="K91" s="1699">
        <f t="shared" si="12"/>
        <v>20795</v>
      </c>
      <c r="L91" s="530">
        <v>12000</v>
      </c>
    </row>
    <row r="92" spans="1:12" ht="14.25" thickTop="1" thickBot="1" x14ac:dyDescent="0.25">
      <c r="A92" s="1702" t="s">
        <v>1640</v>
      </c>
      <c r="B92" s="1700">
        <v>4200</v>
      </c>
      <c r="C92" s="617"/>
      <c r="D92" s="617"/>
      <c r="E92" s="639"/>
      <c r="F92" s="617"/>
      <c r="G92" s="617"/>
      <c r="H92" s="1692">
        <f>SUM(H85:H91)</f>
        <v>20795</v>
      </c>
      <c r="I92" s="477"/>
      <c r="J92" s="477"/>
      <c r="K92" s="1699">
        <f t="shared" si="12"/>
        <v>20795</v>
      </c>
      <c r="L92" s="1692">
        <f>SUM(L85:L91)</f>
        <v>152000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v>23707</v>
      </c>
      <c r="I99" s="477"/>
      <c r="J99" s="477"/>
      <c r="K99" s="1699">
        <f>SUM(E99,H99)</f>
        <v>23707</v>
      </c>
      <c r="L99" s="530">
        <v>50000</v>
      </c>
    </row>
    <row r="100" spans="1:14" ht="14.25" thickTop="1" thickBot="1" x14ac:dyDescent="0.25">
      <c r="A100" s="1702" t="s">
        <v>1565</v>
      </c>
      <c r="B100" s="1703">
        <v>4300</v>
      </c>
      <c r="C100" s="617"/>
      <c r="D100" s="617"/>
      <c r="E100" s="1699">
        <f>SUM(E93:E99)</f>
        <v>0</v>
      </c>
      <c r="F100" s="617"/>
      <c r="G100" s="617"/>
      <c r="H100" s="1699">
        <f>SUM(H93:H99)</f>
        <v>23707</v>
      </c>
      <c r="I100" s="477"/>
      <c r="J100" s="477"/>
      <c r="K100" s="1699">
        <f>SUM(K93:K99)</f>
        <v>23707</v>
      </c>
      <c r="L100" s="1699">
        <f>SUM(L93:L99)</f>
        <v>50000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44502</v>
      </c>
      <c r="I102" s="477"/>
      <c r="J102" s="477"/>
      <c r="K102" s="1699">
        <f>SUM(K84,K92,K100,K101)</f>
        <v>44502</v>
      </c>
      <c r="L102" s="1699">
        <f>SUM(L84,L92,L100,L101)</f>
        <v>220750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100000</v>
      </c>
      <c r="M113" s="614"/>
      <c r="N113" s="614"/>
    </row>
    <row r="114" spans="1:14" ht="12.75" customHeight="1" thickTop="1" thickBot="1" x14ac:dyDescent="0.25">
      <c r="A114" s="1690" t="s">
        <v>50</v>
      </c>
      <c r="B114" s="1704"/>
      <c r="C114" s="1692">
        <f>SUM(C33,C74,C75,C102,C112,C113)</f>
        <v>6045717</v>
      </c>
      <c r="D114" s="1692">
        <f t="shared" ref="D114:K114" si="13">SUM(D33,D74,D75,D102,D112,D113)</f>
        <v>1131004</v>
      </c>
      <c r="E114" s="1692">
        <f t="shared" si="13"/>
        <v>885259</v>
      </c>
      <c r="F114" s="1692">
        <f t="shared" si="13"/>
        <v>836741</v>
      </c>
      <c r="G114" s="1692">
        <f t="shared" si="13"/>
        <v>22325</v>
      </c>
      <c r="H114" s="1692">
        <f>SUM(H33,H74,H75,H102,H112,H113)</f>
        <v>452865</v>
      </c>
      <c r="I114" s="1692">
        <f t="shared" si="13"/>
        <v>0</v>
      </c>
      <c r="J114" s="1692">
        <f t="shared" si="13"/>
        <v>0</v>
      </c>
      <c r="K114" s="1692">
        <f t="shared" si="13"/>
        <v>9373911</v>
      </c>
      <c r="L114" s="1692">
        <f>SUM(L33,L74,L75,L102,L112,L113)</f>
        <v>8479859</v>
      </c>
    </row>
    <row r="115" spans="1:14" ht="13.5" thickTop="1" x14ac:dyDescent="0.2">
      <c r="A115" s="2199" t="s">
        <v>1052</v>
      </c>
      <c r="B115" s="2200"/>
      <c r="C115" s="619"/>
      <c r="D115" s="619"/>
      <c r="E115" s="619"/>
      <c r="F115" s="619"/>
      <c r="G115" s="619"/>
      <c r="H115" s="619"/>
      <c r="I115" s="619"/>
      <c r="J115" s="619"/>
      <c r="K115" s="1706">
        <f>'Revenues 9-14'!C275-'Expenditures 15-22'!K114</f>
        <v>-272506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313</v>
      </c>
      <c r="B117" s="2178"/>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v>5286</v>
      </c>
      <c r="G123" s="466">
        <v>2710021</v>
      </c>
      <c r="H123" s="466"/>
      <c r="I123" s="467"/>
      <c r="J123" s="467"/>
      <c r="K123" s="1692">
        <f>SUM(C123:J123)</f>
        <v>2715307</v>
      </c>
      <c r="L123" s="466"/>
    </row>
    <row r="124" spans="1:14" ht="14.25" thickTop="1" thickBot="1" x14ac:dyDescent="0.25">
      <c r="A124" s="1526" t="s">
        <v>206</v>
      </c>
      <c r="B124" s="615">
        <v>2540</v>
      </c>
      <c r="C124" s="466"/>
      <c r="D124" s="466"/>
      <c r="E124" s="466">
        <v>208836</v>
      </c>
      <c r="F124" s="466">
        <v>167295</v>
      </c>
      <c r="G124" s="466">
        <v>115</v>
      </c>
      <c r="H124" s="466"/>
      <c r="I124" s="467"/>
      <c r="J124" s="467"/>
      <c r="K124" s="1692">
        <f>SUM(C124:J124)</f>
        <v>376246</v>
      </c>
      <c r="L124" s="466">
        <v>602832</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0</v>
      </c>
      <c r="D127" s="1692">
        <f t="shared" ref="D127:L127" si="14">SUM(D122:D126)</f>
        <v>0</v>
      </c>
      <c r="E127" s="1692">
        <f t="shared" si="14"/>
        <v>208836</v>
      </c>
      <c r="F127" s="1692">
        <f t="shared" si="14"/>
        <v>172581</v>
      </c>
      <c r="G127" s="1692">
        <f t="shared" si="14"/>
        <v>2710136</v>
      </c>
      <c r="H127" s="1692">
        <f t="shared" si="14"/>
        <v>0</v>
      </c>
      <c r="I127" s="1692">
        <f t="shared" si="14"/>
        <v>0</v>
      </c>
      <c r="J127" s="1692">
        <f t="shared" si="14"/>
        <v>0</v>
      </c>
      <c r="K127" s="1692">
        <f t="shared" si="14"/>
        <v>3091553</v>
      </c>
      <c r="L127" s="1692">
        <f t="shared" si="14"/>
        <v>602832</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0</v>
      </c>
      <c r="D129" s="1699">
        <f t="shared" ref="D129:L129" si="15">SUM(D120,D127,D128)</f>
        <v>0</v>
      </c>
      <c r="E129" s="1699">
        <f t="shared" si="15"/>
        <v>208836</v>
      </c>
      <c r="F129" s="1699">
        <f t="shared" si="15"/>
        <v>172581</v>
      </c>
      <c r="G129" s="1699">
        <f t="shared" si="15"/>
        <v>2710136</v>
      </c>
      <c r="H129" s="1699">
        <f t="shared" si="15"/>
        <v>0</v>
      </c>
      <c r="I129" s="1699">
        <f t="shared" si="15"/>
        <v>0</v>
      </c>
      <c r="J129" s="1699">
        <f t="shared" si="15"/>
        <v>0</v>
      </c>
      <c r="K129" s="1699">
        <f t="shared" si="15"/>
        <v>3091553</v>
      </c>
      <c r="L129" s="1699">
        <f t="shared" si="15"/>
        <v>602832</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50000</v>
      </c>
    </row>
    <row r="151" spans="1:14" ht="12.75" customHeight="1" thickTop="1" thickBot="1" x14ac:dyDescent="0.25">
      <c r="A151" s="2189" t="s">
        <v>640</v>
      </c>
      <c r="B151" s="2171"/>
      <c r="C151" s="1692">
        <f>SUM(C129,C130,C139,C149,C150)</f>
        <v>0</v>
      </c>
      <c r="D151" s="1692">
        <f t="shared" ref="D151:K151" si="16">SUM(D129,D130,D139,D149,D150)</f>
        <v>0</v>
      </c>
      <c r="E151" s="1692">
        <f t="shared" si="16"/>
        <v>208836</v>
      </c>
      <c r="F151" s="1692">
        <f t="shared" si="16"/>
        <v>172581</v>
      </c>
      <c r="G151" s="1692">
        <f t="shared" si="16"/>
        <v>2710136</v>
      </c>
      <c r="H151" s="1692">
        <f t="shared" si="16"/>
        <v>0</v>
      </c>
      <c r="I151" s="1692">
        <f t="shared" si="16"/>
        <v>0</v>
      </c>
      <c r="J151" s="1692">
        <f t="shared" si="16"/>
        <v>0</v>
      </c>
      <c r="K151" s="1692">
        <f t="shared" si="16"/>
        <v>3091553</v>
      </c>
      <c r="L151" s="1692">
        <f>SUM(L129,L130,L139,L149,L150)</f>
        <v>652832</v>
      </c>
    </row>
    <row r="152" spans="1:14" ht="12.75" customHeight="1" thickTop="1" x14ac:dyDescent="0.2">
      <c r="A152" s="2192" t="s">
        <v>1239</v>
      </c>
      <c r="B152" s="2193"/>
      <c r="C152" s="619"/>
      <c r="D152" s="619"/>
      <c r="E152" s="619"/>
      <c r="F152" s="619"/>
      <c r="G152" s="619"/>
      <c r="H152" s="619"/>
      <c r="I152" s="619"/>
      <c r="J152" s="617"/>
      <c r="K152" s="1706">
        <f>'Revenues 9-14'!D275-'Expenditures 15-22'!K151</f>
        <v>-2457474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641</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233993</v>
      </c>
      <c r="I169" s="617"/>
      <c r="J169" s="617"/>
      <c r="K169" s="1693">
        <f>SUM(C169:H169)</f>
        <v>233993</v>
      </c>
      <c r="L169" s="657"/>
    </row>
    <row r="170" spans="1:14" ht="33.75" customHeight="1" x14ac:dyDescent="0.2">
      <c r="A170" s="670" t="s">
        <v>1768</v>
      </c>
      <c r="B170" s="672" t="s">
        <v>31</v>
      </c>
      <c r="C170" s="617"/>
      <c r="D170" s="617"/>
      <c r="E170" s="617"/>
      <c r="F170" s="617"/>
      <c r="G170" s="617"/>
      <c r="H170" s="569">
        <v>3579704</v>
      </c>
      <c r="I170" s="617"/>
      <c r="J170" s="617"/>
      <c r="K170" s="1693">
        <f>SUM(C170:J170)</f>
        <v>3579704</v>
      </c>
      <c r="L170" s="569">
        <v>450000</v>
      </c>
    </row>
    <row r="171" spans="1:14" ht="15.75" customHeight="1" x14ac:dyDescent="0.2">
      <c r="A171" s="622" t="s">
        <v>789</v>
      </c>
      <c r="B171" s="673" t="s">
        <v>86</v>
      </c>
      <c r="C171" s="617"/>
      <c r="D171" s="617"/>
      <c r="E171" s="466"/>
      <c r="F171" s="617"/>
      <c r="G171" s="617"/>
      <c r="H171" s="569">
        <v>263415</v>
      </c>
      <c r="I171" s="477"/>
      <c r="J171" s="617"/>
      <c r="K171" s="1693">
        <f>SUM(C171:J171)</f>
        <v>263415</v>
      </c>
      <c r="L171" s="569"/>
    </row>
    <row r="172" spans="1:14" ht="12.75" customHeight="1" thickBot="1" x14ac:dyDescent="0.25">
      <c r="A172" s="1690" t="s">
        <v>658</v>
      </c>
      <c r="B172" s="1691" t="s">
        <v>512</v>
      </c>
      <c r="C172" s="617"/>
      <c r="D172" s="617"/>
      <c r="E172" s="1699">
        <f>SUM(E168,E169,E170,E171)</f>
        <v>0</v>
      </c>
      <c r="F172" s="617"/>
      <c r="G172" s="617"/>
      <c r="H172" s="1699">
        <f>SUM(H168,H169,H170,H171)</f>
        <v>4077112</v>
      </c>
      <c r="I172" s="639"/>
      <c r="J172" s="617"/>
      <c r="K172" s="1699">
        <f>SUM(K168,K169,K170,K171)</f>
        <v>4077112</v>
      </c>
      <c r="L172" s="1699">
        <f>SUM(L168,L169,L170,L171)</f>
        <v>450000</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4077112</v>
      </c>
      <c r="I174" s="639"/>
      <c r="J174" s="617"/>
      <c r="K174" s="1699">
        <f>SUM(K160,K172,K173)</f>
        <v>4077112</v>
      </c>
      <c r="L174" s="1699">
        <f>SUM(L160,L172,L173)</f>
        <v>450000</v>
      </c>
    </row>
    <row r="175" spans="1:14" ht="13.5" thickTop="1" x14ac:dyDescent="0.2">
      <c r="A175" s="2199" t="s">
        <v>1052</v>
      </c>
      <c r="B175" s="2200"/>
      <c r="C175" s="617"/>
      <c r="D175" s="617"/>
      <c r="E175" s="617"/>
      <c r="F175" s="617"/>
      <c r="G175" s="617"/>
      <c r="H175" s="619"/>
      <c r="I175" s="617"/>
      <c r="J175" s="617"/>
      <c r="K175" s="1706">
        <f>'Revenues 9-14'!E275-'Expenditures 15-22'!K174</f>
        <v>-3666697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233076</v>
      </c>
      <c r="D182" s="466">
        <v>21952</v>
      </c>
      <c r="E182" s="466">
        <v>198523</v>
      </c>
      <c r="F182" s="466">
        <v>37915</v>
      </c>
      <c r="G182" s="466">
        <v>698077</v>
      </c>
      <c r="H182" s="466"/>
      <c r="I182" s="467"/>
      <c r="J182" s="467"/>
      <c r="K182" s="1693">
        <f>SUM(C182:J182)</f>
        <v>1189543</v>
      </c>
      <c r="L182" s="466">
        <v>636559</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233076</v>
      </c>
      <c r="D184" s="1699">
        <f t="shared" ref="D184:J184" si="17">SUM(D180,D182,D183)</f>
        <v>21952</v>
      </c>
      <c r="E184" s="1699">
        <f t="shared" si="17"/>
        <v>198523</v>
      </c>
      <c r="F184" s="1699">
        <f t="shared" si="17"/>
        <v>37915</v>
      </c>
      <c r="G184" s="1699">
        <f t="shared" si="17"/>
        <v>698077</v>
      </c>
      <c r="H184" s="1699">
        <f t="shared" si="17"/>
        <v>0</v>
      </c>
      <c r="I184" s="1699">
        <f t="shared" si="17"/>
        <v>0</v>
      </c>
      <c r="J184" s="1699">
        <f t="shared" si="17"/>
        <v>0</v>
      </c>
      <c r="K184" s="1699">
        <f>SUM(K180,K182,K183)</f>
        <v>1189543</v>
      </c>
      <c r="L184" s="1699">
        <f>SUM(L180, L182:L183)</f>
        <v>636559</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25000</v>
      </c>
    </row>
    <row r="210" spans="1:14" ht="12.75" customHeight="1" thickTop="1" thickBot="1" x14ac:dyDescent="0.25">
      <c r="A210" s="1714" t="s">
        <v>294</v>
      </c>
      <c r="B210" s="1715"/>
      <c r="C210" s="1692">
        <f>SUM(C184,C185)</f>
        <v>233076</v>
      </c>
      <c r="D210" s="1692">
        <f>SUM(D184,D185)</f>
        <v>21952</v>
      </c>
      <c r="E210" s="1692">
        <f>SUM(E184,E185,E196)</f>
        <v>198523</v>
      </c>
      <c r="F210" s="1692">
        <f>SUM(F184,F185)</f>
        <v>37915</v>
      </c>
      <c r="G210" s="1692">
        <f>SUM(G184,G185)</f>
        <v>698077</v>
      </c>
      <c r="H210" s="1692">
        <f>SUM(H184,H185,H196,H208,H209)</f>
        <v>0</v>
      </c>
      <c r="I210" s="1692">
        <f>SUM(I184,I185)</f>
        <v>0</v>
      </c>
      <c r="J210" s="1692">
        <f>SUM(J184,J185)</f>
        <v>0</v>
      </c>
      <c r="K210" s="1693">
        <f>SUM(K184,K185,K196,K208,K209)</f>
        <v>1189543</v>
      </c>
      <c r="L210" s="1692">
        <f>SUM(L184,L185,L196,L208,L209)</f>
        <v>661559</v>
      </c>
    </row>
    <row r="211" spans="1:14" ht="13.5" thickTop="1" x14ac:dyDescent="0.2">
      <c r="A211" s="2199" t="s">
        <v>1052</v>
      </c>
      <c r="B211" s="2200"/>
      <c r="C211" s="619"/>
      <c r="D211" s="619"/>
      <c r="E211" s="619"/>
      <c r="F211" s="619"/>
      <c r="G211" s="619"/>
      <c r="H211" s="619"/>
      <c r="I211" s="617"/>
      <c r="J211" s="617"/>
      <c r="K211" s="1706">
        <f>'Revenues 9-14'!F275-'Expenditures 15-22'!K210</f>
        <v>-327159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1021</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46120</v>
      </c>
      <c r="E215" s="617"/>
      <c r="F215" s="617"/>
      <c r="G215" s="617"/>
      <c r="H215" s="617"/>
      <c r="I215" s="617"/>
      <c r="J215" s="617"/>
      <c r="K215" s="1693">
        <f>D215</f>
        <v>46120</v>
      </c>
      <c r="L215" s="466">
        <v>25000</v>
      </c>
    </row>
    <row r="216" spans="1:14" x14ac:dyDescent="0.2">
      <c r="A216" s="1526" t="s">
        <v>165</v>
      </c>
      <c r="B216" s="615" t="s">
        <v>1023</v>
      </c>
      <c r="C216" s="617"/>
      <c r="D216" s="467">
        <v>12383</v>
      </c>
      <c r="E216" s="617"/>
      <c r="F216" s="617"/>
      <c r="G216" s="617"/>
      <c r="H216" s="617"/>
      <c r="I216" s="617"/>
      <c r="J216" s="617"/>
      <c r="K216" s="1693">
        <f t="shared" ref="K216:K228" si="19">D216</f>
        <v>12383</v>
      </c>
      <c r="L216" s="466">
        <v>13000</v>
      </c>
    </row>
    <row r="217" spans="1:14" x14ac:dyDescent="0.2">
      <c r="A217" s="1526" t="s">
        <v>166</v>
      </c>
      <c r="B217" s="615">
        <v>1200</v>
      </c>
      <c r="C217" s="617"/>
      <c r="D217" s="466">
        <v>44670</v>
      </c>
      <c r="E217" s="617"/>
      <c r="F217" s="617"/>
      <c r="G217" s="617"/>
      <c r="H217" s="617"/>
      <c r="I217" s="617"/>
      <c r="J217" s="617"/>
      <c r="K217" s="1693">
        <f t="shared" si="19"/>
        <v>44670</v>
      </c>
      <c r="L217" s="466">
        <v>43700</v>
      </c>
    </row>
    <row r="218" spans="1:14" x14ac:dyDescent="0.2">
      <c r="A218" s="1526" t="s">
        <v>295</v>
      </c>
      <c r="B218" s="615" t="s">
        <v>1024</v>
      </c>
      <c r="C218" s="617"/>
      <c r="D218" s="467">
        <v>4256</v>
      </c>
      <c r="E218" s="617"/>
      <c r="F218" s="617"/>
      <c r="G218" s="617"/>
      <c r="H218" s="617"/>
      <c r="I218" s="617"/>
      <c r="J218" s="617"/>
      <c r="K218" s="1693">
        <f t="shared" si="19"/>
        <v>4256</v>
      </c>
      <c r="L218" s="466">
        <v>4100</v>
      </c>
    </row>
    <row r="219" spans="1:14" x14ac:dyDescent="0.2">
      <c r="A219" s="1526" t="s">
        <v>296</v>
      </c>
      <c r="B219" s="615">
        <v>1250</v>
      </c>
      <c r="C219" s="617"/>
      <c r="D219" s="466">
        <v>2969</v>
      </c>
      <c r="E219" s="617"/>
      <c r="F219" s="617"/>
      <c r="G219" s="617"/>
      <c r="H219" s="617"/>
      <c r="I219" s="617"/>
      <c r="J219" s="617"/>
      <c r="K219" s="1693">
        <f t="shared" si="19"/>
        <v>2969</v>
      </c>
      <c r="L219" s="466">
        <v>2500</v>
      </c>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595</v>
      </c>
      <c r="E222" s="617"/>
      <c r="F222" s="617"/>
      <c r="G222" s="617"/>
      <c r="H222" s="617"/>
      <c r="I222" s="617"/>
      <c r="J222" s="617"/>
      <c r="K222" s="1693">
        <f t="shared" si="19"/>
        <v>595</v>
      </c>
      <c r="L222" s="466"/>
    </row>
    <row r="223" spans="1:14" x14ac:dyDescent="0.2">
      <c r="A223" s="1526" t="s">
        <v>1019</v>
      </c>
      <c r="B223" s="615">
        <v>1500</v>
      </c>
      <c r="C223" s="617"/>
      <c r="D223" s="466">
        <v>10442</v>
      </c>
      <c r="E223" s="617"/>
      <c r="F223" s="617"/>
      <c r="G223" s="617"/>
      <c r="H223" s="617"/>
      <c r="I223" s="617"/>
      <c r="J223" s="617"/>
      <c r="K223" s="1693">
        <f t="shared" si="19"/>
        <v>10442</v>
      </c>
      <c r="L223" s="466">
        <v>5280</v>
      </c>
    </row>
    <row r="224" spans="1:14" x14ac:dyDescent="0.2">
      <c r="A224" s="1526" t="s">
        <v>1020</v>
      </c>
      <c r="B224" s="615">
        <v>1600</v>
      </c>
      <c r="C224" s="617"/>
      <c r="D224" s="466"/>
      <c r="E224" s="617"/>
      <c r="F224" s="617"/>
      <c r="G224" s="617"/>
      <c r="H224" s="617"/>
      <c r="I224" s="617"/>
      <c r="J224" s="617"/>
      <c r="K224" s="1693">
        <f t="shared" si="19"/>
        <v>0</v>
      </c>
      <c r="L224" s="466"/>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v>118</v>
      </c>
      <c r="E226" s="617"/>
      <c r="F226" s="617"/>
      <c r="G226" s="617"/>
      <c r="H226" s="617"/>
      <c r="I226" s="617"/>
      <c r="J226" s="617"/>
      <c r="K226" s="1693">
        <f t="shared" si="19"/>
        <v>118</v>
      </c>
      <c r="L226" s="466"/>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v>10325</v>
      </c>
      <c r="E228" s="617"/>
      <c r="F228" s="617"/>
      <c r="G228" s="617"/>
      <c r="H228" s="617"/>
      <c r="I228" s="617"/>
      <c r="J228" s="617"/>
      <c r="K228" s="1693">
        <f t="shared" si="19"/>
        <v>10325</v>
      </c>
      <c r="L228" s="466">
        <v>9000</v>
      </c>
    </row>
    <row r="229" spans="1:12" ht="12.75" customHeight="1" thickBot="1" x14ac:dyDescent="0.25">
      <c r="A229" s="1690" t="s">
        <v>738</v>
      </c>
      <c r="B229" s="1697" t="s">
        <v>590</v>
      </c>
      <c r="C229" s="617"/>
      <c r="D229" s="1692">
        <f>SUM(D215:D228)</f>
        <v>131878</v>
      </c>
      <c r="E229" s="617"/>
      <c r="F229" s="617"/>
      <c r="G229" s="617"/>
      <c r="H229" s="617"/>
      <c r="I229" s="617"/>
      <c r="J229" s="617"/>
      <c r="K229" s="1692">
        <f>SUM(K215:K228)</f>
        <v>131878</v>
      </c>
      <c r="L229" s="1692">
        <f>SUM(L215:L228)</f>
        <v>102580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1243</v>
      </c>
      <c r="E232" s="617"/>
      <c r="F232" s="617"/>
      <c r="G232" s="617"/>
      <c r="H232" s="617"/>
      <c r="I232" s="617"/>
      <c r="J232" s="617"/>
      <c r="K232" s="1693">
        <f t="shared" ref="K232:K237" si="20">D232</f>
        <v>1243</v>
      </c>
      <c r="L232" s="466">
        <v>630</v>
      </c>
    </row>
    <row r="233" spans="1:12" x14ac:dyDescent="0.2">
      <c r="A233" s="1526" t="s">
        <v>1150</v>
      </c>
      <c r="B233" s="615">
        <v>2120</v>
      </c>
      <c r="C233" s="617"/>
      <c r="D233" s="466">
        <v>7232</v>
      </c>
      <c r="E233" s="617"/>
      <c r="F233" s="617"/>
      <c r="G233" s="617"/>
      <c r="H233" s="617"/>
      <c r="I233" s="617"/>
      <c r="J233" s="617"/>
      <c r="K233" s="1693">
        <f t="shared" si="20"/>
        <v>7232</v>
      </c>
      <c r="L233" s="466">
        <v>7672</v>
      </c>
    </row>
    <row r="234" spans="1:12" x14ac:dyDescent="0.2">
      <c r="A234" s="1526" t="s">
        <v>207</v>
      </c>
      <c r="B234" s="615">
        <v>2130</v>
      </c>
      <c r="C234" s="617"/>
      <c r="D234" s="466">
        <v>19052</v>
      </c>
      <c r="E234" s="617"/>
      <c r="F234" s="617"/>
      <c r="G234" s="617"/>
      <c r="H234" s="617"/>
      <c r="I234" s="617"/>
      <c r="J234" s="617"/>
      <c r="K234" s="1693">
        <f t="shared" si="20"/>
        <v>19052</v>
      </c>
      <c r="L234" s="466">
        <v>12100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580</v>
      </c>
      <c r="B238" s="1697" t="s">
        <v>739</v>
      </c>
      <c r="C238" s="617"/>
      <c r="D238" s="1692">
        <f>SUM(D232:D237)</f>
        <v>27527</v>
      </c>
      <c r="E238" s="617"/>
      <c r="F238" s="617"/>
      <c r="G238" s="617"/>
      <c r="H238" s="617"/>
      <c r="I238" s="617"/>
      <c r="J238" s="617"/>
      <c r="K238" s="1692">
        <f>SUM(K232:K237)</f>
        <v>27527</v>
      </c>
      <c r="L238" s="1692">
        <f>SUM(L232:L237)</f>
        <v>20402</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9874</v>
      </c>
      <c r="E240" s="617"/>
      <c r="F240" s="617"/>
      <c r="G240" s="617"/>
      <c r="H240" s="617"/>
      <c r="I240" s="617"/>
      <c r="J240" s="617"/>
      <c r="K240" s="1694">
        <f>D240</f>
        <v>9874</v>
      </c>
      <c r="L240" s="481">
        <v>2500</v>
      </c>
    </row>
    <row r="241" spans="1:12" x14ac:dyDescent="0.2">
      <c r="A241" s="1526" t="s">
        <v>868</v>
      </c>
      <c r="B241" s="615">
        <v>2220</v>
      </c>
      <c r="C241" s="617"/>
      <c r="D241" s="466">
        <v>5831</v>
      </c>
      <c r="E241" s="617"/>
      <c r="F241" s="617"/>
      <c r="G241" s="617"/>
      <c r="H241" s="617"/>
      <c r="I241" s="617"/>
      <c r="J241" s="617"/>
      <c r="K241" s="1694">
        <f>D241</f>
        <v>5831</v>
      </c>
      <c r="L241" s="466">
        <v>5500</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15705</v>
      </c>
      <c r="E243" s="617"/>
      <c r="F243" s="617"/>
      <c r="G243" s="617"/>
      <c r="H243" s="617"/>
      <c r="I243" s="617"/>
      <c r="J243" s="617"/>
      <c r="K243" s="1692">
        <f>SUM(K240:K242)</f>
        <v>15705</v>
      </c>
      <c r="L243" s="1692">
        <f>SUM(L240:L242)</f>
        <v>8000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16359</v>
      </c>
      <c r="E246" s="617"/>
      <c r="F246" s="617"/>
      <c r="G246" s="617"/>
      <c r="H246" s="617"/>
      <c r="I246" s="617"/>
      <c r="J246" s="617"/>
      <c r="K246" s="1694">
        <f t="shared" ref="K246:K256" si="21">D246</f>
        <v>16359</v>
      </c>
      <c r="L246" s="466">
        <v>9420</v>
      </c>
    </row>
    <row r="247" spans="1:12" x14ac:dyDescent="0.2">
      <c r="A247" s="1526" t="s">
        <v>872</v>
      </c>
      <c r="B247" s="615">
        <v>2330</v>
      </c>
      <c r="C247" s="617"/>
      <c r="D247" s="466">
        <v>1074</v>
      </c>
      <c r="E247" s="617"/>
      <c r="F247" s="617"/>
      <c r="G247" s="617"/>
      <c r="H247" s="617"/>
      <c r="I247" s="617"/>
      <c r="J247" s="617"/>
      <c r="K247" s="1694">
        <f t="shared" si="21"/>
        <v>1074</v>
      </c>
      <c r="L247" s="466">
        <v>1000</v>
      </c>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1904</v>
      </c>
      <c r="B249" s="684" t="s">
        <v>299</v>
      </c>
      <c r="C249" s="617"/>
      <c r="D249" s="474"/>
      <c r="E249" s="617"/>
      <c r="F249" s="617"/>
      <c r="G249" s="617"/>
      <c r="H249" s="617"/>
      <c r="I249" s="617"/>
      <c r="J249" s="617"/>
      <c r="K249" s="1694">
        <f t="shared" si="21"/>
        <v>0</v>
      </c>
      <c r="L249" s="466"/>
    </row>
    <row r="250" spans="1:12" x14ac:dyDescent="0.2">
      <c r="A250" s="1527" t="s">
        <v>1905</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17433</v>
      </c>
      <c r="E257" s="617"/>
      <c r="F257" s="617"/>
      <c r="G257" s="617"/>
      <c r="H257" s="617"/>
      <c r="I257" s="617"/>
      <c r="J257" s="617"/>
      <c r="K257" s="1692">
        <f>SUM(K245:K256)</f>
        <v>17433</v>
      </c>
      <c r="L257" s="1692">
        <f>SUM(L245:L256)</f>
        <v>10420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23370</v>
      </c>
      <c r="E259" s="617"/>
      <c r="F259" s="617"/>
      <c r="G259" s="617"/>
      <c r="H259" s="617"/>
      <c r="I259" s="617"/>
      <c r="J259" s="617"/>
      <c r="K259" s="1694">
        <f>D259</f>
        <v>23370</v>
      </c>
      <c r="L259" s="481">
        <v>26200</v>
      </c>
    </row>
    <row r="260" spans="1:14" s="598" customFormat="1" x14ac:dyDescent="0.2">
      <c r="A260" s="1544" t="s">
        <v>1903</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23370</v>
      </c>
      <c r="E261" s="617"/>
      <c r="F261" s="617"/>
      <c r="G261" s="617"/>
      <c r="H261" s="617"/>
      <c r="I261" s="617"/>
      <c r="J261" s="617"/>
      <c r="K261" s="1692">
        <f>SUM(K259:K260)</f>
        <v>23370</v>
      </c>
      <c r="L261" s="1692">
        <f>SUM(L259:L260)</f>
        <v>26200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9529</v>
      </c>
      <c r="E263" s="617"/>
      <c r="F263" s="617"/>
      <c r="G263" s="617"/>
      <c r="H263" s="617"/>
      <c r="I263" s="617"/>
      <c r="J263" s="617"/>
      <c r="K263" s="1694">
        <f>D263</f>
        <v>9529</v>
      </c>
      <c r="L263" s="481">
        <v>900</v>
      </c>
    </row>
    <row r="264" spans="1:14" x14ac:dyDescent="0.2">
      <c r="A264" s="1526" t="s">
        <v>482</v>
      </c>
      <c r="B264" s="686">
        <v>2520</v>
      </c>
      <c r="C264" s="617"/>
      <c r="D264" s="466">
        <v>7885</v>
      </c>
      <c r="E264" s="617"/>
      <c r="F264" s="617"/>
      <c r="G264" s="617"/>
      <c r="H264" s="617"/>
      <c r="I264" s="617"/>
      <c r="J264" s="617"/>
      <c r="K264" s="1694">
        <f t="shared" ref="K264:K269" si="22">D264</f>
        <v>7885</v>
      </c>
      <c r="L264" s="466">
        <v>10600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71471</v>
      </c>
      <c r="E266" s="617"/>
      <c r="F266" s="617"/>
      <c r="G266" s="617"/>
      <c r="H266" s="617"/>
      <c r="I266" s="617"/>
      <c r="J266" s="617"/>
      <c r="K266" s="1694">
        <f t="shared" si="22"/>
        <v>71471</v>
      </c>
      <c r="L266" s="466">
        <v>60000</v>
      </c>
    </row>
    <row r="267" spans="1:14" x14ac:dyDescent="0.2">
      <c r="A267" s="1526" t="s">
        <v>1009</v>
      </c>
      <c r="B267" s="615">
        <v>2550</v>
      </c>
      <c r="C267" s="617"/>
      <c r="D267" s="466">
        <v>26350</v>
      </c>
      <c r="E267" s="617"/>
      <c r="F267" s="617"/>
      <c r="G267" s="617"/>
      <c r="H267" s="617"/>
      <c r="I267" s="617"/>
      <c r="J267" s="617"/>
      <c r="K267" s="1694">
        <f t="shared" si="22"/>
        <v>26350</v>
      </c>
      <c r="L267" s="466">
        <v>18600</v>
      </c>
    </row>
    <row r="268" spans="1:14" x14ac:dyDescent="0.2">
      <c r="A268" s="1526" t="s">
        <v>102</v>
      </c>
      <c r="B268" s="615">
        <v>2560</v>
      </c>
      <c r="C268" s="617"/>
      <c r="D268" s="466">
        <v>26428</v>
      </c>
      <c r="E268" s="617"/>
      <c r="F268" s="617"/>
      <c r="G268" s="617"/>
      <c r="H268" s="617"/>
      <c r="I268" s="617"/>
      <c r="J268" s="617"/>
      <c r="K268" s="1694">
        <f t="shared" si="22"/>
        <v>26428</v>
      </c>
      <c r="L268" s="466">
        <v>18500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141663</v>
      </c>
      <c r="E270" s="617"/>
      <c r="F270" s="617"/>
      <c r="G270" s="617"/>
      <c r="H270" s="617"/>
      <c r="I270" s="617"/>
      <c r="J270" s="617"/>
      <c r="K270" s="1692">
        <f>SUM(K263:K269)</f>
        <v>141663</v>
      </c>
      <c r="L270" s="1692">
        <f>SUM(L263:L269)</f>
        <v>108600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v>50</v>
      </c>
    </row>
    <row r="276" spans="1:12" x14ac:dyDescent="0.2">
      <c r="A276" s="1526" t="s">
        <v>423</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50</v>
      </c>
    </row>
    <row r="278" spans="1:12" ht="13.5" customHeight="1" thickTop="1" x14ac:dyDescent="0.2">
      <c r="A278" s="1532" t="s">
        <v>1036</v>
      </c>
      <c r="B278" s="656" t="s">
        <v>594</v>
      </c>
      <c r="C278" s="617"/>
      <c r="D278" s="657">
        <v>2970</v>
      </c>
      <c r="E278" s="617"/>
      <c r="F278" s="617"/>
      <c r="G278" s="617"/>
      <c r="H278" s="617"/>
      <c r="I278" s="617"/>
      <c r="J278" s="617"/>
      <c r="K278" s="1707">
        <f>D278</f>
        <v>2970</v>
      </c>
      <c r="L278" s="657">
        <v>11430</v>
      </c>
    </row>
    <row r="279" spans="1:12" ht="12.75" customHeight="1" thickBot="1" x14ac:dyDescent="0.25">
      <c r="A279" s="1720" t="s">
        <v>864</v>
      </c>
      <c r="B279" s="1703">
        <v>2000</v>
      </c>
      <c r="C279" s="617"/>
      <c r="D279" s="1699">
        <f>SUM(D238,D243,D257,D261,D270,D277,D278)</f>
        <v>228668</v>
      </c>
      <c r="E279" s="617"/>
      <c r="F279" s="617"/>
      <c r="G279" s="617"/>
      <c r="H279" s="617"/>
      <c r="I279" s="617"/>
      <c r="J279" s="617"/>
      <c r="K279" s="1699">
        <f>SUM(K238,K243,K257,K261,K270,K277,K278)</f>
        <v>228668</v>
      </c>
      <c r="L279" s="1699">
        <f>SUM(L238,L243,L257,L261,L270,L277,L278)</f>
        <v>185102</v>
      </c>
    </row>
    <row r="280" spans="1:12" ht="15.75" customHeight="1" thickTop="1" thickBot="1" x14ac:dyDescent="0.25">
      <c r="A280" s="1646" t="s">
        <v>929</v>
      </c>
      <c r="B280" s="1635">
        <v>3000</v>
      </c>
      <c r="C280" s="617"/>
      <c r="D280" s="576">
        <v>27334</v>
      </c>
      <c r="E280" s="617"/>
      <c r="F280" s="617"/>
      <c r="G280" s="617"/>
      <c r="H280" s="617"/>
      <c r="I280" s="617"/>
      <c r="J280" s="617"/>
      <c r="K280" s="1701">
        <f>D280</f>
        <v>27334</v>
      </c>
      <c r="L280" s="576">
        <v>20440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8000</v>
      </c>
    </row>
    <row r="295" spans="1:14" ht="12.75" customHeight="1" thickTop="1" thickBot="1" x14ac:dyDescent="0.25">
      <c r="A295" s="2190" t="s">
        <v>525</v>
      </c>
      <c r="B295" s="2191"/>
      <c r="C295" s="617"/>
      <c r="D295" s="1692">
        <f>SUM(D229,D279,D280,D285)</f>
        <v>387880</v>
      </c>
      <c r="E295" s="617"/>
      <c r="F295" s="617"/>
      <c r="G295" s="617"/>
      <c r="H295" s="1692">
        <f>H293</f>
        <v>0</v>
      </c>
      <c r="I295" s="617"/>
      <c r="J295" s="617"/>
      <c r="K295" s="1692">
        <f>SUM(K229,K279,K280,K285,K293,K294)</f>
        <v>387880</v>
      </c>
      <c r="L295" s="1692">
        <f>SUM(L229,L279,L280,L285,L293,L294)</f>
        <v>316122</v>
      </c>
    </row>
    <row r="296" spans="1:14" ht="13.5" thickTop="1" x14ac:dyDescent="0.2">
      <c r="A296" s="2199" t="s">
        <v>1052</v>
      </c>
      <c r="B296" s="2200"/>
      <c r="C296" s="617"/>
      <c r="D296" s="619"/>
      <c r="E296" s="617"/>
      <c r="F296" s="617"/>
      <c r="G296" s="617"/>
      <c r="H296" s="688"/>
      <c r="I296" s="617"/>
      <c r="J296" s="617"/>
      <c r="K296" s="1706">
        <f>'Revenues 9-14'!G275-'Expenditures 15-22'!K295</f>
        <v>-109147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c r="H301" s="466"/>
      <c r="I301" s="467"/>
      <c r="J301" s="467"/>
      <c r="K301" s="1693">
        <f>SUM(C301:J301)</f>
        <v>0</v>
      </c>
      <c r="L301" s="467"/>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7" t="s">
        <v>294</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1052</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953</v>
      </c>
      <c r="B317" s="2197"/>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1904</v>
      </c>
      <c r="B320" s="699" t="s">
        <v>299</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317</v>
      </c>
      <c r="B321" s="698" t="s">
        <v>300</v>
      </c>
      <c r="C321" s="467"/>
      <c r="D321" s="467"/>
      <c r="E321" s="467">
        <v>5750</v>
      </c>
      <c r="F321" s="467"/>
      <c r="G321" s="467"/>
      <c r="H321" s="467"/>
      <c r="I321" s="467"/>
      <c r="J321" s="467"/>
      <c r="K321" s="1693">
        <f t="shared" si="24"/>
        <v>5750</v>
      </c>
      <c r="L321" s="467">
        <v>47000</v>
      </c>
      <c r="M321" s="666"/>
      <c r="N321" s="666"/>
    </row>
    <row r="322" spans="1:14" s="675" customFormat="1" x14ac:dyDescent="0.2">
      <c r="A322" s="1541" t="s">
        <v>256</v>
      </c>
      <c r="B322" s="698" t="s">
        <v>301</v>
      </c>
      <c r="C322" s="467"/>
      <c r="D322" s="467"/>
      <c r="E322" s="467">
        <v>43278</v>
      </c>
      <c r="F322" s="467"/>
      <c r="G322" s="467"/>
      <c r="H322" s="467"/>
      <c r="I322" s="467"/>
      <c r="J322" s="467"/>
      <c r="K322" s="1693">
        <f t="shared" si="24"/>
        <v>43278</v>
      </c>
      <c r="L322" s="467">
        <v>130000</v>
      </c>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v>33712</v>
      </c>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v>30000</v>
      </c>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49028</v>
      </c>
      <c r="F330" s="1692">
        <f t="shared" si="25"/>
        <v>0</v>
      </c>
      <c r="G330" s="1692">
        <f t="shared" si="25"/>
        <v>0</v>
      </c>
      <c r="H330" s="1692">
        <f t="shared" si="25"/>
        <v>0</v>
      </c>
      <c r="I330" s="1692">
        <f t="shared" si="25"/>
        <v>0</v>
      </c>
      <c r="J330" s="1692">
        <f t="shared" si="25"/>
        <v>0</v>
      </c>
      <c r="K330" s="1692">
        <f>SUM(K319:K329)</f>
        <v>49028</v>
      </c>
      <c r="L330" s="1692">
        <f>SUM(L319:L329)</f>
        <v>240712</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49028</v>
      </c>
      <c r="F342" s="1692">
        <f>SUM(F330)</f>
        <v>0</v>
      </c>
      <c r="G342" s="1692">
        <f>SUM(G330)</f>
        <v>0</v>
      </c>
      <c r="H342" s="1692">
        <f>SUM(H330,H334,H340)</f>
        <v>0</v>
      </c>
      <c r="I342" s="1692">
        <f>SUM(I330)</f>
        <v>0</v>
      </c>
      <c r="J342" s="1692">
        <f>SUM(J330)</f>
        <v>0</v>
      </c>
      <c r="K342" s="1692">
        <f>SUM(K330,K334,K340)</f>
        <v>49028</v>
      </c>
      <c r="L342" s="1699">
        <f>SUM(L330,L340,L341)</f>
        <v>240712</v>
      </c>
    </row>
    <row r="343" spans="1:14" ht="12.75" customHeight="1" thickTop="1" x14ac:dyDescent="0.2">
      <c r="A343" s="2185" t="s">
        <v>1052</v>
      </c>
      <c r="B343" s="2186"/>
      <c r="C343" s="617"/>
      <c r="D343" s="617"/>
      <c r="E343" s="617"/>
      <c r="F343" s="617"/>
      <c r="G343" s="617"/>
      <c r="H343" s="617"/>
      <c r="I343" s="617"/>
      <c r="J343" s="617"/>
      <c r="K343" s="1706">
        <f>'Revenues 9-14'!J275-'Expenditures 15-22'!K342</f>
        <v>189744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1022</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v>12000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12000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12000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12000</v>
      </c>
    </row>
    <row r="368" spans="1:14" ht="13.5" thickTop="1" x14ac:dyDescent="0.2">
      <c r="A368" s="2199" t="s">
        <v>1052</v>
      </c>
      <c r="B368" s="2200"/>
      <c r="C368" s="655"/>
      <c r="D368" s="655"/>
      <c r="E368" s="627"/>
      <c r="F368" s="627"/>
      <c r="G368" s="627"/>
      <c r="H368" s="627"/>
      <c r="I368" s="627"/>
      <c r="J368" s="624"/>
      <c r="K368" s="1693">
        <f>'Revenues 9-14'!K275-'Expenditures 15-22'!K367</f>
        <v>12729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orizontalCentered="1" gridLinesSet="0"/>
  <pageMargins left="0.75" right="0.75" top="1.1499999999999999" bottom="0.5" header="0.5" footer="0.5"/>
  <pageSetup scale="60" firstPageNumber="15" fitToHeight="0" orientation="landscape" r:id="rId1"/>
  <headerFooter>
    <oddHeader>&amp;C&amp;"Times New Roman,Regular"MADISON COMMUNITY UNIT SCHOOL DISTRICT NO. 12
STATEMENT OF DISBURSEMENTS - CASH - REGULATORY BASIS
(ACTUAL AND BUDGET)
ALL FUNDS
FOR THE YEAR ENDED JUNE 30, 2018</oddHeader>
    <oddFooter>&amp;C&amp;"Times New Roman,Regular"See Notes to Financial Statements and Independent Auditor's Reports
&amp;P</oddFooter>
  </headerFooter>
  <rowBreaks count="6" manualBreakCount="6">
    <brk id="53" max="16383" man="1"/>
    <brk id="107" max="16383" man="1"/>
    <brk id="160" max="16383" man="1"/>
    <brk id="208" max="16383" man="1"/>
    <brk id="261" max="16383" man="1"/>
    <brk id="316"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7" sqref="C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1901</v>
      </c>
      <c r="B2" s="1550" t="s">
        <v>2033</v>
      </c>
      <c r="C2" s="715" t="s">
        <v>1906</v>
      </c>
      <c r="D2" s="715" t="s">
        <v>1907</v>
      </c>
      <c r="E2" s="715" t="s">
        <v>1908</v>
      </c>
      <c r="F2" s="715" t="s">
        <v>1909</v>
      </c>
    </row>
    <row r="3" spans="1:6" ht="12" customHeight="1" x14ac:dyDescent="0.2">
      <c r="A3" s="2202"/>
      <c r="B3" s="1547"/>
      <c r="C3" s="1548"/>
      <c r="D3" s="1549" t="s">
        <v>274</v>
      </c>
      <c r="E3" s="1548"/>
      <c r="F3" s="1549" t="s">
        <v>275</v>
      </c>
    </row>
    <row r="4" spans="1:6" ht="13.7" customHeight="1" x14ac:dyDescent="0.2">
      <c r="A4" s="716" t="s">
        <v>1216</v>
      </c>
      <c r="B4" s="1771">
        <f>'Revenues 9-14'!C5</f>
        <v>605164</v>
      </c>
      <c r="C4" s="1546">
        <v>10142</v>
      </c>
      <c r="D4" s="1774">
        <f>B4-C4</f>
        <v>595022</v>
      </c>
      <c r="E4" s="1546">
        <v>650809</v>
      </c>
      <c r="F4" s="1774">
        <f>E4-C4</f>
        <v>640667</v>
      </c>
    </row>
    <row r="5" spans="1:6" ht="13.7" customHeight="1" x14ac:dyDescent="0.2">
      <c r="A5" s="716" t="s">
        <v>924</v>
      </c>
      <c r="B5" s="1772">
        <f>'Revenues 9-14'!D5</f>
        <v>116819</v>
      </c>
      <c r="C5" s="585">
        <v>1958</v>
      </c>
      <c r="D5" s="1775">
        <f t="shared" ref="D5:D18" si="0">B5-C5</f>
        <v>114861</v>
      </c>
      <c r="E5" s="585">
        <v>125639</v>
      </c>
      <c r="F5" s="1775">
        <f>E5-C5</f>
        <v>123681</v>
      </c>
    </row>
    <row r="6" spans="1:6" ht="13.7" customHeight="1" x14ac:dyDescent="0.2">
      <c r="A6" s="716" t="s">
        <v>430</v>
      </c>
      <c r="B6" s="1772">
        <f>'Revenues 9-14'!E5</f>
        <v>409332</v>
      </c>
      <c r="C6" s="585">
        <v>6997</v>
      </c>
      <c r="D6" s="1775">
        <f t="shared" si="0"/>
        <v>402335</v>
      </c>
      <c r="E6" s="585">
        <v>448983</v>
      </c>
      <c r="F6" s="1775">
        <f t="shared" ref="F6:F18" si="1">E6-C6</f>
        <v>441986</v>
      </c>
    </row>
    <row r="7" spans="1:6" ht="13.7" customHeight="1" x14ac:dyDescent="0.2">
      <c r="A7" s="716" t="s">
        <v>157</v>
      </c>
      <c r="B7" s="1772">
        <f>'Revenues 9-14'!F5</f>
        <v>46727</v>
      </c>
      <c r="C7" s="585">
        <v>783</v>
      </c>
      <c r="D7" s="1775">
        <f t="shared" si="0"/>
        <v>45944</v>
      </c>
      <c r="E7" s="585">
        <v>50255</v>
      </c>
      <c r="F7" s="1775">
        <f t="shared" si="1"/>
        <v>49472</v>
      </c>
    </row>
    <row r="8" spans="1:6" ht="13.7" customHeight="1" x14ac:dyDescent="0.2">
      <c r="A8" s="716" t="s">
        <v>1240</v>
      </c>
      <c r="B8" s="1772">
        <f>'Revenues 9-14'!G5</f>
        <v>73121</v>
      </c>
      <c r="C8" s="585">
        <v>1402</v>
      </c>
      <c r="D8" s="1775">
        <f t="shared" si="0"/>
        <v>71719</v>
      </c>
      <c r="E8" s="585">
        <v>90008</v>
      </c>
      <c r="F8" s="1775">
        <f t="shared" si="1"/>
        <v>88606</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11683</v>
      </c>
      <c r="C10" s="585">
        <v>196</v>
      </c>
      <c r="D10" s="1775">
        <f t="shared" si="0"/>
        <v>11487</v>
      </c>
      <c r="E10" s="585">
        <v>12564</v>
      </c>
      <c r="F10" s="1775">
        <f t="shared" si="1"/>
        <v>12368</v>
      </c>
    </row>
    <row r="11" spans="1:6" x14ac:dyDescent="0.2">
      <c r="A11" s="716" t="s">
        <v>428</v>
      </c>
      <c r="B11" s="1772">
        <f>'Revenues 9-14'!J5</f>
        <v>237128</v>
      </c>
      <c r="C11" s="585">
        <v>4052</v>
      </c>
      <c r="D11" s="1775">
        <f t="shared" si="0"/>
        <v>233076</v>
      </c>
      <c r="E11" s="585">
        <v>260022</v>
      </c>
      <c r="F11" s="1775">
        <f t="shared" si="1"/>
        <v>255970</v>
      </c>
    </row>
    <row r="12" spans="1:6" ht="13.7" customHeight="1" x14ac:dyDescent="0.2">
      <c r="A12" s="716" t="s">
        <v>159</v>
      </c>
      <c r="B12" s="1772">
        <f>'Revenues 9-14'!K5</f>
        <v>11682</v>
      </c>
      <c r="C12" s="585">
        <v>196</v>
      </c>
      <c r="D12" s="1775">
        <f t="shared" si="0"/>
        <v>11486</v>
      </c>
      <c r="E12" s="585">
        <v>12564</v>
      </c>
      <c r="F12" s="1775">
        <f t="shared" si="1"/>
        <v>12368</v>
      </c>
    </row>
    <row r="13" spans="1:6" ht="13.7" customHeight="1" x14ac:dyDescent="0.2">
      <c r="A13" s="716" t="s">
        <v>992</v>
      </c>
      <c r="B13" s="1772">
        <f>SUM('Revenues 9-14'!C6:D6)</f>
        <v>11683</v>
      </c>
      <c r="C13" s="585">
        <v>196</v>
      </c>
      <c r="D13" s="1775">
        <f t="shared" si="0"/>
        <v>11487</v>
      </c>
      <c r="E13" s="585">
        <v>12564</v>
      </c>
      <c r="F13" s="1775">
        <f t="shared" si="1"/>
        <v>12368</v>
      </c>
    </row>
    <row r="14" spans="1:6" ht="13.7" customHeight="1" x14ac:dyDescent="0.2">
      <c r="A14" s="716" t="s">
        <v>429</v>
      </c>
      <c r="B14" s="1772">
        <f>SUM('Revenues 9-14'!C7:D7,'Revenues 9-14'!F7:H7)</f>
        <v>9345</v>
      </c>
      <c r="C14" s="585">
        <v>157</v>
      </c>
      <c r="D14" s="1775">
        <f t="shared" si="0"/>
        <v>9188</v>
      </c>
      <c r="E14" s="585">
        <v>10051</v>
      </c>
      <c r="F14" s="1775">
        <f t="shared" si="1"/>
        <v>9894</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73121</v>
      </c>
      <c r="C16" s="585">
        <v>1402</v>
      </c>
      <c r="D16" s="1775">
        <f t="shared" si="0"/>
        <v>71719</v>
      </c>
      <c r="E16" s="585">
        <v>90008</v>
      </c>
      <c r="F16" s="1775">
        <f t="shared" si="1"/>
        <v>88606</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1605805</v>
      </c>
      <c r="C19" s="1773">
        <f>SUM(C4:C18)</f>
        <v>27481</v>
      </c>
      <c r="D19" s="1773">
        <f>SUM(D4:D18)</f>
        <v>1578324</v>
      </c>
      <c r="E19" s="1773">
        <f>SUM(E4:E18)</f>
        <v>1763467</v>
      </c>
      <c r="F19" s="1773">
        <f>SUM(F4:F18)</f>
        <v>1735986</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orizontalCentered="1" gridLinesSet="0"/>
  <pageMargins left="0.75" right="0.75" top="1.5" bottom="0.5" header="0.5" footer="0.5"/>
  <pageSetup scale="94" firstPageNumber="59" orientation="landscape" useFirstPageNumber="1" r:id="rId1"/>
  <headerFooter>
    <oddHeader>&amp;C&amp;"Times New Roman,Regular"MADISON COMMUNITY UNIT SCHOOL DISTRICT NO. 12
SCHEDULE OF AD VALOREM TAX RECEIPTS
FOR THE YEAR ENDED JUNE 30, 2018</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110" zoomScaleNormal="110" workbookViewId="0">
      <selection activeCell="J39" sqref="J3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649</v>
      </c>
      <c r="B1" s="2208"/>
      <c r="C1" s="722"/>
    </row>
    <row r="2" spans="1:7" ht="33.75" x14ac:dyDescent="0.2">
      <c r="A2" s="2216" t="s">
        <v>1901</v>
      </c>
      <c r="B2" s="2217"/>
      <c r="C2" s="1909" t="s">
        <v>2034</v>
      </c>
      <c r="D2" s="724" t="s">
        <v>2041</v>
      </c>
      <c r="E2" s="724" t="s">
        <v>2042</v>
      </c>
      <c r="F2" s="1909" t="s">
        <v>2035</v>
      </c>
    </row>
    <row r="3" spans="1:7" ht="15.75" customHeight="1" x14ac:dyDescent="0.2">
      <c r="A3" s="2220" t="s">
        <v>1175</v>
      </c>
      <c r="B3" s="2221"/>
      <c r="C3" s="2209"/>
      <c r="D3" s="2210"/>
      <c r="E3" s="2210"/>
      <c r="F3" s="2211"/>
    </row>
    <row r="4" spans="1:7" ht="12.75" customHeight="1" thickBot="1" x14ac:dyDescent="0.25">
      <c r="A4" s="2218" t="s">
        <v>650</v>
      </c>
      <c r="B4" s="2219"/>
      <c r="C4" s="581"/>
      <c r="D4" s="581"/>
      <c r="E4" s="581"/>
      <c r="F4" s="1777">
        <f>SUM(C4+D4)-E4</f>
        <v>0</v>
      </c>
    </row>
    <row r="5" spans="1:7" ht="15.75" customHeight="1" thickTop="1" x14ac:dyDescent="0.2">
      <c r="A5" s="2203" t="s">
        <v>1171</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5" t="s">
        <v>651</v>
      </c>
      <c r="B15" s="2206"/>
      <c r="C15" s="1777">
        <f>SUM(C6:C14)</f>
        <v>0</v>
      </c>
      <c r="D15" s="1777">
        <f>SUM(D6:D14)</f>
        <v>0</v>
      </c>
      <c r="E15" s="1777">
        <f>SUM(E6:E14)</f>
        <v>0</v>
      </c>
      <c r="F15" s="1777">
        <f>SUM(F6:F14)</f>
        <v>0</v>
      </c>
      <c r="G15" s="552"/>
    </row>
    <row r="16" spans="1:7" s="202" customFormat="1" ht="15.75" customHeight="1" thickTop="1" x14ac:dyDescent="0.2">
      <c r="A16" s="2215" t="s">
        <v>1172</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405</v>
      </c>
      <c r="B19" s="2229"/>
      <c r="C19" s="727"/>
      <c r="D19" s="585"/>
      <c r="E19" s="727"/>
      <c r="F19" s="1777">
        <f>SUM(C19+D19)-E19</f>
        <v>0</v>
      </c>
    </row>
    <row r="20" spans="1:11" ht="12.75" customHeight="1" thickTop="1" thickBot="1" x14ac:dyDescent="0.25">
      <c r="A20" s="2228" t="s">
        <v>467</v>
      </c>
      <c r="B20" s="2229"/>
      <c r="C20" s="727"/>
      <c r="D20" s="585"/>
      <c r="E20" s="727"/>
      <c r="F20" s="1777">
        <f>SUM(C20+D20)-E20</f>
        <v>0</v>
      </c>
    </row>
    <row r="21" spans="1:11" ht="14.25" thickTop="1" thickBot="1" x14ac:dyDescent="0.25">
      <c r="A21" s="2205" t="s">
        <v>652</v>
      </c>
      <c r="B21" s="2206"/>
      <c r="C21" s="1777">
        <f>SUM(C17:C20)</f>
        <v>0</v>
      </c>
      <c r="D21" s="1777">
        <f>SUM(D17:D20)</f>
        <v>0</v>
      </c>
      <c r="E21" s="1777">
        <f>SUM(E17:E20)</f>
        <v>0</v>
      </c>
      <c r="F21" s="1777">
        <f>SUM(F17:F20)</f>
        <v>0</v>
      </c>
      <c r="G21" s="552"/>
    </row>
    <row r="22" spans="1:11" ht="15.75" customHeight="1" thickTop="1" x14ac:dyDescent="0.2">
      <c r="A22" s="2230" t="s">
        <v>1173</v>
      </c>
      <c r="B22" s="2204"/>
      <c r="C22" s="2212"/>
      <c r="D22" s="2213"/>
      <c r="E22" s="2213"/>
      <c r="F22" s="2214"/>
    </row>
    <row r="23" spans="1:11" ht="13.5" thickBot="1" x14ac:dyDescent="0.25">
      <c r="A23" s="2218" t="s">
        <v>653</v>
      </c>
      <c r="B23" s="2219"/>
      <c r="C23" s="581"/>
      <c r="D23" s="581"/>
      <c r="E23" s="581"/>
      <c r="F23" s="1777">
        <f>SUM(C23+D23)-E23</f>
        <v>0</v>
      </c>
      <c r="G23" s="552"/>
    </row>
    <row r="24" spans="1:11" ht="15.75" customHeight="1" thickTop="1" x14ac:dyDescent="0.2">
      <c r="A24" s="2230" t="s">
        <v>1174</v>
      </c>
      <c r="B24" s="2204"/>
      <c r="C24" s="2212"/>
      <c r="D24" s="2213"/>
      <c r="E24" s="2213"/>
      <c r="F24" s="2214"/>
    </row>
    <row r="25" spans="1:11" ht="13.5" thickBot="1" x14ac:dyDescent="0.25">
      <c r="A25" s="2218" t="s">
        <v>654</v>
      </c>
      <c r="B25" s="2219"/>
      <c r="C25" s="581"/>
      <c r="D25" s="581"/>
      <c r="E25" s="581"/>
      <c r="F25" s="1777">
        <f>SUM(C25+D25)-E25</f>
        <v>0</v>
      </c>
      <c r="G25" s="552"/>
    </row>
    <row r="26" spans="1:11" ht="15.75" customHeight="1" thickTop="1" x14ac:dyDescent="0.2">
      <c r="A26" s="2203" t="s">
        <v>677</v>
      </c>
      <c r="B26" s="2204"/>
      <c r="C26" s="728"/>
      <c r="D26" s="728"/>
      <c r="E26" s="728"/>
      <c r="F26" s="729"/>
    </row>
    <row r="27" spans="1:11" ht="13.5" thickBot="1" x14ac:dyDescent="0.25">
      <c r="A27" s="2205" t="s">
        <v>1129</v>
      </c>
      <c r="B27" s="2206"/>
      <c r="C27" s="585"/>
      <c r="D27" s="585"/>
      <c r="E27" s="585"/>
      <c r="F27" s="1777">
        <f>SUM(C27+D27)-E27</f>
        <v>0</v>
      </c>
      <c r="G27" s="552"/>
    </row>
    <row r="28" spans="1:11" ht="7.5" customHeight="1" thickTop="1" x14ac:dyDescent="0.2">
      <c r="A28" s="594"/>
    </row>
    <row r="29" spans="1:11" ht="23.25" customHeight="1" x14ac:dyDescent="0.2">
      <c r="A29" s="2231" t="s">
        <v>602</v>
      </c>
      <c r="B29" s="2208"/>
      <c r="C29" s="730"/>
      <c r="D29" s="730"/>
      <c r="E29" s="730"/>
      <c r="F29" s="730"/>
      <c r="G29" s="730"/>
      <c r="H29" s="730"/>
      <c r="I29" s="730"/>
      <c r="J29" s="730"/>
    </row>
    <row r="30" spans="1:11" ht="33.75" x14ac:dyDescent="0.2">
      <c r="A30" s="1551" t="s">
        <v>1130</v>
      </c>
      <c r="B30" s="731" t="s">
        <v>1185</v>
      </c>
      <c r="C30" s="1910" t="s">
        <v>603</v>
      </c>
      <c r="D30" s="1910" t="s">
        <v>1771</v>
      </c>
      <c r="E30" s="1910" t="s">
        <v>2036</v>
      </c>
      <c r="F30" s="1910" t="s">
        <v>2037</v>
      </c>
      <c r="G30" s="1910" t="s">
        <v>2040</v>
      </c>
      <c r="H30" s="1910" t="s">
        <v>2038</v>
      </c>
      <c r="I30" s="1910" t="s">
        <v>2039</v>
      </c>
      <c r="J30" s="1911" t="s">
        <v>2</v>
      </c>
      <c r="K30" s="732"/>
    </row>
    <row r="31" spans="1:11" ht="12" customHeight="1" x14ac:dyDescent="0.2">
      <c r="A31" s="733" t="s">
        <v>2149</v>
      </c>
      <c r="B31" s="734">
        <v>41802</v>
      </c>
      <c r="C31" s="735">
        <v>1680000</v>
      </c>
      <c r="D31" s="736" t="s">
        <v>2153</v>
      </c>
      <c r="E31" s="735">
        <v>1050000</v>
      </c>
      <c r="F31" s="735"/>
      <c r="G31" s="735"/>
      <c r="H31" s="735">
        <v>420000</v>
      </c>
      <c r="I31" s="1778">
        <f>((E31+F31)-H31)+G31</f>
        <v>630000</v>
      </c>
      <c r="J31" s="735">
        <v>1347</v>
      </c>
      <c r="K31" s="737"/>
    </row>
    <row r="32" spans="1:11" ht="12" customHeight="1" x14ac:dyDescent="0.2">
      <c r="A32" s="733" t="s">
        <v>2150</v>
      </c>
      <c r="B32" s="734">
        <v>42766</v>
      </c>
      <c r="C32" s="735">
        <v>110390</v>
      </c>
      <c r="D32" s="736">
        <v>7</v>
      </c>
      <c r="E32" s="735">
        <v>103719</v>
      </c>
      <c r="F32" s="735"/>
      <c r="G32" s="735"/>
      <c r="H32" s="735">
        <v>103719</v>
      </c>
      <c r="I32" s="1778">
        <f>((E32+F32)-H32)+G32</f>
        <v>0</v>
      </c>
      <c r="J32" s="735"/>
      <c r="K32" s="737"/>
    </row>
    <row r="33" spans="1:11" ht="12" customHeight="1" x14ac:dyDescent="0.2">
      <c r="A33" s="733" t="s">
        <v>2151</v>
      </c>
      <c r="B33" s="734">
        <v>42724</v>
      </c>
      <c r="C33" s="735">
        <v>2900000</v>
      </c>
      <c r="D33" s="736">
        <v>7</v>
      </c>
      <c r="E33" s="735">
        <v>207907</v>
      </c>
      <c r="F33" s="735">
        <v>2692093</v>
      </c>
      <c r="G33" s="735"/>
      <c r="H33" s="735">
        <v>2900000</v>
      </c>
      <c r="I33" s="1778">
        <f t="shared" ref="I33:I48" si="1">((E33+F33)-H33)+G33</f>
        <v>0</v>
      </c>
      <c r="J33" s="735"/>
      <c r="K33" s="737"/>
    </row>
    <row r="34" spans="1:11" ht="12" customHeight="1" x14ac:dyDescent="0.2">
      <c r="A34" s="733" t="s">
        <v>2152</v>
      </c>
      <c r="B34" s="734">
        <v>42755</v>
      </c>
      <c r="C34" s="735">
        <v>46750</v>
      </c>
      <c r="D34" s="736">
        <v>8</v>
      </c>
      <c r="E34" s="735">
        <v>39044</v>
      </c>
      <c r="F34" s="735"/>
      <c r="G34" s="735"/>
      <c r="H34" s="735">
        <v>39044</v>
      </c>
      <c r="I34" s="1778">
        <f t="shared" si="1"/>
        <v>0</v>
      </c>
      <c r="J34" s="735"/>
      <c r="K34" s="738"/>
    </row>
    <row r="35" spans="1:11" ht="12" customHeight="1" x14ac:dyDescent="0.2">
      <c r="A35" s="733" t="s">
        <v>2154</v>
      </c>
      <c r="B35" s="734">
        <v>43280</v>
      </c>
      <c r="C35" s="739">
        <v>3065000</v>
      </c>
      <c r="D35" s="736">
        <v>3</v>
      </c>
      <c r="E35" s="739"/>
      <c r="F35" s="739">
        <v>3065000</v>
      </c>
      <c r="G35" s="739"/>
      <c r="H35" s="739"/>
      <c r="I35" s="1778">
        <f t="shared" si="1"/>
        <v>3065000</v>
      </c>
      <c r="J35" s="739">
        <v>3065000</v>
      </c>
      <c r="K35" s="738"/>
    </row>
    <row r="36" spans="1:11" ht="12" customHeight="1" x14ac:dyDescent="0.2">
      <c r="A36" s="733" t="s">
        <v>2155</v>
      </c>
      <c r="B36" s="734">
        <v>43280</v>
      </c>
      <c r="C36" s="735">
        <v>2300000</v>
      </c>
      <c r="D36" s="736" t="s">
        <v>2153</v>
      </c>
      <c r="E36" s="735"/>
      <c r="F36" s="735">
        <v>2300000</v>
      </c>
      <c r="G36" s="735"/>
      <c r="H36" s="735"/>
      <c r="I36" s="1778">
        <f t="shared" si="1"/>
        <v>2300000</v>
      </c>
      <c r="J36" s="735">
        <v>2300000</v>
      </c>
      <c r="K36" s="740"/>
    </row>
    <row r="37" spans="1:11" ht="12" customHeight="1" x14ac:dyDescent="0.2">
      <c r="A37" s="733" t="s">
        <v>2156</v>
      </c>
      <c r="B37" s="734">
        <v>42921</v>
      </c>
      <c r="C37" s="467">
        <v>532947</v>
      </c>
      <c r="D37" s="741">
        <v>7</v>
      </c>
      <c r="E37" s="467"/>
      <c r="F37" s="467">
        <v>532947</v>
      </c>
      <c r="G37" s="467"/>
      <c r="H37" s="467">
        <v>74439</v>
      </c>
      <c r="I37" s="1778">
        <f t="shared" si="1"/>
        <v>458508</v>
      </c>
      <c r="J37" s="467">
        <v>458508</v>
      </c>
      <c r="K37" s="738"/>
    </row>
    <row r="38" spans="1:11" ht="12" customHeight="1" x14ac:dyDescent="0.2">
      <c r="A38" s="733" t="s">
        <v>2156</v>
      </c>
      <c r="B38" s="734">
        <v>42936</v>
      </c>
      <c r="C38" s="735">
        <v>199201</v>
      </c>
      <c r="D38" s="742">
        <v>7</v>
      </c>
      <c r="E38" s="743"/>
      <c r="F38" s="743">
        <v>199201</v>
      </c>
      <c r="G38" s="743"/>
      <c r="H38" s="743">
        <v>42502</v>
      </c>
      <c r="I38" s="1778">
        <f t="shared" si="1"/>
        <v>156699</v>
      </c>
      <c r="J38" s="744">
        <v>156699</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10834288</v>
      </c>
      <c r="D49" s="746"/>
      <c r="E49" s="1778">
        <f t="shared" ref="E49:J49" si="2">SUM(E31:E48)</f>
        <v>1400670</v>
      </c>
      <c r="F49" s="1778">
        <f t="shared" si="2"/>
        <v>8789241</v>
      </c>
      <c r="G49" s="1778">
        <f t="shared" si="2"/>
        <v>0</v>
      </c>
      <c r="H49" s="1778">
        <f t="shared" si="2"/>
        <v>3579704</v>
      </c>
      <c r="I49" s="1778">
        <f t="shared" si="2"/>
        <v>6610207</v>
      </c>
      <c r="J49" s="1778">
        <f t="shared" si="2"/>
        <v>5981554</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2" t="s">
        <v>604</v>
      </c>
      <c r="C52" s="2223"/>
      <c r="D52" s="2223"/>
      <c r="E52" s="750" t="s">
        <v>899</v>
      </c>
      <c r="F52" s="2224" t="s">
        <v>2157</v>
      </c>
      <c r="G52" s="2225"/>
      <c r="H52" s="737"/>
      <c r="I52" s="737"/>
      <c r="J52" s="747"/>
    </row>
    <row r="53" spans="1:11" ht="11.25" customHeight="1" x14ac:dyDescent="0.2">
      <c r="A53" s="751" t="s">
        <v>968</v>
      </c>
      <c r="B53" s="752" t="s">
        <v>1007</v>
      </c>
      <c r="C53" s="747"/>
      <c r="D53" s="738"/>
      <c r="E53" s="750" t="s">
        <v>517</v>
      </c>
      <c r="F53" s="2226" t="s">
        <v>2158</v>
      </c>
      <c r="G53" s="2227"/>
      <c r="H53" s="737"/>
      <c r="I53" s="737"/>
      <c r="J53" s="747"/>
    </row>
    <row r="54" spans="1:11" ht="11.25" customHeight="1" x14ac:dyDescent="0.2">
      <c r="A54" s="753" t="s">
        <v>969</v>
      </c>
      <c r="B54" s="748" t="s">
        <v>1008</v>
      </c>
      <c r="C54" s="747"/>
      <c r="D54" s="738"/>
      <c r="E54" s="750" t="s">
        <v>518</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gridLinesSet="0"/>
  <pageMargins left="0.75" right="0.75" top="1" bottom="0.5" header="0.5" footer="0.5"/>
  <pageSetup scale="64" firstPageNumber="24" fitToHeight="0" orientation="landscape" r:id="rId1"/>
  <headerFooter>
    <oddHeader>&amp;C&amp;"Times New Roman,Regular"MADISON COMMUNITY UNIT SCHOOL DISTRICT NO. 12
SCHEDULE OF SHORT-TERM AND LONG-TERM DEBT
FOR THE YEAR ENDED JUNE 30, 2018</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910</v>
      </c>
      <c r="B1" s="2257"/>
      <c r="C1" s="2257"/>
      <c r="D1" s="2257"/>
      <c r="E1" s="2257"/>
      <c r="F1" s="2257"/>
      <c r="G1" s="2258"/>
      <c r="H1" s="1552"/>
      <c r="I1" s="761"/>
      <c r="J1" s="433"/>
    </row>
    <row r="2" spans="1:11" ht="26.25" x14ac:dyDescent="0.2">
      <c r="A2" s="2235" t="s">
        <v>1775</v>
      </c>
      <c r="B2" s="2236"/>
      <c r="C2" s="2236"/>
      <c r="D2" s="2236"/>
      <c r="E2" s="2237"/>
      <c r="F2" s="762" t="s">
        <v>959</v>
      </c>
      <c r="G2" s="763" t="s">
        <v>1772</v>
      </c>
      <c r="H2" s="763" t="s">
        <v>429</v>
      </c>
      <c r="I2" s="763" t="s">
        <v>1219</v>
      </c>
      <c r="J2" s="763" t="s">
        <v>1915</v>
      </c>
      <c r="K2" s="763" t="s">
        <v>140</v>
      </c>
    </row>
    <row r="3" spans="1:11" x14ac:dyDescent="0.2">
      <c r="A3" s="2238" t="s">
        <v>1697</v>
      </c>
      <c r="B3" s="2239"/>
      <c r="C3" s="2239"/>
      <c r="D3" s="2239"/>
      <c r="E3" s="2240"/>
      <c r="F3" s="764"/>
      <c r="G3" s="765"/>
      <c r="H3" s="765"/>
      <c r="I3" s="765"/>
      <c r="J3" s="766"/>
      <c r="K3" s="766"/>
    </row>
    <row r="4" spans="1:11" x14ac:dyDescent="0.2">
      <c r="A4" s="2241" t="s">
        <v>386</v>
      </c>
      <c r="B4" s="2242"/>
      <c r="C4" s="2242"/>
      <c r="D4" s="2242"/>
      <c r="E4" s="2223"/>
      <c r="F4" s="767"/>
      <c r="G4" s="768"/>
      <c r="H4" s="769"/>
      <c r="I4" s="768"/>
      <c r="J4" s="770"/>
      <c r="K4" s="770"/>
    </row>
    <row r="5" spans="1:11" x14ac:dyDescent="0.2">
      <c r="A5" s="2259" t="s">
        <v>1128</v>
      </c>
      <c r="B5" s="2232"/>
      <c r="C5" s="2232"/>
      <c r="D5" s="2232"/>
      <c r="E5" s="2260"/>
      <c r="F5" s="771" t="s">
        <v>902</v>
      </c>
      <c r="G5" s="772"/>
      <c r="H5" s="765">
        <v>9345</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5425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59" t="s">
        <v>1916</v>
      </c>
      <c r="B10" s="2232"/>
      <c r="C10" s="2232"/>
      <c r="D10" s="2232"/>
      <c r="E10" s="2261"/>
      <c r="F10" s="784" t="s">
        <v>916</v>
      </c>
      <c r="G10" s="783"/>
      <c r="H10" s="785"/>
      <c r="I10" s="765"/>
      <c r="J10" s="766"/>
      <c r="K10" s="766"/>
    </row>
    <row r="11" spans="1:11" x14ac:dyDescent="0.2">
      <c r="A11" s="2259" t="s">
        <v>162</v>
      </c>
      <c r="B11" s="2232"/>
      <c r="C11" s="2232"/>
      <c r="D11" s="2232"/>
      <c r="E11" s="2260"/>
      <c r="F11" s="771" t="s">
        <v>906</v>
      </c>
      <c r="G11" s="772"/>
      <c r="H11" s="765"/>
      <c r="I11" s="765"/>
      <c r="J11" s="766"/>
      <c r="K11" s="774"/>
    </row>
    <row r="12" spans="1:11" ht="13.5" thickBot="1" x14ac:dyDescent="0.25">
      <c r="A12" s="2249" t="s">
        <v>960</v>
      </c>
      <c r="B12" s="2250"/>
      <c r="C12" s="2250"/>
      <c r="D12" s="2250"/>
      <c r="E12" s="2251"/>
      <c r="F12" s="1779"/>
      <c r="G12" s="1780">
        <f>SUM(G5:G11)</f>
        <v>0</v>
      </c>
      <c r="H12" s="1780">
        <f>SUM(H5:H11)</f>
        <v>9345</v>
      </c>
      <c r="I12" s="1780">
        <f>SUM(I5:I11)</f>
        <v>0</v>
      </c>
      <c r="J12" s="1780">
        <f>SUM(J5:J11)</f>
        <v>0</v>
      </c>
      <c r="K12" s="1780">
        <f>SUM(K5:K11)</f>
        <v>5425</v>
      </c>
    </row>
    <row r="13" spans="1:11" ht="13.5" thickTop="1" x14ac:dyDescent="0.2">
      <c r="A13" s="2243" t="s">
        <v>387</v>
      </c>
      <c r="B13" s="2244"/>
      <c r="C13" s="2244"/>
      <c r="D13" s="2244"/>
      <c r="E13" s="2245"/>
      <c r="F13" s="786"/>
      <c r="G13" s="787"/>
      <c r="H13" s="788"/>
      <c r="I13" s="789"/>
      <c r="J13" s="789"/>
      <c r="K13" s="789"/>
    </row>
    <row r="14" spans="1:11" x14ac:dyDescent="0.2">
      <c r="A14" s="2265" t="s">
        <v>475</v>
      </c>
      <c r="B14" s="2265"/>
      <c r="C14" s="2265"/>
      <c r="D14" s="2265"/>
      <c r="E14" s="2266"/>
      <c r="F14" s="790" t="s">
        <v>908</v>
      </c>
      <c r="G14" s="783"/>
      <c r="H14" s="765">
        <v>9345</v>
      </c>
      <c r="I14" s="772"/>
      <c r="J14" s="774"/>
      <c r="K14" s="766">
        <v>5425</v>
      </c>
    </row>
    <row r="15" spans="1:11" x14ac:dyDescent="0.2">
      <c r="A15" s="2232" t="s">
        <v>4</v>
      </c>
      <c r="B15" s="2232"/>
      <c r="C15" s="2232"/>
      <c r="D15" s="2232"/>
      <c r="E15" s="2260"/>
      <c r="F15" s="790" t="s">
        <v>909</v>
      </c>
      <c r="G15" s="772"/>
      <c r="H15" s="765"/>
      <c r="I15" s="765"/>
      <c r="J15" s="766"/>
      <c r="K15" s="766"/>
    </row>
    <row r="16" spans="1:11" x14ac:dyDescent="0.2">
      <c r="A16" s="2232" t="s">
        <v>315</v>
      </c>
      <c r="B16" s="2232"/>
      <c r="C16" s="2232"/>
      <c r="D16" s="2232"/>
      <c r="E16" s="2260"/>
      <c r="F16" s="790" t="s">
        <v>979</v>
      </c>
      <c r="G16" s="773"/>
      <c r="H16" s="768"/>
      <c r="I16" s="768"/>
      <c r="J16" s="770"/>
      <c r="K16" s="770"/>
    </row>
    <row r="17" spans="1:11" x14ac:dyDescent="0.2">
      <c r="A17" s="2254" t="s">
        <v>991</v>
      </c>
      <c r="B17" s="2254"/>
      <c r="C17" s="2254"/>
      <c r="D17" s="2254"/>
      <c r="E17" s="2255"/>
      <c r="F17" s="791"/>
      <c r="G17" s="792"/>
      <c r="H17" s="793"/>
      <c r="I17" s="793"/>
      <c r="J17" s="794"/>
      <c r="K17" s="795"/>
    </row>
    <row r="18" spans="1:11" x14ac:dyDescent="0.2">
      <c r="A18" s="2246" t="s">
        <v>385</v>
      </c>
      <c r="B18" s="2247"/>
      <c r="C18" s="2247"/>
      <c r="D18" s="2247"/>
      <c r="E18" s="2248"/>
      <c r="F18" s="790" t="s">
        <v>988</v>
      </c>
      <c r="G18" s="783"/>
      <c r="H18" s="783"/>
      <c r="I18" s="783"/>
      <c r="J18" s="766"/>
      <c r="K18" s="796"/>
    </row>
    <row r="19" spans="1:11" ht="21.75" customHeight="1" x14ac:dyDescent="0.2">
      <c r="A19" s="2267" t="s">
        <v>1912</v>
      </c>
      <c r="B19" s="2267"/>
      <c r="C19" s="2267"/>
      <c r="D19" s="2267"/>
      <c r="E19" s="2268"/>
      <c r="F19" s="790" t="s">
        <v>989</v>
      </c>
      <c r="G19" s="783"/>
      <c r="H19" s="783"/>
      <c r="I19" s="783"/>
      <c r="J19" s="766"/>
      <c r="K19" s="796"/>
    </row>
    <row r="20" spans="1:11" x14ac:dyDescent="0.2">
      <c r="A20" s="2246" t="s">
        <v>1917</v>
      </c>
      <c r="B20" s="2247"/>
      <c r="C20" s="2247"/>
      <c r="D20" s="2247"/>
      <c r="E20" s="2248"/>
      <c r="F20" s="790" t="s">
        <v>990</v>
      </c>
      <c r="G20" s="783"/>
      <c r="H20" s="783"/>
      <c r="I20" s="783"/>
      <c r="J20" s="766"/>
      <c r="K20" s="796"/>
    </row>
    <row r="21" spans="1:11" ht="13.5" thickBot="1" x14ac:dyDescent="0.25">
      <c r="A21" s="2252" t="s">
        <v>658</v>
      </c>
      <c r="B21" s="2252"/>
      <c r="C21" s="2252"/>
      <c r="D21" s="2252"/>
      <c r="E21" s="2252"/>
      <c r="F21" s="1781"/>
      <c r="G21" s="793"/>
      <c r="H21" s="797"/>
      <c r="I21" s="797"/>
      <c r="J21" s="1782">
        <f>SUM(J18:J20)</f>
        <v>0</v>
      </c>
      <c r="K21" s="794"/>
    </row>
    <row r="22" spans="1:11" ht="13.5" thickTop="1" x14ac:dyDescent="0.2">
      <c r="A22" s="2232" t="s">
        <v>1918</v>
      </c>
      <c r="B22" s="2232"/>
      <c r="C22" s="2232"/>
      <c r="D22" s="2232"/>
      <c r="E22" s="2260"/>
      <c r="F22" s="790" t="s">
        <v>916</v>
      </c>
      <c r="G22" s="783"/>
      <c r="H22" s="765"/>
      <c r="I22" s="765"/>
      <c r="J22" s="798"/>
      <c r="K22" s="766"/>
    </row>
    <row r="23" spans="1:11" ht="13.5" thickBot="1" x14ac:dyDescent="0.25">
      <c r="A23" s="2253" t="s">
        <v>961</v>
      </c>
      <c r="B23" s="2252"/>
      <c r="C23" s="2252"/>
      <c r="D23" s="2252"/>
      <c r="E23" s="2252"/>
      <c r="F23" s="1783"/>
      <c r="G23" s="1780">
        <f>SUM(G14:G16,G21,G22)</f>
        <v>0</v>
      </c>
      <c r="H23" s="1780">
        <f>SUM(H14:H16,H21,H22)</f>
        <v>9345</v>
      </c>
      <c r="I23" s="1780">
        <f>SUM(I14:I16,I21,I22)</f>
        <v>0</v>
      </c>
      <c r="J23" s="1780">
        <f>SUM(J14:J16,J21,J22)</f>
        <v>0</v>
      </c>
      <c r="K23" s="1780">
        <f>SUM(K14:K16,K21,K22)</f>
        <v>5425</v>
      </c>
    </row>
    <row r="24" spans="1:11" ht="14.25" thickTop="1" thickBot="1" x14ac:dyDescent="0.25">
      <c r="A24" s="2253" t="s">
        <v>2022</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2"/>
      <c r="I31" s="2263"/>
      <c r="J31" s="2263"/>
      <c r="K31" s="2263"/>
    </row>
    <row r="32" spans="1:11" x14ac:dyDescent="0.2">
      <c r="A32" s="810"/>
      <c r="B32" s="237"/>
      <c r="C32" s="237"/>
      <c r="D32" s="237"/>
      <c r="E32" s="806"/>
      <c r="F32" s="812" t="s">
        <v>560</v>
      </c>
      <c r="G32" s="765"/>
      <c r="H32" s="2264"/>
      <c r="I32" s="2263"/>
      <c r="J32" s="2263"/>
      <c r="K32" s="2263"/>
    </row>
    <row r="33" spans="1:11" ht="1.5" customHeight="1" x14ac:dyDescent="0.2">
      <c r="A33" s="813" t="s">
        <v>1230</v>
      </c>
      <c r="B33" s="364"/>
      <c r="C33" s="364"/>
      <c r="D33" s="364"/>
      <c r="E33" s="364"/>
      <c r="F33" s="364"/>
      <c r="G33" s="814"/>
      <c r="H33" s="2264"/>
      <c r="I33" s="2263"/>
      <c r="J33" s="2263"/>
      <c r="K33" s="2263"/>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2" t="s">
        <v>561</v>
      </c>
      <c r="B41" s="2233"/>
      <c r="C41" s="2233"/>
      <c r="D41" s="2233"/>
      <c r="E41" s="2233"/>
      <c r="F41" s="2234"/>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orizontalCentered="1"/>
  <pageMargins left="0.75" right="0.75" top="1.1000000000000001" bottom="0.5" header="0.5" footer="0.5"/>
  <pageSetup scale="74" firstPageNumber="25" orientation="landscape" r:id="rId1"/>
  <headerFooter>
    <oddHeader>&amp;C&amp;"Times New Roman,Regular"MADISON COMMUNITY UNIT SCHOOL DISTRICT NO. 12
SCHEDULE OF RESTRICTED LOCAL TAX LEVIES AND SELECTED REVENUE SOURCES
SCHEDULE OF TORT IMMUNITY EXPENDITURES
FOR THE YEAR ENDED JUNE 30, 2018</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L14" sqref="L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2031</v>
      </c>
      <c r="B1" s="2272"/>
      <c r="C1" s="2273"/>
      <c r="D1" s="827"/>
      <c r="E1" s="828"/>
      <c r="F1" s="828"/>
      <c r="G1" s="829"/>
      <c r="H1" s="830"/>
      <c r="I1" s="831"/>
      <c r="J1" s="2269"/>
      <c r="K1" s="2270"/>
      <c r="L1" s="2270"/>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233604</v>
      </c>
      <c r="D5" s="842"/>
      <c r="E5" s="842"/>
      <c r="F5" s="1782">
        <f>(C5+D5)-E5</f>
        <v>233604</v>
      </c>
      <c r="G5" s="838"/>
      <c r="H5" s="843"/>
      <c r="I5" s="843"/>
      <c r="J5" s="843"/>
      <c r="K5" s="794"/>
      <c r="L5" s="1791">
        <f>F5-K5</f>
        <v>233604</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9282578</v>
      </c>
      <c r="D8" s="845">
        <v>2710021</v>
      </c>
      <c r="E8" s="845"/>
      <c r="F8" s="1782">
        <f>(C8+D8)-E8</f>
        <v>11992599</v>
      </c>
      <c r="G8" s="844">
        <v>50</v>
      </c>
      <c r="H8" s="766">
        <v>4993999</v>
      </c>
      <c r="I8" s="766">
        <v>162913</v>
      </c>
      <c r="J8" s="766"/>
      <c r="K8" s="1791">
        <f>(H8+I8)-J8</f>
        <v>5156912</v>
      </c>
      <c r="L8" s="1791">
        <f>F8-K8</f>
        <v>6835687</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1038750</v>
      </c>
      <c r="D10" s="847"/>
      <c r="E10" s="847"/>
      <c r="F10" s="1786">
        <f>(C10+D10)-E10</f>
        <v>1038750</v>
      </c>
      <c r="G10" s="844">
        <v>20</v>
      </c>
      <c r="H10" s="848">
        <v>880720</v>
      </c>
      <c r="I10" s="848">
        <v>31607</v>
      </c>
      <c r="J10" s="848"/>
      <c r="K10" s="1791">
        <f>(H10+I10)-J10</f>
        <v>912327</v>
      </c>
      <c r="L10" s="1791">
        <f>F10-K10</f>
        <v>126423</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3205904</v>
      </c>
      <c r="D12" s="845">
        <v>22440</v>
      </c>
      <c r="E12" s="845">
        <v>184483</v>
      </c>
      <c r="F12" s="1782">
        <f>(C12+D12)-E12</f>
        <v>3043861</v>
      </c>
      <c r="G12" s="844">
        <v>10</v>
      </c>
      <c r="H12" s="766">
        <v>2817279</v>
      </c>
      <c r="I12" s="766">
        <v>77252</v>
      </c>
      <c r="J12" s="766">
        <v>184483</v>
      </c>
      <c r="K12" s="1791">
        <f>(H12+I12)-J12</f>
        <v>2710048</v>
      </c>
      <c r="L12" s="1791">
        <f>F12-K12</f>
        <v>333813</v>
      </c>
    </row>
    <row r="13" spans="1:14" ht="14.25" thickTop="1" thickBot="1" x14ac:dyDescent="0.25">
      <c r="A13" s="849" t="s">
        <v>1183</v>
      </c>
      <c r="B13" s="841">
        <v>252</v>
      </c>
      <c r="C13" s="845">
        <v>238742</v>
      </c>
      <c r="D13" s="845">
        <v>698077</v>
      </c>
      <c r="E13" s="845">
        <v>54008</v>
      </c>
      <c r="F13" s="1782">
        <f>(C13+D13)-E13</f>
        <v>882811</v>
      </c>
      <c r="G13" s="844">
        <v>5</v>
      </c>
      <c r="H13" s="766">
        <v>197788</v>
      </c>
      <c r="I13" s="766">
        <v>150142</v>
      </c>
      <c r="J13" s="766">
        <v>54008</v>
      </c>
      <c r="K13" s="1791">
        <f>(H13+I13)-J13</f>
        <v>293922</v>
      </c>
      <c r="L13" s="1791">
        <f>F13-K13</f>
        <v>588889</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13999578</v>
      </c>
      <c r="D16" s="1782">
        <f>SUM(D3,D5:D6,D8:D10,D12:D15)</f>
        <v>3430538</v>
      </c>
      <c r="E16" s="1782">
        <f>SUM(E3,E5:E6,E8:E10,E12:E15)</f>
        <v>238491</v>
      </c>
      <c r="F16" s="1782">
        <f>SUM(F3,F5:F6,F8:F10,F12:F15)</f>
        <v>17191625</v>
      </c>
      <c r="G16" s="844"/>
      <c r="H16" s="1782">
        <f>SUM(H3,H6,H8:H10,H12:H14,)</f>
        <v>8889786</v>
      </c>
      <c r="I16" s="1782">
        <f>SUM(I3,I6,I8:I10,I12:I14,)</f>
        <v>421914</v>
      </c>
      <c r="J16" s="1782">
        <f>SUM(J3,J6,J8:J10,J12:J14,)</f>
        <v>238491</v>
      </c>
      <c r="K16" s="1782">
        <f>(H16+I16)-J16</f>
        <v>9073209</v>
      </c>
      <c r="L16" s="1782">
        <f>F16-K16</f>
        <v>8118416</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421914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orizontalCentered="1"/>
  <pageMargins left="0.75" right="0.75" top="1.75" bottom="0.5" header="0.5" footer="0.5"/>
  <pageSetup scale="74" firstPageNumber="26" orientation="landscape" r:id="rId1"/>
  <headerFooter>
    <oddHeader>&amp;C&amp;"Times New Roman,Regular"MADISON COMMUNITY UNIT SCHOOL DISTRICT NO. 12
SCHEDULE OF CAPITAL OUTLAY AND DEPRECIATION
FOR THE YEAR ENDED JUNE 30, 2018</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AF38" sqref="AF38"/>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1698</v>
      </c>
      <c r="B1" s="2278"/>
      <c r="C1" s="2278"/>
      <c r="D1" s="2278"/>
      <c r="E1" s="2278"/>
      <c r="F1" s="2279"/>
      <c r="G1" s="856"/>
    </row>
    <row r="2" spans="1:7" ht="15" customHeight="1" thickBot="1" x14ac:dyDescent="0.25">
      <c r="A2" s="2280" t="s">
        <v>497</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3"/>
      <c r="B5" s="2284"/>
      <c r="C5" s="2284"/>
      <c r="D5" s="2284"/>
      <c r="E5" s="2284"/>
      <c r="F5" s="2284"/>
    </row>
    <row r="6" spans="1:7" ht="13.5" customHeight="1" thickBot="1" x14ac:dyDescent="0.25">
      <c r="A6" s="2274" t="s">
        <v>1165</v>
      </c>
      <c r="B6" s="2275"/>
      <c r="C6" s="2275"/>
      <c r="D6" s="2275"/>
      <c r="E6" s="2275"/>
      <c r="F6" s="2276"/>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9373911</v>
      </c>
      <c r="G8" s="866"/>
    </row>
    <row r="9" spans="1:7" x14ac:dyDescent="0.2">
      <c r="A9" s="870" t="s">
        <v>479</v>
      </c>
      <c r="B9" s="871" t="s">
        <v>1985</v>
      </c>
      <c r="C9" s="872"/>
      <c r="D9" s="870" t="s">
        <v>521</v>
      </c>
      <c r="E9" s="869"/>
      <c r="F9" s="1935">
        <f>'Expenditures 15-22'!K151</f>
        <v>3091553</v>
      </c>
      <c r="G9" s="873"/>
    </row>
    <row r="10" spans="1:7" x14ac:dyDescent="0.2">
      <c r="A10" s="870" t="s">
        <v>519</v>
      </c>
      <c r="B10" s="871" t="s">
        <v>1986</v>
      </c>
      <c r="C10" s="872"/>
      <c r="D10" s="870" t="s">
        <v>521</v>
      </c>
      <c r="E10" s="869"/>
      <c r="F10" s="1935">
        <f>'Expenditures 15-22'!K174</f>
        <v>4077112</v>
      </c>
      <c r="G10" s="873"/>
    </row>
    <row r="11" spans="1:7" x14ac:dyDescent="0.2">
      <c r="A11" s="870" t="s">
        <v>480</v>
      </c>
      <c r="B11" s="871" t="s">
        <v>1987</v>
      </c>
      <c r="C11" s="872"/>
      <c r="D11" s="870" t="s">
        <v>521</v>
      </c>
      <c r="E11" s="869"/>
      <c r="F11" s="1935">
        <f>'Expenditures 15-22'!K210</f>
        <v>1189543</v>
      </c>
      <c r="G11" s="873"/>
    </row>
    <row r="12" spans="1:7" x14ac:dyDescent="0.2">
      <c r="A12" s="870" t="s">
        <v>481</v>
      </c>
      <c r="B12" s="871" t="s">
        <v>1988</v>
      </c>
      <c r="C12" s="872"/>
      <c r="D12" s="870" t="s">
        <v>521</v>
      </c>
      <c r="E12" s="869"/>
      <c r="F12" s="1935">
        <f>'Expenditures 15-22'!K295</f>
        <v>387880</v>
      </c>
      <c r="G12" s="873"/>
    </row>
    <row r="13" spans="1:7" x14ac:dyDescent="0.2">
      <c r="A13" s="870" t="s">
        <v>108</v>
      </c>
      <c r="B13" s="871" t="s">
        <v>1989</v>
      </c>
      <c r="C13" s="872"/>
      <c r="D13" s="870" t="s">
        <v>521</v>
      </c>
      <c r="E13" s="869"/>
      <c r="F13" s="1935">
        <f>'Expenditures 15-22'!K342</f>
        <v>49028</v>
      </c>
      <c r="G13" s="874"/>
    </row>
    <row r="14" spans="1:7" ht="12" customHeight="1" thickBot="1" x14ac:dyDescent="0.25">
      <c r="A14" s="1792"/>
      <c r="B14" s="1793"/>
      <c r="C14" s="1794"/>
      <c r="D14" s="1795" t="s">
        <v>521</v>
      </c>
      <c r="E14" s="1796" t="s">
        <v>1014</v>
      </c>
      <c r="F14" s="1797">
        <f>SUM(F8:F13)</f>
        <v>18169027</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207752</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31559</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381207</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274587</v>
      </c>
      <c r="G52" s="866"/>
    </row>
    <row r="53" spans="1:7" x14ac:dyDescent="0.2">
      <c r="A53" s="870" t="s">
        <v>478</v>
      </c>
      <c r="B53" s="870" t="s">
        <v>1550</v>
      </c>
      <c r="C53" s="890">
        <f>'Expenditures 15-22'!B102</f>
        <v>4000</v>
      </c>
      <c r="D53" s="889" t="str">
        <f>'Expenditures 15-22'!A102</f>
        <v>Total Payments to Other Govt Units</v>
      </c>
      <c r="E53" s="869"/>
      <c r="F53" s="1939">
        <f>'Expenditures 15-22'!K102</f>
        <v>44502</v>
      </c>
      <c r="G53" s="866"/>
    </row>
    <row r="54" spans="1:7" x14ac:dyDescent="0.2">
      <c r="A54" s="870" t="s">
        <v>478</v>
      </c>
      <c r="B54" s="870" t="s">
        <v>1551</v>
      </c>
      <c r="C54" s="890" t="s">
        <v>1038</v>
      </c>
      <c r="D54" s="886" t="s">
        <v>1156</v>
      </c>
      <c r="E54" s="869"/>
      <c r="F54" s="1939">
        <f>'Expenditures 15-22'!G114</f>
        <v>22325</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9">
        <f>'Expenditures 15-22'!K139</f>
        <v>0</v>
      </c>
      <c r="G57" s="866"/>
    </row>
    <row r="58" spans="1:7" x14ac:dyDescent="0.2">
      <c r="A58" s="870" t="s">
        <v>479</v>
      </c>
      <c r="B58" s="870" t="s">
        <v>1991</v>
      </c>
      <c r="C58" s="887" t="s">
        <v>1038</v>
      </c>
      <c r="D58" s="886" t="s">
        <v>1156</v>
      </c>
      <c r="E58" s="869"/>
      <c r="F58" s="1941">
        <f>'Expenditures 15-22'!G151</f>
        <v>2710136</v>
      </c>
      <c r="G58" s="866"/>
    </row>
    <row r="59" spans="1:7" x14ac:dyDescent="0.2">
      <c r="A59" s="894" t="s">
        <v>479</v>
      </c>
      <c r="B59" s="857" t="s">
        <v>1992</v>
      </c>
      <c r="C59" s="895" t="s">
        <v>1038</v>
      </c>
      <c r="D59" s="857" t="s">
        <v>308</v>
      </c>
      <c r="F59" s="1942">
        <f>'Expenditures 15-22'!I151</f>
        <v>0</v>
      </c>
      <c r="G59" s="866"/>
    </row>
    <row r="60" spans="1:7" x14ac:dyDescent="0.2">
      <c r="A60" s="894" t="s">
        <v>519</v>
      </c>
      <c r="B60" s="857" t="s">
        <v>1993</v>
      </c>
      <c r="C60" s="895">
        <v>4000</v>
      </c>
      <c r="D60" s="857" t="s">
        <v>329</v>
      </c>
      <c r="F60" s="1940">
        <f>'Expenditures 15-22'!K160</f>
        <v>0</v>
      </c>
      <c r="G60" s="866"/>
    </row>
    <row r="61" spans="1:7" x14ac:dyDescent="0.2">
      <c r="A61" s="896" t="s">
        <v>519</v>
      </c>
      <c r="B61" s="896" t="s">
        <v>1994</v>
      </c>
      <c r="C61" s="897" t="str">
        <f>'Expenditures 15-22'!B170</f>
        <v>5300</v>
      </c>
      <c r="D61" s="898" t="s">
        <v>328</v>
      </c>
      <c r="E61" s="880"/>
      <c r="F61" s="1939">
        <f>'Expenditures 15-22'!K170</f>
        <v>3579704</v>
      </c>
      <c r="G61" s="866"/>
    </row>
    <row r="62" spans="1:7" x14ac:dyDescent="0.2">
      <c r="A62" s="870" t="s">
        <v>480</v>
      </c>
      <c r="B62" s="870" t="s">
        <v>1995</v>
      </c>
      <c r="C62" s="887">
        <f>'Expenditures 15-22'!B185</f>
        <v>3000</v>
      </c>
      <c r="D62" s="877" t="s">
        <v>468</v>
      </c>
      <c r="E62" s="869"/>
      <c r="F62" s="1939">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1997</v>
      </c>
      <c r="C64" s="897" t="str">
        <f>'Expenditures 15-22'!B206</f>
        <v>5300</v>
      </c>
      <c r="D64" s="893" t="s">
        <v>328</v>
      </c>
      <c r="E64" s="869"/>
      <c r="F64" s="1939">
        <f>'Expenditures 15-22'!K206</f>
        <v>0</v>
      </c>
      <c r="G64" s="866"/>
    </row>
    <row r="65" spans="1:8" x14ac:dyDescent="0.2">
      <c r="A65" s="870" t="s">
        <v>480</v>
      </c>
      <c r="B65" s="870" t="s">
        <v>1998</v>
      </c>
      <c r="C65" s="887" t="s">
        <v>1038</v>
      </c>
      <c r="D65" s="886" t="s">
        <v>1156</v>
      </c>
      <c r="E65" s="869"/>
      <c r="F65" s="1939">
        <f>'Expenditures 15-22'!G210</f>
        <v>698077</v>
      </c>
      <c r="G65" s="866"/>
    </row>
    <row r="66" spans="1:8" x14ac:dyDescent="0.2">
      <c r="A66" s="870" t="s">
        <v>480</v>
      </c>
      <c r="B66" s="870" t="s">
        <v>1999</v>
      </c>
      <c r="C66" s="887" t="s">
        <v>1038</v>
      </c>
      <c r="D66" s="886" t="s">
        <v>308</v>
      </c>
      <c r="E66" s="869"/>
      <c r="F66" s="1939">
        <f>'Expenditures 15-22'!I210</f>
        <v>0</v>
      </c>
      <c r="G66" s="866"/>
    </row>
    <row r="67" spans="1:8" x14ac:dyDescent="0.2">
      <c r="A67" s="870" t="s">
        <v>481</v>
      </c>
      <c r="B67" s="870" t="s">
        <v>2000</v>
      </c>
      <c r="C67" s="887" t="str">
        <f>'Expenditures 15-22'!B216</f>
        <v>1125</v>
      </c>
      <c r="D67" s="893" t="str">
        <f>'Expenditures 15-22'!A216</f>
        <v>Pre-K Programs</v>
      </c>
      <c r="E67" s="869"/>
      <c r="F67" s="1939">
        <f>'Expenditures 15-22'!K216</f>
        <v>12383</v>
      </c>
      <c r="G67" s="866"/>
    </row>
    <row r="68" spans="1:8" x14ac:dyDescent="0.2">
      <c r="A68" s="870" t="s">
        <v>481</v>
      </c>
      <c r="B68" s="870" t="s">
        <v>1554</v>
      </c>
      <c r="C68" s="887" t="str">
        <f>'Expenditures 15-22'!B218</f>
        <v>1225</v>
      </c>
      <c r="D68" s="893" t="str">
        <f>'Expenditures 15-22'!A218</f>
        <v>Special Education Programs - Pre-K</v>
      </c>
      <c r="E68" s="869"/>
      <c r="F68" s="1939">
        <f>'Expenditures 15-22'!K218</f>
        <v>4256</v>
      </c>
      <c r="G68" s="866"/>
    </row>
    <row r="69" spans="1:8" x14ac:dyDescent="0.2">
      <c r="A69" s="870" t="s">
        <v>481</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2002</v>
      </c>
      <c r="C70" s="887">
        <f>'Expenditures 15-22'!B221</f>
        <v>1300</v>
      </c>
      <c r="D70" s="888" t="str">
        <f>'Expenditures 15-22'!A221</f>
        <v>Adult/Continuing Education Programs</v>
      </c>
      <c r="E70" s="869"/>
      <c r="F70" s="1939">
        <f>'Expenditures 15-22'!K221</f>
        <v>0</v>
      </c>
      <c r="G70" s="866"/>
    </row>
    <row r="71" spans="1:8" x14ac:dyDescent="0.2">
      <c r="A71" s="870" t="s">
        <v>481</v>
      </c>
      <c r="B71" s="870" t="s">
        <v>2003</v>
      </c>
      <c r="C71" s="887">
        <f>'Expenditures 15-22'!B224</f>
        <v>1600</v>
      </c>
      <c r="D71" s="888" t="str">
        <f>'Expenditures 15-22'!A224</f>
        <v>Summer School Programs</v>
      </c>
      <c r="E71" s="869"/>
      <c r="F71" s="1939">
        <f>'Expenditures 15-22'!K224</f>
        <v>0</v>
      </c>
      <c r="G71" s="866"/>
    </row>
    <row r="72" spans="1:8" x14ac:dyDescent="0.2">
      <c r="A72" s="870" t="s">
        <v>481</v>
      </c>
      <c r="B72" s="870" t="s">
        <v>2004</v>
      </c>
      <c r="C72" s="887">
        <f>'Expenditures 15-22'!B280</f>
        <v>3000</v>
      </c>
      <c r="D72" s="877" t="s">
        <v>468</v>
      </c>
      <c r="E72" s="869"/>
      <c r="F72" s="1939">
        <f>'Expenditures 15-22'!K280</f>
        <v>27334</v>
      </c>
      <c r="G72" s="866"/>
    </row>
    <row r="73" spans="1:8" x14ac:dyDescent="0.2">
      <c r="A73" s="870" t="s">
        <v>481</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2006</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7993822</v>
      </c>
      <c r="G76" s="866"/>
    </row>
    <row r="77" spans="1:8" s="894" customFormat="1" ht="12" customHeight="1" thickTop="1" thickBot="1" x14ac:dyDescent="0.25">
      <c r="A77" s="1801"/>
      <c r="B77" s="1798"/>
      <c r="C77" s="1794"/>
      <c r="D77" s="1799" t="s">
        <v>2008</v>
      </c>
      <c r="E77" s="1796"/>
      <c r="F77" s="1802">
        <f>(F14-F76)</f>
        <v>10175205</v>
      </c>
      <c r="G77" s="870"/>
    </row>
    <row r="78" spans="1:8" s="894" customFormat="1" ht="12" customHeight="1" thickTop="1" x14ac:dyDescent="0.2">
      <c r="A78" s="1803"/>
      <c r="B78" s="1798"/>
      <c r="C78" s="1794"/>
      <c r="D78" s="1799" t="s">
        <v>2055</v>
      </c>
      <c r="E78" s="1796"/>
      <c r="F78" s="899">
        <v>621.67999999999995</v>
      </c>
      <c r="G78" s="900"/>
      <c r="H78" s="870"/>
    </row>
    <row r="79" spans="1:8" s="894" customFormat="1" ht="12" customHeight="1" thickBot="1" x14ac:dyDescent="0.25">
      <c r="A79" s="1804"/>
      <c r="B79" s="1798"/>
      <c r="C79" s="1794"/>
      <c r="D79" s="1799" t="s">
        <v>2009</v>
      </c>
      <c r="E79" s="1796" t="s">
        <v>1014</v>
      </c>
      <c r="F79" s="1805">
        <f>IF(F78&gt;0,F77/F78," Complete Line 78")</f>
        <v>16367.270943250549</v>
      </c>
      <c r="G79" s="870"/>
    </row>
    <row r="80" spans="1:8" s="894" customFormat="1" ht="8.25" customHeight="1" thickTop="1" x14ac:dyDescent="0.2">
      <c r="A80" s="901"/>
      <c r="B80" s="870"/>
      <c r="C80" s="872"/>
      <c r="D80" s="902"/>
      <c r="E80" s="869"/>
      <c r="F80" s="903"/>
      <c r="G80" s="870"/>
    </row>
    <row r="81" spans="1:7" s="894" customFormat="1" ht="12" thickBot="1" x14ac:dyDescent="0.25">
      <c r="A81" s="2274" t="s">
        <v>1166</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2031</v>
      </c>
      <c r="G94" s="913"/>
    </row>
    <row r="95" spans="1:7" x14ac:dyDescent="0.2">
      <c r="A95" s="909" t="s">
        <v>142</v>
      </c>
      <c r="B95" s="909" t="s">
        <v>177</v>
      </c>
      <c r="C95" s="911">
        <v>1700</v>
      </c>
      <c r="D95" s="919" t="str">
        <f>'Revenues 9-14'!A82</f>
        <v>Total District/School Activity Income</v>
      </c>
      <c r="E95" s="907"/>
      <c r="F95" s="1811">
        <f>SUM('Revenues 9-14'!C82,'Revenues 9-14'!D82)</f>
        <v>1949</v>
      </c>
      <c r="G95" s="913"/>
    </row>
    <row r="96" spans="1:7" x14ac:dyDescent="0.2">
      <c r="A96" s="909" t="s">
        <v>478</v>
      </c>
      <c r="B96" s="909" t="s">
        <v>178</v>
      </c>
      <c r="C96" s="911">
        <f>'Revenues 9-14'!B84</f>
        <v>1811</v>
      </c>
      <c r="D96" s="912" t="str">
        <f>'Revenues 9-14'!A84</f>
        <v>Rentals - Regular Textbooks</v>
      </c>
      <c r="E96" s="907"/>
      <c r="F96" s="1811">
        <f>'Revenues 9-14'!C84</f>
        <v>0</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481413</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4575</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8355</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5425</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468510</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750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202649</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523846</v>
      </c>
      <c r="G129" s="931"/>
    </row>
    <row r="130" spans="1:7" x14ac:dyDescent="0.2">
      <c r="A130" s="928" t="s">
        <v>688</v>
      </c>
      <c r="B130" s="928" t="s">
        <v>803</v>
      </c>
      <c r="C130" s="933">
        <v>4300</v>
      </c>
      <c r="D130" s="934" t="str">
        <f>'Revenues 9-14'!A211</f>
        <v>Total Title I</v>
      </c>
      <c r="E130" s="907"/>
      <c r="F130" s="1811">
        <f>SUM('Revenues 9-14'!C211,'Revenues 9-14'!D211,'Revenues 9-14'!F211,'Revenues 9-14'!G211)</f>
        <v>788730</v>
      </c>
      <c r="G130" s="931"/>
    </row>
    <row r="131" spans="1:7" x14ac:dyDescent="0.2">
      <c r="A131" s="928" t="s">
        <v>688</v>
      </c>
      <c r="B131" s="928" t="s">
        <v>804</v>
      </c>
      <c r="C131" s="933">
        <v>4400</v>
      </c>
      <c r="D131" s="934" t="str">
        <f>'Revenues 9-14'!A216</f>
        <v>Total Title IV</v>
      </c>
      <c r="E131" s="907"/>
      <c r="F131" s="1811">
        <f>SUM('Revenues 9-14'!C216,'Revenues 9-14'!D216,'Revenues 9-14'!F216,'Revenues 9-14'!G216)</f>
        <v>91338</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101372</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18171</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84175</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26302</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24301</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36525</v>
      </c>
      <c r="G174" s="928"/>
    </row>
    <row r="175" spans="1:7" x14ac:dyDescent="0.2">
      <c r="A175" s="1944" t="s">
        <v>5</v>
      </c>
      <c r="B175" s="1945" t="s">
        <v>2054</v>
      </c>
      <c r="C175" s="1946">
        <v>3100</v>
      </c>
      <c r="D175" s="1947" t="s">
        <v>2057</v>
      </c>
      <c r="E175" s="907"/>
      <c r="F175" s="1931"/>
      <c r="G175" s="928"/>
    </row>
    <row r="176" spans="1:7" x14ac:dyDescent="0.2">
      <c r="A176" s="1944" t="s">
        <v>684</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2870417</v>
      </c>
    </row>
    <row r="179" spans="1:7" ht="12" customHeight="1" x14ac:dyDescent="0.2">
      <c r="A179" s="1792"/>
      <c r="B179" s="1806"/>
      <c r="C179" s="1807"/>
      <c r="D179" s="1808" t="s">
        <v>2011</v>
      </c>
      <c r="E179" s="1809"/>
      <c r="F179" s="1811">
        <f>'PCTC-OEPP 27-28'!F77-F178</f>
        <v>7304788</v>
      </c>
    </row>
    <row r="180" spans="1:7" ht="12" customHeight="1" x14ac:dyDescent="0.2">
      <c r="A180" s="1792"/>
      <c r="B180" s="1806"/>
      <c r="C180" s="1807"/>
      <c r="D180" s="1808" t="s">
        <v>1920</v>
      </c>
      <c r="E180" s="1809"/>
      <c r="F180" s="1811">
        <f>'Cap Outlay Deprec 26'!I18</f>
        <v>421914</v>
      </c>
    </row>
    <row r="181" spans="1:7" ht="12" customHeight="1" x14ac:dyDescent="0.2">
      <c r="A181" s="1792"/>
      <c r="B181" s="1806"/>
      <c r="C181" s="1807"/>
      <c r="D181" s="1808" t="s">
        <v>2012</v>
      </c>
      <c r="E181" s="1809"/>
      <c r="F181" s="1811">
        <f>F179+F180</f>
        <v>7726702</v>
      </c>
    </row>
    <row r="182" spans="1:7" ht="12" customHeight="1" x14ac:dyDescent="0.2">
      <c r="A182" s="1792"/>
      <c r="B182" s="1812"/>
      <c r="C182" s="1807"/>
      <c r="D182" s="1808" t="str">
        <f>D78</f>
        <v>9 Month ADA from District Average Daily Attendance/Prior General State Aid Inquiry 2017-2018</v>
      </c>
      <c r="E182" s="1809"/>
      <c r="F182" s="1813">
        <f>'PCTC-OEPP 27-28'!F78</f>
        <v>621.67999999999995</v>
      </c>
      <c r="G182" s="931"/>
    </row>
    <row r="183" spans="1:7" ht="12" customHeight="1" thickBot="1" x14ac:dyDescent="0.25">
      <c r="A183" s="1792"/>
      <c r="B183" s="1812"/>
      <c r="C183" s="1807"/>
      <c r="D183" s="1808" t="s">
        <v>2013</v>
      </c>
      <c r="E183" s="1809" t="s">
        <v>1625</v>
      </c>
      <c r="F183" s="1814">
        <f>F181/F182</f>
        <v>12428.744691802858</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orizontalCentered="1"/>
  <pageMargins left="0.75" right="0.75" top="1" bottom="0.5" header="0.5" footer="0.5"/>
  <pageSetup scale="65" firstPageNumber="27" orientation="portrait" r:id="rId2"/>
  <headerFooter>
    <oddHeader>&amp;C&amp;"Times New Roman,Regular"MADISON COMMUNITY UNIT SCHOOL DISTRICT NO. 12
ESTIMATED OPERATING EXPENSE PER PUPIL/PER CAPITA TUITION CHARGE COMPUTATIONS
FOR THE YEAR ENDED JUNE 30, 2018</oddHeader>
    <oddFooter>&amp;C&amp;"Times New Roman,Regular"See Independent Auditor's Reports
&amp;P</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pane ySplit="16" topLeftCell="A101" activePane="bottomLeft" state="frozen"/>
      <selection activeCell="AF38" sqref="AF38"/>
      <selection pane="bottomLeft" activeCell="B103" sqref="B103"/>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8" t="s">
        <v>1921</v>
      </c>
      <c r="B4" s="2289"/>
      <c r="C4" s="2289"/>
      <c r="D4" s="2289"/>
      <c r="E4" s="2289"/>
      <c r="F4" s="2289"/>
      <c r="G4" s="2290"/>
    </row>
    <row r="5" spans="1:7" x14ac:dyDescent="0.25">
      <c r="A5" s="2291"/>
      <c r="B5" s="2292"/>
      <c r="C5" s="2292"/>
      <c r="D5" s="2292"/>
      <c r="E5" s="2292"/>
      <c r="F5" s="2292"/>
      <c r="G5" s="2293"/>
    </row>
    <row r="6" spans="1:7" ht="18.75" x14ac:dyDescent="0.25">
      <c r="A6" s="1556" t="s">
        <v>1922</v>
      </c>
      <c r="B6" s="1557"/>
      <c r="C6" s="1557"/>
      <c r="D6" s="1557"/>
      <c r="E6" s="1557"/>
      <c r="F6" s="1557"/>
      <c r="G6" s="1558"/>
    </row>
    <row r="7" spans="1:7" ht="30.75" customHeight="1" x14ac:dyDescent="0.25">
      <c r="A7" s="2294" t="s">
        <v>2071</v>
      </c>
      <c r="B7" s="2295"/>
      <c r="C7" s="2295"/>
      <c r="D7" s="2295"/>
      <c r="E7" s="2295"/>
      <c r="F7" s="2295"/>
      <c r="G7" s="2296"/>
    </row>
    <row r="8" spans="1:7" ht="15.75" customHeight="1" x14ac:dyDescent="0.25">
      <c r="A8" s="2297" t="s">
        <v>2020</v>
      </c>
      <c r="B8" s="2298"/>
      <c r="C8" s="2298"/>
      <c r="D8" s="2298"/>
      <c r="E8" s="2298"/>
      <c r="F8" s="2298"/>
      <c r="G8" s="2299"/>
    </row>
    <row r="9" spans="1:7" ht="35.25" customHeight="1" x14ac:dyDescent="0.25">
      <c r="A9" s="2294" t="s">
        <v>2019</v>
      </c>
      <c r="B9" s="2295"/>
      <c r="C9" s="2295"/>
      <c r="D9" s="2295"/>
      <c r="E9" s="2295"/>
      <c r="F9" s="2295"/>
      <c r="G9" s="2296"/>
    </row>
    <row r="10" spans="1:7" ht="15" customHeight="1" x14ac:dyDescent="0.25">
      <c r="A10" s="1559" t="s">
        <v>1923</v>
      </c>
      <c r="B10" s="1560"/>
      <c r="C10" s="1560"/>
      <c r="D10" s="1560"/>
      <c r="E10" s="1560"/>
      <c r="F10" s="1560"/>
      <c r="G10" s="1561"/>
    </row>
    <row r="11" spans="1:7" ht="17.25" customHeight="1" x14ac:dyDescent="0.25">
      <c r="A11" s="2294" t="s">
        <v>1937</v>
      </c>
      <c r="B11" s="2295"/>
      <c r="C11" s="2295"/>
      <c r="D11" s="2295"/>
      <c r="E11" s="2295"/>
      <c r="F11" s="2295"/>
      <c r="G11" s="2296"/>
    </row>
    <row r="12" spans="1:7" ht="15" customHeight="1" x14ac:dyDescent="0.25">
      <c r="A12" s="1559" t="s">
        <v>1928</v>
      </c>
      <c r="B12" s="1560"/>
      <c r="C12" s="1560"/>
      <c r="D12" s="1560"/>
      <c r="E12" s="1560"/>
      <c r="F12" s="1560"/>
      <c r="G12" s="1561"/>
    </row>
    <row r="13" spans="1:7" ht="32.25" customHeight="1" x14ac:dyDescent="0.25">
      <c r="A13" s="2285" t="s">
        <v>1929</v>
      </c>
      <c r="B13" s="2286"/>
      <c r="C13" s="2286"/>
      <c r="D13" s="2286"/>
      <c r="E13" s="2286"/>
      <c r="F13" s="2286"/>
      <c r="G13" s="2287"/>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958" t="s">
        <v>2088</v>
      </c>
      <c r="B109" s="1689"/>
      <c r="C109" s="1676"/>
      <c r="D109" s="1867">
        <v>0</v>
      </c>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rintOptions horizontalCentered="1"/>
  <pageMargins left="0.75" right="0.75" top="1.1000000000000001" bottom="0.5" header="0.5" footer="0.5"/>
  <pageSetup scale="54" firstPageNumber="30" fitToHeight="0" orientation="portrait" r:id="rId1"/>
  <headerFooter>
    <oddHeader>&amp;C&amp;"Times New Roman,Regular"MADISON COMMUNITY UNIT SCHOOL DISTRICT NO. 12
CURRENT YEAR PAYMENT ON CONTRACTS FOR INDIRECT COST RATE COMPUTATION
FOR THE YEAR ENDED JUNE 30, 2018</oddHeader>
    <oddFooter>&amp;C&amp;"Times New Roman,Regular"See Independent Auditor's Reports
&amp;P</oddFooter>
  </headerFooter>
  <rowBreaks count="1" manualBreakCount="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0" t="s">
        <v>1777</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336090</v>
      </c>
      <c r="F10" s="975"/>
      <c r="G10" s="976"/>
      <c r="H10" s="162"/>
      <c r="I10" s="162"/>
    </row>
    <row r="11" spans="1:9" s="669" customFormat="1" ht="22.5" customHeight="1" x14ac:dyDescent="0.2">
      <c r="A11" s="2305" t="s">
        <v>1941</v>
      </c>
      <c r="B11" s="2306"/>
      <c r="C11" s="2306"/>
      <c r="D11" s="2307"/>
      <c r="E11" s="978">
        <v>25915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5122379</v>
      </c>
      <c r="F19" s="1822"/>
      <c r="G19" s="1824">
        <f>'Expenditures 15-22'!K33-SUM('Expenditures 15-22'!G33,'Expenditures 15-22'!I33)+'Expenditures 15-22'!D229</f>
        <v>5122379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286721</v>
      </c>
      <c r="F21" s="1825"/>
      <c r="G21" s="1828">
        <f>'Expenditures 15-22'!K42-SUM('Expenditures 15-22'!G42,'Expenditures 15-22'!I42)+'Expenditures 15-22'!K120-SUM('Expenditures 15-22'!G120,'Expenditures 15-22'!I120)+'Expenditures 15-22'!K180-SUM('Expenditures 15-22'!G180,'Expenditures 15-22'!I180)+'Expenditures 15-22'!D238</f>
        <v>286721</v>
      </c>
      <c r="H21" s="988"/>
      <c r="I21" s="162"/>
    </row>
    <row r="22" spans="1:9" s="669" customFormat="1" ht="12" customHeight="1" x14ac:dyDescent="0.2">
      <c r="A22" s="995" t="s">
        <v>584</v>
      </c>
      <c r="B22" s="996"/>
      <c r="C22" s="994">
        <v>2200</v>
      </c>
      <c r="D22" s="1825"/>
      <c r="E22" s="1827">
        <f>'Expenditures 15-22'!K47-SUM('Expenditures 15-22'!G47,'Expenditures 15-22'!I47)+'Expenditures 15-22'!D243</f>
        <v>905369</v>
      </c>
      <c r="F22" s="1825"/>
      <c r="G22" s="1828">
        <f>'Expenditures 15-22'!K47-SUM('Expenditures 15-22'!G47,'Expenditures 15-22'!I47)+'Expenditures 15-22'!D243</f>
        <v>905369</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984193</v>
      </c>
      <c r="F23" s="1825"/>
      <c r="G23" s="1827">
        <f>'Expenditures 15-22'!K53-SUM('Expenditures 15-22'!G53,'Expenditures 15-22'!I53)+'Expenditures 15-22'!D257+'Expenditures 15-22'!K330-SUM('Expenditures 15-22'!G330,'Expenditures 15-22'!I330)</f>
        <v>984193</v>
      </c>
      <c r="H23" s="988"/>
      <c r="I23" s="162"/>
    </row>
    <row r="24" spans="1:9" s="669" customFormat="1" ht="12" customHeight="1" x14ac:dyDescent="0.2">
      <c r="A24" s="995" t="s">
        <v>586</v>
      </c>
      <c r="B24" s="996"/>
      <c r="C24" s="994">
        <v>2400</v>
      </c>
      <c r="D24" s="1825"/>
      <c r="E24" s="1827">
        <f>'Expenditures 15-22'!K57-SUM('Expenditures 15-22'!G57,'Expenditures 15-22'!I57)+'Expenditures 15-22'!D261</f>
        <v>716672</v>
      </c>
      <c r="F24" s="1825"/>
      <c r="G24" s="1828">
        <f>'Expenditures 15-22'!K57-SUM('Expenditures 15-22'!G57,'Expenditures 15-22'!I57)+'Expenditures 15-22'!D261</f>
        <v>716672</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9529</v>
      </c>
      <c r="E26" s="1827">
        <f>'Expenditures 15-22'!K122-SUM('Expenditures 15-22'!G122,'Expenditures 15-22'!I122)+E7</f>
        <v>0</v>
      </c>
      <c r="F26" s="1827">
        <f>'Expenditures 15-22'!K59-SUM('Expenditures 15-22'!G59,'Expenditures 15-22'!I59)+'Expenditures 15-22'!D263-E7</f>
        <v>9529</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178837</v>
      </c>
      <c r="E27" s="1827">
        <f>E8</f>
        <v>0</v>
      </c>
      <c r="F27" s="1827">
        <f>'Expenditures 15-22'!K60-SUM('Expenditures 15-22'!G60,'Expenditures 15-22'!I60)+'Expenditures 15-22'!D264-E8</f>
        <v>178837</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970192</v>
      </c>
      <c r="F28" s="1829">
        <f>'Expenditures 15-22'!K61-SUM('Expenditures 15-22'!G61,'Expenditures 15-22'!I61)+'Expenditures 15-22'!K124-SUM('Expenditures 15-22'!G124,'Expenditures 15-22'!I124)+'Expenditures 15-22'!D266-E9</f>
        <v>970192</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517816</v>
      </c>
      <c r="F29" s="1825"/>
      <c r="G29" s="1828">
        <f>'Expenditures 15-22'!K62-SUM('Expenditures 15-22'!G62,'Expenditures 15-22'!I62)+'Expenditures 15-22'!K125-SUM('Expenditures 15-22'!G125,'Expenditures 15-22'!I125)+'Expenditures 15-22'!K182-SUM('Expenditures 15-22'!G182,'Expenditures 15-22'!I182)+'Expenditures 15-22'!D267</f>
        <v>517816</v>
      </c>
      <c r="H29" s="986"/>
    </row>
    <row r="30" spans="1:9" ht="12" customHeight="1" x14ac:dyDescent="0.2">
      <c r="A30" s="995" t="s">
        <v>102</v>
      </c>
      <c r="B30" s="998"/>
      <c r="C30" s="994">
        <v>2560</v>
      </c>
      <c r="D30" s="1825"/>
      <c r="E30" s="1827">
        <f>'Expenditures 15-22'!K63-SUM('Expenditures 15-22'!G63,'Expenditures 15-22'!I63)+'Expenditures 15-22'!D268-E10</f>
        <v>242152</v>
      </c>
      <c r="F30" s="1825"/>
      <c r="G30" s="1827">
        <f>'Expenditures 15-22'!K63-SUM('Expenditures 15-22'!G63,'Expenditures 15-22'!I63)+'Expenditures 15-22'!D268-E10</f>
        <v>242152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1700</v>
      </c>
      <c r="F34" s="1825"/>
      <c r="G34" s="1827">
        <f>'Expenditures 15-22'!K68-SUM('Expenditures 15-22'!G68,'Expenditures 15-22'!I68)+'Expenditures 15-22'!D273</f>
        <v>1700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5267</v>
      </c>
      <c r="E36" s="1827">
        <f>E13</f>
        <v>0</v>
      </c>
      <c r="F36" s="1827">
        <f>'Expenditures 15-22'!K70-SUM('Expenditures 15-22'!G70,'Expenditures 15-22'!I70)+'Expenditures 15-22'!D275-E13</f>
        <v>5267</v>
      </c>
      <c r="G36" s="1827">
        <f>E13</f>
        <v>0</v>
      </c>
    </row>
    <row r="37" spans="1:7" ht="12" customHeight="1" x14ac:dyDescent="0.2">
      <c r="A37" s="995" t="s">
        <v>423</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32751</v>
      </c>
      <c r="F38" s="1825"/>
      <c r="G38" s="1827">
        <f>'Expenditures 15-22'!K73-SUM('Expenditures 15-22'!G73,'Expenditures 15-22'!I73)+'Expenditures 15-22'!K128-SUM('Expenditures 15-22'!G128,'Expenditures 15-22'!I128)+'Expenditures 15-22'!K183-SUM('Expenditures 15-22'!G183,'Expenditures 15-22'!I183)+'Expenditures 15-22'!D278</f>
        <v>32751</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301921</v>
      </c>
      <c r="F39" s="1825"/>
      <c r="G39" s="1827">
        <f>'Expenditures 15-22'!K75-SUM('Expenditures 15-22'!G75,'Expenditures 15-22'!I75)+'Expenditures 15-22'!K130-SUM('Expenditures 15-22'!G130,'Expenditures 15-22'!I130)+'Expenditures 15-22'!K185-SUM('Expenditures 15-22'!G185,'Expenditures 15-22'!I185)+'Expenditures 15-22'!D280</f>
        <v>301921</v>
      </c>
    </row>
    <row r="40" spans="1:7" ht="12" customHeight="1" x14ac:dyDescent="0.2">
      <c r="A40" s="991" t="s">
        <v>1926</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193633</v>
      </c>
      <c r="E41" s="1829">
        <f>SUM(E19:E40)</f>
        <v>10081866</v>
      </c>
      <c r="F41" s="1829">
        <f>SUM(F19:F39)</f>
        <v>1163825</v>
      </c>
      <c r="G41" s="1829">
        <f>SUM(G19:G40)</f>
        <v>9111674</v>
      </c>
    </row>
    <row r="42" spans="1:7" x14ac:dyDescent="0.2">
      <c r="A42" s="988"/>
      <c r="B42" s="162"/>
      <c r="C42" s="1002"/>
      <c r="D42" s="2303" t="s">
        <v>542</v>
      </c>
      <c r="E42" s="2304"/>
      <c r="F42" s="1003" t="s">
        <v>543</v>
      </c>
      <c r="G42" s="1004"/>
    </row>
    <row r="43" spans="1:7" ht="12" customHeight="1" x14ac:dyDescent="0.2">
      <c r="A43" s="988"/>
      <c r="B43" s="162"/>
      <c r="C43" s="1002"/>
      <c r="D43" s="1830" t="s">
        <v>492</v>
      </c>
      <c r="E43" s="1831">
        <f>D41</f>
        <v>193633</v>
      </c>
      <c r="F43" s="1830" t="s">
        <v>494</v>
      </c>
      <c r="G43" s="1831">
        <f>F41</f>
        <v>1163825</v>
      </c>
    </row>
    <row r="44" spans="1:7" ht="12" customHeight="1" x14ac:dyDescent="0.2">
      <c r="A44" s="988"/>
      <c r="B44" s="162"/>
      <c r="C44" s="1002"/>
      <c r="D44" s="1830" t="s">
        <v>493</v>
      </c>
      <c r="E44" s="1831">
        <f>E41</f>
        <v>10081866</v>
      </c>
      <c r="F44" s="1830" t="s">
        <v>493</v>
      </c>
      <c r="G44" s="1831">
        <f>G41</f>
        <v>9111674</v>
      </c>
    </row>
    <row r="45" spans="1:7" ht="12" customHeight="1" x14ac:dyDescent="0.2">
      <c r="A45" s="988"/>
      <c r="B45" s="162"/>
      <c r="C45" s="162"/>
      <c r="D45" s="1832" t="s">
        <v>1062</v>
      </c>
      <c r="E45" s="1833">
        <f>(E43/E44)</f>
        <v>1.9206067606929115E-2</v>
      </c>
      <c r="F45" s="1832" t="s">
        <v>1062</v>
      </c>
      <c r="G45" s="1833">
        <f>(G43/G44)</f>
        <v>0.12772899908403221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pageMargins left="0.75" right="0.75" top="1" bottom="0.5" header="0.5" footer="0.5"/>
  <pageSetup scale="77" firstPageNumber="30" orientation="landscape" r:id="rId1"/>
  <headerFooter>
    <oddHeader>&amp;C&amp;"Times New Roman,Regular"MADISON COMMUNITY UNIT SCHOOL DISTRICT NO. 12
ESTIMATED INDIRECT COST RATE DATA
FOR THE YEAR ENDED JUNE 30, 2018</oddHeader>
    <oddFooter>&amp;C&amp;"Times New Roman,Regular"See Independent Auditor's Reports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F38" sqref="AF38"/>
      <selection pane="bottomLeft" activeCell="F27" sqref="F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1445</v>
      </c>
      <c r="B1" s="2311"/>
      <c r="C1" s="2311"/>
      <c r="D1" s="2311"/>
      <c r="E1" s="2311"/>
      <c r="F1" s="2311"/>
    </row>
    <row r="2" spans="1:10" x14ac:dyDescent="0.2">
      <c r="A2" s="1912" t="s">
        <v>2044</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2" t="s">
        <v>1626</v>
      </c>
      <c r="B5" s="2313"/>
      <c r="C5" s="2314"/>
      <c r="D5" s="2314"/>
      <c r="E5" s="2314"/>
      <c r="F5" s="2314"/>
    </row>
    <row r="6" spans="1:10" ht="12" customHeight="1" x14ac:dyDescent="0.25">
      <c r="A6" s="1875"/>
      <c r="B6" s="1876"/>
      <c r="C6" s="2315" t="str">
        <f>COVER!A17</f>
        <v>MADISON COMMUNITY UNIT SCHOOL DISTRICT NO. 12</v>
      </c>
      <c r="D6" s="2315"/>
      <c r="E6" s="2315"/>
      <c r="F6" s="1877"/>
    </row>
    <row r="7" spans="1:10" ht="11.25" customHeight="1" thickBot="1" x14ac:dyDescent="0.3">
      <c r="A7" s="1875"/>
      <c r="B7" s="1876"/>
      <c r="C7" s="2316" t="str">
        <f>COVER!A13</f>
        <v>41-057-0120-26</v>
      </c>
      <c r="D7" s="2316"/>
      <c r="E7" s="2316"/>
      <c r="F7" s="1877"/>
    </row>
    <row r="8" spans="1:10" ht="25.5" customHeight="1" thickBot="1" x14ac:dyDescent="0.25">
      <c r="A8" s="1918" t="s">
        <v>2021</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c r="D19" s="1890"/>
      <c r="E19" s="1893"/>
      <c r="F19" s="1892"/>
      <c r="H19" s="1903">
        <f t="shared" si="0"/>
        <v>0</v>
      </c>
      <c r="I19" s="1903">
        <f t="shared" si="1"/>
        <v>0</v>
      </c>
      <c r="J19" s="1903">
        <f t="shared" si="2"/>
        <v>0</v>
      </c>
    </row>
    <row r="20" spans="1:12" ht="12" customHeight="1" x14ac:dyDescent="0.2">
      <c r="A20" s="1888" t="s">
        <v>1608</v>
      </c>
      <c r="B20" s="1889"/>
      <c r="C20" s="1890"/>
      <c r="D20" s="1890"/>
      <c r="E20" s="1893"/>
      <c r="F20" s="1892"/>
      <c r="H20" s="1903">
        <f t="shared" si="0"/>
        <v>0</v>
      </c>
      <c r="I20" s="1903">
        <f t="shared" si="1"/>
        <v>0</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2073</v>
      </c>
      <c r="D26" s="1890" t="s">
        <v>2073</v>
      </c>
      <c r="E26" s="1893" t="s">
        <v>2073</v>
      </c>
      <c r="F26" s="1892" t="s">
        <v>2169</v>
      </c>
      <c r="H26" s="1903">
        <f t="shared" si="0"/>
        <v>5</v>
      </c>
      <c r="I26" s="1903">
        <f t="shared" si="1"/>
        <v>5</v>
      </c>
      <c r="J26" s="1903">
        <f t="shared" si="2"/>
        <v>5</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c r="D28" s="1890"/>
      <c r="E28" s="1893"/>
      <c r="F28" s="1892"/>
      <c r="H28" s="1903">
        <f t="shared" si="0"/>
        <v>0</v>
      </c>
      <c r="I28" s="1903">
        <f t="shared" si="1"/>
        <v>0</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c r="D30" s="1890"/>
      <c r="E30" s="1893"/>
      <c r="F30" s="1892"/>
      <c r="H30" s="1903">
        <f t="shared" si="0"/>
        <v>0</v>
      </c>
      <c r="I30" s="1903">
        <f t="shared" si="1"/>
        <v>0</v>
      </c>
      <c r="J30" s="1903">
        <f t="shared" si="2"/>
        <v>0</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1458</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1457</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25" bottom="0.5" header="0.5" footer="0.5"/>
  <pageSetup scale="76" orientation="landscape" r:id="rId1"/>
  <headerFooter>
    <oddHeader>&amp;C&amp;"Times New Roman,Regular"
MADISON COMMUNITY UNIT SCHOOL DISTRICT NO. 12</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I25" sqref="I2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5" t="str">
        <f>COVER!A17</f>
        <v>MADISON COMMUNITY UNIT SCHOOL DISTRICT NO. 12</v>
      </c>
      <c r="J6" s="2336"/>
      <c r="Q6" s="1686"/>
    </row>
    <row r="7" spans="1:17" x14ac:dyDescent="0.2">
      <c r="A7" s="2337" t="s">
        <v>923</v>
      </c>
      <c r="B7" s="2338"/>
      <c r="C7" s="2338"/>
      <c r="D7" s="2338"/>
      <c r="E7" s="2339"/>
      <c r="F7" s="1018"/>
      <c r="G7" s="1010"/>
      <c r="H7" s="1017" t="s">
        <v>389</v>
      </c>
      <c r="I7" s="2340" t="str">
        <f>COVER!A13</f>
        <v>41-057-0120-26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1" t="s">
        <v>501</v>
      </c>
      <c r="B11" s="2342"/>
      <c r="C11" s="2343"/>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526765</v>
      </c>
      <c r="F12" s="1040"/>
      <c r="G12" s="1834">
        <f t="shared" ref="G12:G18" si="0">SUM(E12:F12)</f>
        <v>526765</v>
      </c>
      <c r="H12" s="1041">
        <v>282488</v>
      </c>
      <c r="I12" s="1040"/>
      <c r="J12" s="1834">
        <f t="shared" ref="J12:J18" si="1">SUM(H12:I12)</f>
        <v>282488</v>
      </c>
    </row>
    <row r="13" spans="1:17" ht="15" customHeight="1" x14ac:dyDescent="0.2">
      <c r="A13" s="1036">
        <v>2</v>
      </c>
      <c r="B13" s="1037" t="s">
        <v>44</v>
      </c>
      <c r="C13" s="1038"/>
      <c r="D13" s="1039">
        <v>2330</v>
      </c>
      <c r="E13" s="1834">
        <f>'Expenditures 15-22'!K51</f>
        <v>197718</v>
      </c>
      <c r="F13" s="1040"/>
      <c r="G13" s="1834">
        <f t="shared" si="0"/>
        <v>197718</v>
      </c>
      <c r="H13" s="1041">
        <v>126400</v>
      </c>
      <c r="I13" s="1040"/>
      <c r="J13" s="1834">
        <f t="shared" si="1"/>
        <v>126400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v>74196</v>
      </c>
      <c r="I15" s="1041"/>
      <c r="J15" s="1834">
        <f t="shared" si="1"/>
        <v>74196</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724483</v>
      </c>
      <c r="F19" s="1836">
        <f t="shared" si="2"/>
        <v>0</v>
      </c>
      <c r="G19" s="1836">
        <f t="shared" si="2"/>
        <v>724483</v>
      </c>
      <c r="H19" s="1836">
        <f t="shared" si="2"/>
        <v>483084</v>
      </c>
      <c r="I19" s="1836">
        <f t="shared" si="2"/>
        <v>0</v>
      </c>
      <c r="J19" s="1836">
        <f t="shared" si="2"/>
        <v>483084</v>
      </c>
    </row>
    <row r="20" spans="1:10" ht="13.5" thickTop="1" x14ac:dyDescent="0.2">
      <c r="A20" s="1036">
        <v>9</v>
      </c>
      <c r="B20" s="2347" t="s">
        <v>1702</v>
      </c>
      <c r="C20" s="2347"/>
      <c r="D20" s="2348"/>
      <c r="E20" s="1047"/>
      <c r="F20" s="1047"/>
      <c r="G20" s="1047"/>
      <c r="H20" s="1047"/>
      <c r="I20" s="1047"/>
      <c r="J20" s="1837">
        <f>IF(AND(G19&gt;0,J19&gt;0),(((J19-G19)/G19)),"Enter Budget Data")</f>
        <v>-0.33320174524453988</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1092</v>
      </c>
      <c r="D27" s="1053"/>
      <c r="E27" s="1054"/>
      <c r="F27" s="2349" t="s">
        <v>1588</v>
      </c>
      <c r="G27" s="2349"/>
    </row>
    <row r="28" spans="1:10" ht="28.5" customHeight="1" x14ac:dyDescent="0.2">
      <c r="B28" s="1048"/>
      <c r="C28" s="2351"/>
      <c r="D28" s="2351"/>
      <c r="E28" s="1055"/>
      <c r="F28" s="2351"/>
      <c r="G28" s="2351"/>
    </row>
    <row r="29" spans="1:10" x14ac:dyDescent="0.2">
      <c r="B29" s="1048"/>
      <c r="C29" s="1056" t="s">
        <v>1641</v>
      </c>
      <c r="E29" s="1057"/>
      <c r="F29" s="2350" t="s">
        <v>1589</v>
      </c>
      <c r="G29" s="2350"/>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1940</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936</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5" firstPageNumber="31" orientation="landscape" r:id="rId1"/>
  <headerFooter>
    <oddHeader>&amp;C&amp;"Times New Roman,Regular"MADISON COMMUNITY UNIT SCHOOL DISTRICT NO. 12
LIMITATION OF ADMINISTRATIVE COSTS WORKSHEET
FOR THE YEAR ENDED JUNE 30, 2018</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2" sqref="B1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2178</v>
      </c>
    </row>
    <row r="6" spans="1:2" x14ac:dyDescent="0.2">
      <c r="A6" s="1069">
        <v>2</v>
      </c>
      <c r="B6" s="329" t="s">
        <v>2179</v>
      </c>
    </row>
    <row r="7" spans="1:2" x14ac:dyDescent="0.2">
      <c r="A7" s="1069">
        <v>3</v>
      </c>
      <c r="B7" s="329" t="s">
        <v>2180</v>
      </c>
    </row>
    <row r="8" spans="1:2" x14ac:dyDescent="0.2">
      <c r="A8" s="1069">
        <v>4</v>
      </c>
      <c r="B8" s="329" t="s">
        <v>2181</v>
      </c>
    </row>
    <row r="9" spans="1:2" x14ac:dyDescent="0.2">
      <c r="A9" s="1070">
        <v>5</v>
      </c>
      <c r="B9" s="329" t="s">
        <v>2182</v>
      </c>
    </row>
    <row r="10" spans="1:2" x14ac:dyDescent="0.2">
      <c r="A10" s="1070">
        <v>6</v>
      </c>
      <c r="B10" s="329" t="s">
        <v>2183</v>
      </c>
    </row>
    <row r="11" spans="1:2" x14ac:dyDescent="0.2">
      <c r="A11" s="1070">
        <v>7</v>
      </c>
      <c r="B11" s="329" t="s">
        <v>2186</v>
      </c>
    </row>
    <row r="12" spans="1:2" x14ac:dyDescent="0.2">
      <c r="A12" s="1070">
        <v>8</v>
      </c>
      <c r="B12" s="329" t="s">
        <v>2184</v>
      </c>
    </row>
    <row r="13" spans="1:2" x14ac:dyDescent="0.2">
      <c r="A13" s="1070">
        <v>9</v>
      </c>
      <c r="B13" s="329" t="s">
        <v>2185</v>
      </c>
    </row>
    <row r="14" spans="1:2" x14ac:dyDescent="0.2">
      <c r="A14" s="1070">
        <v>10</v>
      </c>
    </row>
    <row r="15" spans="1:2" x14ac:dyDescent="0.2">
      <c r="A15" s="1070">
        <v>11</v>
      </c>
    </row>
    <row r="16" spans="1:2" x14ac:dyDescent="0.2">
      <c r="A16" s="1070">
        <v>12</v>
      </c>
    </row>
    <row r="17" spans="1:1" x14ac:dyDescent="0.2">
      <c r="A17" s="1070">
        <v>13</v>
      </c>
    </row>
    <row r="18" spans="1:1" x14ac:dyDescent="0.2">
      <c r="A18" s="1070">
        <v>14</v>
      </c>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MADISON COMMUNITY UNIT SCHOOL DISTRICT NO. 12</v>
      </c>
    </row>
    <row r="65" spans="2:2" x14ac:dyDescent="0.2">
      <c r="B65" s="1071" t="str">
        <f>COVER!A13</f>
        <v>41-057-0120-26</v>
      </c>
    </row>
  </sheetData>
  <phoneticPr fontId="12" type="noConversion"/>
  <printOptions horizontalCentered="1"/>
  <pageMargins left="0.75" right="0.75" top="1.1000000000000001" bottom="0.5" header="0.5" footer="0.5"/>
  <pageSetup scale="80" firstPageNumber="32" orientation="portrait" r:id="rId1"/>
  <headerFooter>
    <oddHeader>&amp;C&amp;"Times New Roman,Regular"MADISON COMMUNITY UNIT SCHOOL DISTRICT NO. 12
ITEMIZATION SCHEDULE
FOR THE YEAR ENDED JUNE 30, 2018</oddHeader>
    <oddFooter>&amp;C&amp;"Times New Roman,Regular"See Independent Auditor's Reports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F38" sqref="AF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rintOptions horizontalCentered="1"/>
  <pageMargins left="0.75" right="0.75" top="1" bottom="0.5" header="0.5" footer="0.5"/>
  <pageSetup scale="75" firstPageNumber="33" orientation="landscape" r:id="rId1"/>
  <headerFooter>
    <oddHeader>&amp;C
&amp;"Times New Roman,Regular"FOR THE YEAR ENDED JUNE 30, 2018</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4" t="s">
        <v>1783</v>
      </c>
      <c r="B18" s="2354"/>
    </row>
  </sheetData>
  <sheetProtection selectLockedCells="1"/>
  <mergeCells count="1">
    <mergeCell ref="A18:B18"/>
  </mergeCells>
  <phoneticPr fontId="12" type="noConversion"/>
  <printOptions horizontalCentered="1"/>
  <pageMargins left="0.75" right="0.75" top="1" bottom="0.5" header="0.5" footer="0.5"/>
  <pageSetup scale="75" firstPageNumber="34" orientation="landscape" r:id="rId1"/>
  <headerFooter>
    <oddHeader>&amp;C
&amp;"Times New Roman,Regular"FOR THE YEAR ENDED JUNE 30, 2018</oddHeader>
    <oddFooter>&amp;C&amp;"Times New Roman,Regular"See Independent Auditor's Reports
&amp;P</oddFooter>
  </headerFooter>
  <drawing r:id="rId2"/>
  <legacyDrawing r:id="rId3"/>
  <oleObjects>
    <mc:AlternateContent xmlns:mc="http://schemas.openxmlformats.org/markup-compatibility/2006">
      <mc:Choice Requires="x14">
        <oleObject progId="Acrobat Document" dvAspect="DVASPECT_ICON" shapeId="38914"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8914"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AF38" sqref="AF3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1789</v>
      </c>
      <c r="B1" s="2356"/>
      <c r="C1" s="2356"/>
      <c r="D1" s="2356"/>
      <c r="E1" s="2356"/>
      <c r="F1" s="2357"/>
    </row>
    <row r="2" spans="1:8" ht="45" customHeight="1" x14ac:dyDescent="0.2">
      <c r="A2" s="2365" t="s">
        <v>1790</v>
      </c>
      <c r="B2" s="2366"/>
      <c r="C2" s="2366"/>
      <c r="D2" s="2366"/>
      <c r="E2" s="2366"/>
      <c r="F2" s="2367"/>
      <c r="G2" s="1075"/>
      <c r="H2" s="1075"/>
    </row>
    <row r="3" spans="1:8" ht="57" customHeight="1" x14ac:dyDescent="0.2">
      <c r="A3" s="2368" t="s">
        <v>1785</v>
      </c>
      <c r="B3" s="2369"/>
      <c r="C3" s="2369"/>
      <c r="D3" s="2369"/>
      <c r="E3" s="2369"/>
      <c r="F3" s="2370"/>
      <c r="G3" s="1075"/>
      <c r="H3" s="1075"/>
    </row>
    <row r="4" spans="1:8" ht="14.25" customHeight="1" x14ac:dyDescent="0.2">
      <c r="A4" s="2374" t="s">
        <v>2052</v>
      </c>
      <c r="B4" s="2375"/>
      <c r="C4" s="2375"/>
      <c r="D4" s="2375"/>
      <c r="E4" s="2375"/>
      <c r="F4" s="2376"/>
      <c r="G4" s="1075"/>
      <c r="H4" s="1075"/>
    </row>
    <row r="5" spans="1:8" ht="14.25" customHeight="1" x14ac:dyDescent="0.2">
      <c r="A5" s="2377" t="s">
        <v>2053</v>
      </c>
      <c r="B5" s="2378"/>
      <c r="C5" s="2378"/>
      <c r="D5" s="2378"/>
      <c r="E5" s="2378"/>
      <c r="F5" s="2379"/>
      <c r="G5" s="1075"/>
      <c r="H5" s="1075"/>
    </row>
    <row r="6" spans="1:8" s="1076" customFormat="1" ht="41.25" customHeight="1" x14ac:dyDescent="0.2">
      <c r="A6" s="2371" t="s">
        <v>1791</v>
      </c>
      <c r="B6" s="2372"/>
      <c r="C6" s="2372"/>
      <c r="D6" s="2372"/>
      <c r="E6" s="2372"/>
      <c r="F6" s="2373"/>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9101405</v>
      </c>
      <c r="C8" s="1838">
        <f>'Acct Summary 7-8'!D8</f>
        <v>634079</v>
      </c>
      <c r="D8" s="1838">
        <f>'Acct Summary 7-8'!F8</f>
        <v>862384</v>
      </c>
      <c r="E8" s="1838">
        <f>'Acct Summary 7-8'!I8</f>
        <v>21070</v>
      </c>
      <c r="F8" s="1838">
        <f>SUM(B8:E8)</f>
        <v>10618938</v>
      </c>
    </row>
    <row r="9" spans="1:8" s="1080" customFormat="1" ht="14.25" customHeight="1" thickBot="1" x14ac:dyDescent="0.25">
      <c r="A9" s="1079" t="s">
        <v>1435</v>
      </c>
      <c r="B9" s="1839">
        <f>'Acct Summary 7-8'!C17</f>
        <v>9373911</v>
      </c>
      <c r="C9" s="1839">
        <f>'Acct Summary 7-8'!D17</f>
        <v>3091553</v>
      </c>
      <c r="D9" s="1839">
        <f>'Acct Summary 7-8'!F17</f>
        <v>1189543</v>
      </c>
      <c r="E9" s="1838"/>
      <c r="F9" s="1838">
        <f>SUM(B9:E9)</f>
        <v>13655007</v>
      </c>
    </row>
    <row r="10" spans="1:8" s="1080" customFormat="1" ht="14.25" thickTop="1" thickBot="1" x14ac:dyDescent="0.25">
      <c r="A10" s="1081" t="s">
        <v>1436</v>
      </c>
      <c r="B10" s="1840">
        <f>(B8-B9)</f>
        <v>-272506</v>
      </c>
      <c r="C10" s="1840">
        <f>(C8-C9)</f>
        <v>-2457474</v>
      </c>
      <c r="D10" s="1840">
        <f>(D8-D9)</f>
        <v>-327159</v>
      </c>
      <c r="E10" s="1839">
        <f>(E8-E9)</f>
        <v>21070</v>
      </c>
      <c r="F10" s="1841">
        <f>SUM(F8-F9)</f>
        <v>-3036069</v>
      </c>
    </row>
    <row r="11" spans="1:8" s="1080" customFormat="1" ht="14.25" thickTop="1" thickBot="1" x14ac:dyDescent="0.25">
      <c r="A11" s="1082" t="s">
        <v>1784</v>
      </c>
      <c r="B11" s="1842">
        <f>'Acct Summary 7-8'!C81</f>
        <v>-305553</v>
      </c>
      <c r="C11" s="1842">
        <f>'Acct Summary 7-8'!D81</f>
        <v>336286</v>
      </c>
      <c r="D11" s="1842">
        <f>'Acct Summary 7-8'!F81</f>
        <v>315775</v>
      </c>
      <c r="E11" s="1842">
        <f>'Acct Summary 7-8'!I81</f>
        <v>2410942</v>
      </c>
      <c r="F11" s="1843">
        <f>SUM(B11:E11)</f>
        <v>2757450</v>
      </c>
    </row>
    <row r="12" spans="1:8" ht="16.5" customHeight="1" thickTop="1" x14ac:dyDescent="0.2">
      <c r="A12" s="1083"/>
      <c r="B12" s="1084"/>
      <c r="C12" s="235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1786</v>
      </c>
      <c r="B16" s="2358"/>
      <c r="C16" s="2358"/>
      <c r="D16" s="2358"/>
      <c r="E16" s="2358"/>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5" bottom="0.5" header="0.5" footer="0.5"/>
  <pageSetup firstPageNumber="19" fitToHeight="0" orientation="landscape" r:id="rId1"/>
  <headerFooter>
    <oddHeader>&amp;C&amp;"Times New Roman,Regular"MADISON COMMUNITY UNIT SCHOOL DISTRICT NO. 12
DEFICIT ANNUAL FINANCIAL REPORT (AFR) SUMMARY INFORMATION
FOR THE YEAR ENDED JUNE 30, 2018</oddHeader>
    <oddFooter>&amp;C&amp;"Times New Roman,Regular"See Independent Auditor's Reports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AF38" sqref="AF3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685</v>
      </c>
      <c r="B3" s="2381"/>
      <c r="C3" s="2381"/>
      <c r="D3" s="2382"/>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1" t="s">
        <v>1583</v>
      </c>
      <c r="D7" s="2392"/>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3" t="s">
        <v>1064</v>
      </c>
      <c r="B15" s="2384"/>
      <c r="C15" s="2384"/>
      <c r="D15" s="2385"/>
    </row>
    <row r="16" spans="1:4" s="669" customFormat="1" ht="24" customHeight="1" x14ac:dyDescent="0.2">
      <c r="A16" s="2386" t="s">
        <v>683</v>
      </c>
      <c r="B16" s="2387"/>
      <c r="C16" s="2387"/>
      <c r="D16" s="2388"/>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5" t="s">
        <v>331</v>
      </c>
      <c r="D21" s="2396"/>
    </row>
    <row r="22" spans="1:10" ht="12.75" x14ac:dyDescent="0.2">
      <c r="A22" s="1140"/>
      <c r="B22" s="1141">
        <v>2</v>
      </c>
      <c r="C22" s="2393" t="s">
        <v>1604</v>
      </c>
      <c r="D22" s="2394"/>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7" t="s">
        <v>556</v>
      </c>
      <c r="D43" s="2398"/>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89" t="s">
        <v>816</v>
      </c>
      <c r="D56" s="2390"/>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89" t="s">
        <v>1796</v>
      </c>
      <c r="D70" s="2390"/>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PLEASE ENTER CONTRACTS PAID IN CURRENT YEAR.</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rintOptions horizontalCentered="1"/>
  <pageMargins left="0.75" right="0.75" top="1" bottom="0.5" header="0.5" footer="0.5"/>
  <pageSetup scale="75" firstPageNumber="32" orientation="landscape" r:id="rId1"/>
  <headerFooter>
    <oddHeader>&amp;C
&amp;"Times New Roman,Regular"FOR THE YEAR ENDED JUNE 30, 2018</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41-057-0120-26</v>
      </c>
    </row>
    <row r="3" spans="1:2" x14ac:dyDescent="0.2">
      <c r="A3" t="s">
        <v>1012</v>
      </c>
      <c r="B3" s="138" t="str">
        <f>COVER!A15</f>
        <v>MADISON</v>
      </c>
    </row>
    <row r="4" spans="1:2" x14ac:dyDescent="0.2">
      <c r="A4" t="s">
        <v>1063</v>
      </c>
      <c r="B4" s="138" t="str">
        <f>COVER!A17</f>
        <v>MADISON COMMUNITY UNIT SCHOOL DISTRICT NO. 12</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066-005060</v>
      </c>
    </row>
    <row r="16" spans="1:2" x14ac:dyDescent="0.2">
      <c r="A16" t="s">
        <v>441</v>
      </c>
      <c r="B16" s="138" t="str">
        <f>COVER!T13</f>
        <v>DENNIS ROSE &amp; ASSOCIATES, P.C.</v>
      </c>
    </row>
    <row r="17" spans="1:2" x14ac:dyDescent="0.2">
      <c r="A17" t="s">
        <v>938</v>
      </c>
      <c r="B17" s="138" t="str">
        <f>COVER!T15</f>
        <v>DENNIS ROSE</v>
      </c>
    </row>
    <row r="18" spans="1:2" x14ac:dyDescent="0.2">
      <c r="A18" t="s">
        <v>1211</v>
      </c>
      <c r="B18" s="138" t="str">
        <f>COVER!T17</f>
        <v xml:space="preserve">1904 STATE STREET </v>
      </c>
    </row>
    <row r="19" spans="1:2" x14ac:dyDescent="0.2">
      <c r="A19" t="s">
        <v>940</v>
      </c>
      <c r="B19" s="138" t="str">
        <f>COVER!T25</f>
        <v>DROSECPA@DRA-CPA.COM</v>
      </c>
    </row>
    <row r="20" spans="1:2" x14ac:dyDescent="0.2">
      <c r="A20" t="s">
        <v>941</v>
      </c>
      <c r="B20" s="138" t="str">
        <f>COVER!T19</f>
        <v>ALTON</v>
      </c>
    </row>
    <row r="21" spans="1:2" x14ac:dyDescent="0.2">
      <c r="A21" t="s">
        <v>499</v>
      </c>
      <c r="B21" s="138" t="str">
        <f>COVER!X19</f>
        <v>IL</v>
      </c>
    </row>
    <row r="22" spans="1:2" x14ac:dyDescent="0.2">
      <c r="A22" t="s">
        <v>942</v>
      </c>
      <c r="B22" s="138">
        <f>COVER!Z19</f>
        <v>62002</v>
      </c>
    </row>
    <row r="23" spans="1:2" x14ac:dyDescent="0.2">
      <c r="A23" t="s">
        <v>1213</v>
      </c>
      <c r="B23" s="138" t="str">
        <f>COVER!T21</f>
        <v>618-465-4999</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Yes</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Yes</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4447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310000</v>
      </c>
      <c r="C91" s="2" t="s">
        <v>593</v>
      </c>
      <c r="D91" s="2" t="str">
        <f t="shared" si="0"/>
        <v>Error?</v>
      </c>
    </row>
    <row r="92" spans="1:4" x14ac:dyDescent="0.2">
      <c r="A92" s="5">
        <v>31</v>
      </c>
      <c r="B92" s="138">
        <f>'Assets-Liab 5-6'!C39</f>
        <v>-305553</v>
      </c>
      <c r="D92" s="2" t="str">
        <f t="shared" si="0"/>
        <v>Error?</v>
      </c>
    </row>
    <row r="93" spans="1:4" x14ac:dyDescent="0.2">
      <c r="A93" s="5">
        <v>32</v>
      </c>
      <c r="B93" s="138">
        <f>'Assets-Liab 5-6'!C41</f>
        <v>4447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336286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336286</v>
      </c>
      <c r="D123" s="2" t="str">
        <f t="shared" si="0"/>
        <v>Error?</v>
      </c>
    </row>
    <row r="124" spans="1:4" x14ac:dyDescent="0.2">
      <c r="A124" s="5">
        <v>63</v>
      </c>
      <c r="B124" s="138">
        <f>'Assets-Liab 5-6'!D41</f>
        <v>336286</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628653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628653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315775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315775</v>
      </c>
      <c r="D170" s="2" t="str">
        <f t="shared" si="1"/>
        <v>Error?</v>
      </c>
    </row>
    <row r="171" spans="1:4" x14ac:dyDescent="0.2">
      <c r="A171" s="5">
        <v>110</v>
      </c>
      <c r="B171" s="138">
        <f>'Assets-Liab 5-6'!F41</f>
        <v>315775</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3966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30000</v>
      </c>
      <c r="C188" s="2" t="s">
        <v>593</v>
      </c>
      <c r="D188" s="2" t="str">
        <f t="shared" si="1"/>
        <v>Error?</v>
      </c>
    </row>
    <row r="189" spans="1:4" x14ac:dyDescent="0.2">
      <c r="A189" s="5">
        <v>128</v>
      </c>
      <c r="B189" s="138">
        <f>'Assets-Liab 5-6'!G39</f>
        <v>27097</v>
      </c>
      <c r="D189" s="2" t="str">
        <f t="shared" si="1"/>
        <v>Error?</v>
      </c>
    </row>
    <row r="190" spans="1:4" x14ac:dyDescent="0.2">
      <c r="A190" s="5">
        <v>129</v>
      </c>
      <c r="B190" s="138">
        <f>'Assets-Liab 5-6'!G41</f>
        <v>3966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233604</v>
      </c>
      <c r="D273" s="2" t="str">
        <f t="shared" si="3"/>
        <v>Error?</v>
      </c>
    </row>
    <row r="274" spans="1:4" x14ac:dyDescent="0.2">
      <c r="A274" s="5">
        <v>213</v>
      </c>
      <c r="B274" s="138">
        <f>'Assets-Liab 5-6'!M17</f>
        <v>11992599</v>
      </c>
      <c r="D274" s="2" t="str">
        <f t="shared" si="3"/>
        <v>Error?</v>
      </c>
    </row>
    <row r="275" spans="1:4" x14ac:dyDescent="0.2">
      <c r="A275" s="5">
        <v>214</v>
      </c>
      <c r="B275" s="138">
        <f>'Assets-Liab 5-6'!M18</f>
        <v>1038750</v>
      </c>
      <c r="D275" s="2" t="str">
        <f t="shared" si="3"/>
        <v>Error?</v>
      </c>
    </row>
    <row r="276" spans="1:4" x14ac:dyDescent="0.2">
      <c r="A276" s="5">
        <v>215</v>
      </c>
      <c r="B276" s="138">
        <f>'Assets-Liab 5-6'!M19</f>
        <v>3926672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17191625</v>
      </c>
      <c r="C279" s="2" t="s">
        <v>593</v>
      </c>
      <c r="D279" s="2" t="str">
        <f t="shared" si="3"/>
        <v>Error?</v>
      </c>
    </row>
    <row r="280" spans="1:4" x14ac:dyDescent="0.2">
      <c r="A280" s="5">
        <v>219</v>
      </c>
      <c r="B280" s="138">
        <f>'Assets-Liab 5-6'!M40</f>
        <v>17191625</v>
      </c>
      <c r="D280" s="2" t="str">
        <f t="shared" si="3"/>
        <v>Error?</v>
      </c>
    </row>
    <row r="281" spans="1:4" x14ac:dyDescent="0.2">
      <c r="A281" s="5">
        <v>220</v>
      </c>
      <c r="B281" s="138">
        <f>'Assets-Liab 5-6'!M41</f>
        <v>17191625</v>
      </c>
      <c r="C281" s="2" t="s">
        <v>593</v>
      </c>
      <c r="D281" s="2" t="str">
        <f t="shared" si="3"/>
        <v>Error?</v>
      </c>
    </row>
    <row r="282" spans="1:4" x14ac:dyDescent="0.2">
      <c r="A282" s="5">
        <v>221</v>
      </c>
      <c r="B282" s="138">
        <f>'Assets-Liab 5-6'!N21</f>
        <v>628653</v>
      </c>
      <c r="D282" s="2" t="str">
        <f t="shared" si="3"/>
        <v>Error?</v>
      </c>
    </row>
    <row r="283" spans="1:4" x14ac:dyDescent="0.2">
      <c r="A283" s="5">
        <v>222</v>
      </c>
      <c r="B283" s="138">
        <f>'Assets-Liab 5-6'!N22</f>
        <v>5981554</v>
      </c>
      <c r="D283" s="2" t="str">
        <f t="shared" si="3"/>
        <v>Error?</v>
      </c>
    </row>
    <row r="284" spans="1:4" x14ac:dyDescent="0.2">
      <c r="A284" s="5">
        <v>223</v>
      </c>
      <c r="B284" s="138">
        <f>'Assets-Liab 5-6'!N23</f>
        <v>6610207</v>
      </c>
      <c r="C284" s="2" t="s">
        <v>593</v>
      </c>
      <c r="D284" s="2" t="str">
        <f t="shared" si="3"/>
        <v>Error?</v>
      </c>
    </row>
    <row r="285" spans="1:4" x14ac:dyDescent="0.2">
      <c r="A285" s="5">
        <v>224</v>
      </c>
      <c r="B285" s="138">
        <f>'Assets-Liab 5-6'!N36</f>
        <v>6610207</v>
      </c>
      <c r="D285" s="2" t="str">
        <f t="shared" si="3"/>
        <v>Error?</v>
      </c>
    </row>
    <row r="286" spans="1:4" x14ac:dyDescent="0.2">
      <c r="A286" s="10">
        <v>225</v>
      </c>
      <c r="D286" s="2" t="str">
        <f t="shared" si="3"/>
        <v>OK</v>
      </c>
    </row>
    <row r="287" spans="1:4" x14ac:dyDescent="0.2">
      <c r="A287" s="5">
        <v>226</v>
      </c>
      <c r="B287" s="138">
        <f>'Assets-Liab 5-6'!N37</f>
        <v>6610207</v>
      </c>
      <c r="C287" s="2" t="s">
        <v>593</v>
      </c>
      <c r="D287" s="2" t="str">
        <f t="shared" si="3"/>
        <v>Error?</v>
      </c>
    </row>
    <row r="288" spans="1:4" x14ac:dyDescent="0.2">
      <c r="A288" s="5">
        <v>227</v>
      </c>
      <c r="B288" s="138">
        <f>'Assets-Liab 5-6'!N41</f>
        <v>6610207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114604</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1555398</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2092237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46043</v>
      </c>
      <c r="D717" s="2" t="str">
        <f t="shared" si="10"/>
        <v>Error?</v>
      </c>
    </row>
    <row r="718" spans="1:4" x14ac:dyDescent="0.2">
      <c r="A718" s="5">
        <v>657</v>
      </c>
      <c r="B718" s="138">
        <f>'Expenditures 15-22'!C14</f>
        <v>138025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3607750</v>
      </c>
      <c r="C720" s="2" t="s">
        <v>593</v>
      </c>
      <c r="D720" s="2" t="str">
        <f t="shared" si="10"/>
        <v>Error?</v>
      </c>
    </row>
    <row r="721" spans="1:4" x14ac:dyDescent="0.2">
      <c r="A721" s="5">
        <v>660</v>
      </c>
      <c r="B721" s="138">
        <f>'Expenditures 15-22'!C36</f>
        <v>46212</v>
      </c>
      <c r="D721" s="2" t="str">
        <f t="shared" si="10"/>
        <v>Error?</v>
      </c>
    </row>
    <row r="722" spans="1:4" x14ac:dyDescent="0.2">
      <c r="A722" s="5">
        <v>661</v>
      </c>
      <c r="B722" s="138">
        <f>'Expenditures 15-22'!C37</f>
        <v>43352</v>
      </c>
      <c r="D722" s="2" t="str">
        <f t="shared" si="10"/>
        <v>Error?</v>
      </c>
    </row>
    <row r="723" spans="1:4" x14ac:dyDescent="0.2">
      <c r="A723" s="5">
        <v>662</v>
      </c>
      <c r="B723" s="138">
        <f>'Expenditures 15-22'!C38</f>
        <v>125024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214588</v>
      </c>
      <c r="C727" s="2" t="s">
        <v>593</v>
      </c>
      <c r="D727" s="2" t="str">
        <f t="shared" si="10"/>
        <v>Error?</v>
      </c>
    </row>
    <row r="728" spans="1:4" x14ac:dyDescent="0.2">
      <c r="A728" s="5">
        <v>667</v>
      </c>
      <c r="B728" s="138">
        <f>'Expenditures 15-22'!C44</f>
        <v>181187</v>
      </c>
      <c r="D728" s="2" t="str">
        <f t="shared" si="10"/>
        <v>Error?</v>
      </c>
    </row>
    <row r="729" spans="1:4" x14ac:dyDescent="0.2">
      <c r="A729" s="5">
        <v>668</v>
      </c>
      <c r="B729" s="138">
        <f>'Expenditures 15-22'!C45</f>
        <v>114749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295936</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328409</v>
      </c>
      <c r="D733" s="2" t="str">
        <f t="shared" si="10"/>
        <v>Error?</v>
      </c>
    </row>
    <row r="734" spans="1:4" x14ac:dyDescent="0.2">
      <c r="A734" s="5">
        <v>673</v>
      </c>
      <c r="B734" s="138">
        <f>'Expenditures 15-22'!C53</f>
        <v>402442</v>
      </c>
      <c r="C734" s="2" t="s">
        <v>593</v>
      </c>
      <c r="D734" s="2" t="str">
        <f t="shared" si="10"/>
        <v>Error?</v>
      </c>
    </row>
    <row r="735" spans="1:4" x14ac:dyDescent="0.2">
      <c r="A735" s="5">
        <v>674</v>
      </c>
      <c r="B735" s="138">
        <f>'Expenditures 15-22'!C55</f>
        <v>572611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572611</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103067</v>
      </c>
      <c r="D739" s="2" t="str">
        <f t="shared" si="10"/>
        <v>Error?</v>
      </c>
    </row>
    <row r="740" spans="1:4" x14ac:dyDescent="0.2">
      <c r="A740" s="5">
        <v>679</v>
      </c>
      <c r="B740" s="138">
        <f>'Expenditures 15-22'!C61</f>
        <v>456346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185277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744690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17828</v>
      </c>
      <c r="D754" s="2" t="str">
        <f t="shared" si="10"/>
        <v>Error?</v>
      </c>
    </row>
    <row r="755" spans="1:4" x14ac:dyDescent="0.2">
      <c r="A755" s="5">
        <v>694</v>
      </c>
      <c r="B755" s="138">
        <f>'Expenditures 15-22'!C74</f>
        <v>2248095</v>
      </c>
      <c r="C755" s="2" t="s">
        <v>593</v>
      </c>
      <c r="D755" s="2" t="str">
        <f t="shared" si="10"/>
        <v>Error?</v>
      </c>
    </row>
    <row r="756" spans="1:4" x14ac:dyDescent="0.2">
      <c r="A756" s="5">
        <v>695</v>
      </c>
      <c r="B756" s="138">
        <f>'Expenditures 15-22'!C75</f>
        <v>189872</v>
      </c>
      <c r="D756" s="2" t="str">
        <f t="shared" si="10"/>
        <v>Error?</v>
      </c>
    </row>
    <row r="757" spans="1:4" x14ac:dyDescent="0.2">
      <c r="A757" s="5">
        <v>696</v>
      </c>
      <c r="B757" s="138">
        <f>'Expenditures 15-22'!C114</f>
        <v>6045717</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407488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11731</v>
      </c>
      <c r="D775" s="2" t="str">
        <f t="shared" si="11"/>
        <v>Error?</v>
      </c>
    </row>
    <row r="776" spans="1:4" x14ac:dyDescent="0.2">
      <c r="A776" s="5">
        <v>715</v>
      </c>
      <c r="B776" s="138">
        <f>'Expenditures 15-22'!D14</f>
        <v>6599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676129</v>
      </c>
      <c r="C778" s="2" t="s">
        <v>593</v>
      </c>
      <c r="D778" s="2" t="str">
        <f t="shared" si="11"/>
        <v>Error?</v>
      </c>
    </row>
    <row r="779" spans="1:4" x14ac:dyDescent="0.2">
      <c r="A779" s="5">
        <v>718</v>
      </c>
      <c r="B779" s="138">
        <f>'Expenditures 15-22'!D36</f>
        <v>10427</v>
      </c>
      <c r="D779" s="2" t="str">
        <f t="shared" si="11"/>
        <v>Error?</v>
      </c>
    </row>
    <row r="780" spans="1:4" x14ac:dyDescent="0.2">
      <c r="A780" s="5">
        <v>719</v>
      </c>
      <c r="B780" s="138">
        <f>'Expenditures 15-22'!D37</f>
        <v>7517</v>
      </c>
      <c r="D780" s="2" t="str">
        <f t="shared" si="11"/>
        <v>Error?</v>
      </c>
    </row>
    <row r="781" spans="1:4" x14ac:dyDescent="0.2">
      <c r="A781" s="5">
        <v>720</v>
      </c>
      <c r="B781" s="138">
        <f>'Expenditures 15-22'!D38</f>
        <v>18190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36134</v>
      </c>
      <c r="C785" s="2" t="s">
        <v>593</v>
      </c>
      <c r="D785" s="2" t="str">
        <f t="shared" si="11"/>
        <v>Error?</v>
      </c>
    </row>
    <row r="786" spans="1:4" x14ac:dyDescent="0.2">
      <c r="A786" s="5">
        <v>725</v>
      </c>
      <c r="B786" s="138">
        <f>'Expenditures 15-22'!D44</f>
        <v>72677</v>
      </c>
      <c r="D786" s="2" t="str">
        <f t="shared" si="11"/>
        <v>Error?</v>
      </c>
    </row>
    <row r="787" spans="1:4" x14ac:dyDescent="0.2">
      <c r="A787" s="5">
        <v>726</v>
      </c>
      <c r="B787" s="138">
        <f>'Expenditures 15-22'!D45</f>
        <v>7270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79947</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67499</v>
      </c>
      <c r="D791" s="2" t="str">
        <f t="shared" si="11"/>
        <v>Error?</v>
      </c>
    </row>
    <row r="792" spans="1:4" x14ac:dyDescent="0.2">
      <c r="A792" s="5">
        <v>731</v>
      </c>
      <c r="B792" s="138">
        <f>'Expenditures 15-22'!D53</f>
        <v>84433</v>
      </c>
      <c r="C792" s="2" t="s">
        <v>593</v>
      </c>
      <c r="D792" s="2" t="str">
        <f t="shared" si="11"/>
        <v>Error?</v>
      </c>
    </row>
    <row r="793" spans="1:4" x14ac:dyDescent="0.2">
      <c r="A793" s="5">
        <v>732</v>
      </c>
      <c r="B793" s="138">
        <f>'Expenditures 15-22'!D55</f>
        <v>116727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116727</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16697</v>
      </c>
      <c r="D797" s="2" t="str">
        <f t="shared" si="11"/>
        <v>Error?</v>
      </c>
    </row>
    <row r="798" spans="1:4" x14ac:dyDescent="0.2">
      <c r="A798" s="5">
        <v>737</v>
      </c>
      <c r="B798" s="138">
        <f>'Expenditures 15-22'!D61</f>
        <v>51973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30447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99117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11885</v>
      </c>
      <c r="D812" s="2" t="str">
        <f t="shared" si="11"/>
        <v>Error?</v>
      </c>
    </row>
    <row r="813" spans="1:4" x14ac:dyDescent="0.2">
      <c r="A813" s="5">
        <v>752</v>
      </c>
      <c r="B813" s="138">
        <f>'Expenditures 15-22'!D74</f>
        <v>428243</v>
      </c>
      <c r="C813" s="2" t="s">
        <v>593</v>
      </c>
      <c r="D813" s="2" t="str">
        <f t="shared" si="11"/>
        <v>Error?</v>
      </c>
    </row>
    <row r="814" spans="1:4" x14ac:dyDescent="0.2">
      <c r="A814" s="5">
        <v>753</v>
      </c>
      <c r="B814" s="138">
        <f>'Expenditures 15-22'!D75</f>
        <v>26632</v>
      </c>
      <c r="D814" s="2" t="str">
        <f t="shared" si="11"/>
        <v>Error?</v>
      </c>
    </row>
    <row r="815" spans="1:4" x14ac:dyDescent="0.2">
      <c r="A815" s="5">
        <v>754</v>
      </c>
      <c r="B815" s="138">
        <f>'Expenditures 15-22'!D114</f>
        <v>1131004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17290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624</v>
      </c>
      <c r="D833" s="2" t="str">
        <f t="shared" si="12"/>
        <v>Error?</v>
      </c>
    </row>
    <row r="834" spans="1:4" x14ac:dyDescent="0.2">
      <c r="A834" s="5">
        <v>773</v>
      </c>
      <c r="B834" s="138">
        <f>'Expenditures 15-22'!E14</f>
        <v>9699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63289</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109</v>
      </c>
      <c r="D838" s="2" t="str">
        <f t="shared" si="12"/>
        <v>Error?</v>
      </c>
    </row>
    <row r="839" spans="1:4" x14ac:dyDescent="0.2">
      <c r="A839" s="5">
        <v>778</v>
      </c>
      <c r="B839" s="138">
        <f>'Expenditures 15-22'!E38</f>
        <v>1525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1634</v>
      </c>
      <c r="C843" s="2" t="s">
        <v>593</v>
      </c>
      <c r="D843" s="2" t="str">
        <f t="shared" si="12"/>
        <v>Error?</v>
      </c>
    </row>
    <row r="844" spans="1:4" x14ac:dyDescent="0.2">
      <c r="A844" s="5">
        <v>783</v>
      </c>
      <c r="B844" s="138">
        <f>'Expenditures 15-22'!E44</f>
        <v>398677</v>
      </c>
      <c r="D844" s="2" t="str">
        <f t="shared" si="12"/>
        <v>Error?</v>
      </c>
    </row>
    <row r="845" spans="1:4" x14ac:dyDescent="0.2">
      <c r="A845" s="5">
        <v>784</v>
      </c>
      <c r="B845" s="138">
        <f>'Expenditures 15-22'!E45</f>
        <v>3955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402632</v>
      </c>
      <c r="C847" s="2" t="s">
        <v>593</v>
      </c>
      <c r="D847" s="2" t="str">
        <f t="shared" si="12"/>
        <v>Error?</v>
      </c>
    </row>
    <row r="848" spans="1:4" x14ac:dyDescent="0.2">
      <c r="A848" s="5">
        <v>787</v>
      </c>
      <c r="B848" s="138">
        <f>'Expenditures 15-22'!E49</f>
        <v>166099</v>
      </c>
      <c r="D848" s="2" t="str">
        <f t="shared" si="12"/>
        <v>Error?</v>
      </c>
    </row>
    <row r="849" spans="1:4" x14ac:dyDescent="0.2">
      <c r="A849" s="5">
        <v>788</v>
      </c>
      <c r="B849" s="138">
        <f>'Expenditures 15-22'!E50</f>
        <v>44916</v>
      </c>
      <c r="D849" s="2" t="str">
        <f t="shared" si="12"/>
        <v>Error?</v>
      </c>
    </row>
    <row r="850" spans="1:4" x14ac:dyDescent="0.2">
      <c r="A850" s="5">
        <v>789</v>
      </c>
      <c r="B850" s="138">
        <f>'Expenditures 15-22'!E53</f>
        <v>318335</v>
      </c>
      <c r="C850" s="2" t="s">
        <v>593</v>
      </c>
      <c r="D850" s="2" t="str">
        <f t="shared" si="12"/>
        <v>Error?</v>
      </c>
    </row>
    <row r="851" spans="1:4" x14ac:dyDescent="0.2">
      <c r="A851" s="5">
        <v>790</v>
      </c>
      <c r="B851" s="138">
        <f>'Expenditures 15-22'!E55</f>
        <v>2305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2305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39518</v>
      </c>
      <c r="D855" s="2" t="str">
        <f t="shared" si="12"/>
        <v>Error?</v>
      </c>
    </row>
    <row r="856" spans="1:4" x14ac:dyDescent="0.2">
      <c r="A856" s="5">
        <v>795</v>
      </c>
      <c r="B856" s="138">
        <f>'Expenditures 15-22'!E61</f>
        <v>8000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10232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57750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1700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5267</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6967</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789623</v>
      </c>
      <c r="C871" s="2" t="s">
        <v>593</v>
      </c>
      <c r="D871" s="2" t="str">
        <f t="shared" si="12"/>
        <v>Error?</v>
      </c>
    </row>
    <row r="872" spans="1:4" x14ac:dyDescent="0.2">
      <c r="A872" s="5">
        <v>811</v>
      </c>
      <c r="B872" s="138">
        <f>'Expenditures 15-22'!E75</f>
        <v>32347</v>
      </c>
      <c r="D872" s="2" t="str">
        <f t="shared" si="12"/>
        <v>Error?</v>
      </c>
    </row>
    <row r="873" spans="1:4" x14ac:dyDescent="0.2">
      <c r="A873" s="5">
        <v>812</v>
      </c>
      <c r="B873" s="138">
        <f>'Expenditures 15-22'!E114</f>
        <v>885259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28102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13002</v>
      </c>
      <c r="D891" s="2" t="str">
        <f t="shared" si="12"/>
        <v>Error?</v>
      </c>
    </row>
    <row r="892" spans="1:4" x14ac:dyDescent="0.2">
      <c r="A892" s="5">
        <v>831</v>
      </c>
      <c r="B892" s="138">
        <f>'Expenditures 15-22'!F14</f>
        <v>63474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261246</v>
      </c>
      <c r="C894" s="2" t="s">
        <v>593</v>
      </c>
      <c r="D894" s="2" t="str">
        <f t="shared" si="12"/>
        <v>Error?</v>
      </c>
    </row>
    <row r="895" spans="1:4" x14ac:dyDescent="0.2">
      <c r="A895" s="5">
        <v>834</v>
      </c>
      <c r="B895" s="138">
        <f>'Expenditures 15-22'!F36</f>
        <v>164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6674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6838</v>
      </c>
      <c r="C901" s="2" t="s">
        <v>593</v>
      </c>
      <c r="D901" s="2" t="str">
        <f t="shared" si="13"/>
        <v>Error?</v>
      </c>
    </row>
    <row r="902" spans="1:4" x14ac:dyDescent="0.2">
      <c r="A902" s="5">
        <v>841</v>
      </c>
      <c r="B902" s="138">
        <f>'Expenditures 15-22'!F44</f>
        <v>98094</v>
      </c>
      <c r="D902" s="2" t="str">
        <f t="shared" si="13"/>
        <v>Error?</v>
      </c>
    </row>
    <row r="903" spans="1:4" x14ac:dyDescent="0.2">
      <c r="A903" s="5">
        <v>842</v>
      </c>
      <c r="B903" s="138">
        <f>'Expenditures 15-22'!F45</f>
        <v>13055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111149</v>
      </c>
      <c r="C905" s="2" t="s">
        <v>593</v>
      </c>
      <c r="D905" s="2" t="str">
        <f t="shared" si="13"/>
        <v>Error?</v>
      </c>
    </row>
    <row r="906" spans="1:4" x14ac:dyDescent="0.2">
      <c r="A906" s="5">
        <v>845</v>
      </c>
      <c r="B906" s="138">
        <f>'Expenditures 15-22'!F49</f>
        <v>2254</v>
      </c>
      <c r="D906" s="2" t="str">
        <f t="shared" si="13"/>
        <v>Error?</v>
      </c>
    </row>
    <row r="907" spans="1:4" x14ac:dyDescent="0.2">
      <c r="A907" s="5">
        <v>846</v>
      </c>
      <c r="B907" s="138">
        <f>'Expenditures 15-22'!F50</f>
        <v>84118</v>
      </c>
      <c r="D907" s="2" t="str">
        <f t="shared" si="13"/>
        <v>Error?</v>
      </c>
    </row>
    <row r="908" spans="1:4" x14ac:dyDescent="0.2">
      <c r="A908" s="5">
        <v>847</v>
      </c>
      <c r="B908" s="138">
        <f>'Expenditures 15-22'!F53</f>
        <v>87016</v>
      </c>
      <c r="C908" s="2" t="s">
        <v>593</v>
      </c>
      <c r="D908" s="2" t="str">
        <f t="shared" si="13"/>
        <v>Error?</v>
      </c>
    </row>
    <row r="909" spans="1:4" x14ac:dyDescent="0.2">
      <c r="A909" s="5">
        <v>848</v>
      </c>
      <c r="B909" s="138">
        <f>'Expenditures 15-22'!F55</f>
        <v>889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889</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11670</v>
      </c>
      <c r="D913" s="2" t="str">
        <f t="shared" si="13"/>
        <v>Error?</v>
      </c>
    </row>
    <row r="914" spans="1:4" x14ac:dyDescent="0.2">
      <c r="A914" s="5">
        <v>853</v>
      </c>
      <c r="B914" s="138">
        <f>'Expenditures 15-22'!F61</f>
        <v>6271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325858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343799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68</v>
      </c>
      <c r="D928" s="2" t="str">
        <f t="shared" si="13"/>
        <v>Error?</v>
      </c>
    </row>
    <row r="929" spans="1:4" x14ac:dyDescent="0.2">
      <c r="A929" s="5">
        <v>868</v>
      </c>
      <c r="B929" s="138">
        <f>'Expenditures 15-22'!F74</f>
        <v>549759</v>
      </c>
      <c r="C929" s="2" t="s">
        <v>593</v>
      </c>
      <c r="D929" s="2" t="str">
        <f t="shared" si="13"/>
        <v>Error?</v>
      </c>
    </row>
    <row r="930" spans="1:4" x14ac:dyDescent="0.2">
      <c r="A930" s="5">
        <v>869</v>
      </c>
      <c r="B930" s="138">
        <f>'Expenditures 15-22'!F75</f>
        <v>25736</v>
      </c>
      <c r="D930" s="2" t="str">
        <f t="shared" si="13"/>
        <v>Error?</v>
      </c>
    </row>
    <row r="931" spans="1:4" x14ac:dyDescent="0.2">
      <c r="A931" s="5">
        <v>870</v>
      </c>
      <c r="B931" s="138">
        <f>'Expenditures 15-22'!F114</f>
        <v>836741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5996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4661</v>
      </c>
      <c r="D949" s="2" t="str">
        <f t="shared" si="13"/>
        <v>Error?</v>
      </c>
    </row>
    <row r="950" spans="1:4" x14ac:dyDescent="0.2">
      <c r="A950" s="5">
        <v>889</v>
      </c>
      <c r="B950" s="138">
        <f>'Expenditures 15-22'!G14</f>
        <v>10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22325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22325</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382087</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23683</v>
      </c>
      <c r="D1022" s="2" t="str">
        <f t="shared" si="14"/>
        <v>Error?</v>
      </c>
    </row>
    <row r="1023" spans="1:4" x14ac:dyDescent="0.2">
      <c r="A1023" s="5">
        <v>962</v>
      </c>
      <c r="B1023" s="138">
        <f>'Expenditures 15-22'!H50</f>
        <v>1823</v>
      </c>
      <c r="D1023" s="2" t="str">
        <f t="shared" ref="D1023:D1086" si="15">IF(ISBLANK(B1023),"OK",IF(A1023-B1023=0,"OK","Error?"))</f>
        <v>Error?</v>
      </c>
    </row>
    <row r="1024" spans="1:4" x14ac:dyDescent="0.2">
      <c r="A1024" s="5">
        <v>963</v>
      </c>
      <c r="B1024" s="138">
        <f>'Expenditures 15-22'!H53</f>
        <v>25506</v>
      </c>
      <c r="C1024" s="2" t="s">
        <v>593</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26276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44502</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452865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2551613</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76061</v>
      </c>
      <c r="C1105" s="2" t="s">
        <v>593</v>
      </c>
      <c r="D1105" s="2" t="str">
        <f t="shared" si="16"/>
        <v>Error?</v>
      </c>
    </row>
    <row r="1106" spans="1:4" x14ac:dyDescent="0.2">
      <c r="A1106" s="5">
        <v>1045</v>
      </c>
      <c r="B1106" s="138">
        <f>'Expenditures 15-22'!K14</f>
        <v>218187</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5012826</v>
      </c>
      <c r="C1108" s="2" t="s">
        <v>593</v>
      </c>
      <c r="D1108" s="2" t="str">
        <f t="shared" si="16"/>
        <v>Error?</v>
      </c>
    </row>
    <row r="1109" spans="1:4" x14ac:dyDescent="0.2">
      <c r="A1109" s="5">
        <v>1048</v>
      </c>
      <c r="B1109" s="138">
        <f>'Expenditures 15-22'!K36</f>
        <v>56803</v>
      </c>
      <c r="C1109" s="2" t="s">
        <v>593</v>
      </c>
      <c r="D1109" s="2" t="str">
        <f t="shared" si="16"/>
        <v>Error?</v>
      </c>
    </row>
    <row r="1110" spans="1:4" x14ac:dyDescent="0.2">
      <c r="A1110" s="5">
        <v>1049</v>
      </c>
      <c r="B1110" s="138">
        <f>'Expenditures 15-22'!K37</f>
        <v>50978</v>
      </c>
      <c r="C1110" s="2" t="s">
        <v>593</v>
      </c>
      <c r="D1110" s="2" t="str">
        <f t="shared" si="16"/>
        <v>Error?</v>
      </c>
    </row>
    <row r="1111" spans="1:4" x14ac:dyDescent="0.2">
      <c r="A1111" s="5">
        <v>1050</v>
      </c>
      <c r="B1111" s="138">
        <f>'Expenditures 15-22'!K38</f>
        <v>151413</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259194</v>
      </c>
      <c r="C1115" s="2" t="s">
        <v>593</v>
      </c>
      <c r="D1115" s="2" t="str">
        <f t="shared" si="16"/>
        <v>Error?</v>
      </c>
    </row>
    <row r="1116" spans="1:4" x14ac:dyDescent="0.2">
      <c r="A1116" s="5">
        <v>1055</v>
      </c>
      <c r="B1116" s="138">
        <f>'Expenditures 15-22'!K44</f>
        <v>750635</v>
      </c>
      <c r="C1116" s="2" t="s">
        <v>593</v>
      </c>
      <c r="D1116" s="2" t="str">
        <f t="shared" si="16"/>
        <v>Error?</v>
      </c>
    </row>
    <row r="1117" spans="1:4" x14ac:dyDescent="0.2">
      <c r="A1117" s="5">
        <v>1056</v>
      </c>
      <c r="B1117" s="138">
        <f>'Expenditures 15-22'!K45</f>
        <v>139029</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889664</v>
      </c>
      <c r="C1119" s="2" t="s">
        <v>593</v>
      </c>
      <c r="D1119" s="2" t="str">
        <f t="shared" si="16"/>
        <v>Error?</v>
      </c>
    </row>
    <row r="1120" spans="1:4" x14ac:dyDescent="0.2">
      <c r="A1120" s="5">
        <v>1059</v>
      </c>
      <c r="B1120" s="138">
        <f>'Expenditures 15-22'!K49</f>
        <v>192036</v>
      </c>
      <c r="C1120" s="2" t="s">
        <v>593</v>
      </c>
      <c r="D1120" s="2" t="str">
        <f t="shared" si="16"/>
        <v>Error?</v>
      </c>
    </row>
    <row r="1121" spans="1:4" x14ac:dyDescent="0.2">
      <c r="A1121" s="5">
        <v>1060</v>
      </c>
      <c r="B1121" s="138">
        <f>'Expenditures 15-22'!K50</f>
        <v>526765</v>
      </c>
      <c r="C1121" s="2" t="s">
        <v>593</v>
      </c>
      <c r="D1121" s="2" t="str">
        <f t="shared" si="16"/>
        <v>Error?</v>
      </c>
    </row>
    <row r="1122" spans="1:4" x14ac:dyDescent="0.2">
      <c r="A1122" s="5">
        <v>1061</v>
      </c>
      <c r="B1122" s="138">
        <f>'Expenditures 15-22'!K53</f>
        <v>917732</v>
      </c>
      <c r="C1122" s="2" t="s">
        <v>593</v>
      </c>
      <c r="D1122" s="2" t="str">
        <f t="shared" si="16"/>
        <v>Error?</v>
      </c>
    </row>
    <row r="1123" spans="1:4" x14ac:dyDescent="0.2">
      <c r="A1123" s="5">
        <v>1062</v>
      </c>
      <c r="B1123" s="138">
        <f>'Expenditures 15-22'!K55</f>
        <v>693302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693302</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170952</v>
      </c>
      <c r="C1127" s="2" t="s">
        <v>593</v>
      </c>
      <c r="D1127" s="2" t="str">
        <f t="shared" si="16"/>
        <v>Error?</v>
      </c>
    </row>
    <row r="1128" spans="1:4" x14ac:dyDescent="0.2">
      <c r="A1128" s="5">
        <v>1067</v>
      </c>
      <c r="B1128" s="138">
        <f>'Expenditures 15-22'!K61</f>
        <v>522590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551814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1245356</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1700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5267</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6967</v>
      </c>
      <c r="C1141" s="2" t="s">
        <v>593</v>
      </c>
      <c r="D1141" s="2" t="str">
        <f t="shared" si="16"/>
        <v>Error?</v>
      </c>
    </row>
    <row r="1142" spans="1:4" x14ac:dyDescent="0.2">
      <c r="A1142" s="5">
        <v>1081</v>
      </c>
      <c r="B1142" s="138">
        <f>'Expenditures 15-22'!K73</f>
        <v>29781</v>
      </c>
      <c r="C1142" s="2" t="s">
        <v>593</v>
      </c>
      <c r="D1142" s="2" t="str">
        <f t="shared" si="16"/>
        <v>Error?</v>
      </c>
    </row>
    <row r="1143" spans="1:4" x14ac:dyDescent="0.2">
      <c r="A1143" s="5">
        <v>1082</v>
      </c>
      <c r="B1143" s="138">
        <f>'Expenditures 15-22'!K74</f>
        <v>4041996</v>
      </c>
      <c r="C1143" s="2" t="s">
        <v>593</v>
      </c>
      <c r="D1143" s="2" t="str">
        <f t="shared" si="16"/>
        <v>Error?</v>
      </c>
    </row>
    <row r="1144" spans="1:4" x14ac:dyDescent="0.2">
      <c r="A1144" s="5">
        <v>1083</v>
      </c>
      <c r="B1144" s="138">
        <f>'Expenditures 15-22'!K75</f>
        <v>274587</v>
      </c>
      <c r="C1144" s="2" t="s">
        <v>593</v>
      </c>
      <c r="D1144" s="2" t="str">
        <f t="shared" si="16"/>
        <v>Error?</v>
      </c>
    </row>
    <row r="1145" spans="1:4" x14ac:dyDescent="0.2">
      <c r="A1145" s="5">
        <v>1084</v>
      </c>
      <c r="B1145" s="138">
        <f>'Expenditures 15-22'!K102</f>
        <v>44502</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9373911</v>
      </c>
      <c r="C1152" s="2" t="s">
        <v>593</v>
      </c>
      <c r="D1152" s="2" t="str">
        <f t="shared" si="17"/>
        <v>Error?</v>
      </c>
    </row>
    <row r="1153" spans="1:4" x14ac:dyDescent="0.2">
      <c r="A1153" s="5">
        <v>1092</v>
      </c>
      <c r="B1153" s="138">
        <f>'Expenditures 15-22'!K115</f>
        <v>-272506</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593</v>
      </c>
      <c r="D1225" s="2" t="str">
        <f t="shared" si="18"/>
        <v>Error?</v>
      </c>
    </row>
    <row r="1226" spans="1:4" x14ac:dyDescent="0.2">
      <c r="A1226" s="5">
        <v>1165</v>
      </c>
      <c r="B1226" s="138">
        <f>'Expenditures 15-22'!C151</f>
        <v>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593</v>
      </c>
      <c r="D1233" s="2" t="str">
        <f t="shared" si="18"/>
        <v>Error?</v>
      </c>
    </row>
    <row r="1234" spans="1:4" x14ac:dyDescent="0.2">
      <c r="A1234" s="5">
        <v>1173</v>
      </c>
      <c r="B1234" s="138">
        <f>'Expenditures 15-22'!D151</f>
        <v>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208836</v>
      </c>
      <c r="D1237" s="2" t="str">
        <f t="shared" si="18"/>
        <v>Error?</v>
      </c>
    </row>
    <row r="1238" spans="1:4" x14ac:dyDescent="0.2">
      <c r="A1238" s="10">
        <v>1177</v>
      </c>
      <c r="D1238" s="2" t="str">
        <f t="shared" si="18"/>
        <v>OK</v>
      </c>
    </row>
    <row r="1239" spans="1:4" x14ac:dyDescent="0.2">
      <c r="A1239" s="5">
        <v>1178</v>
      </c>
      <c r="B1239" s="138">
        <f>'Expenditures 15-22'!E127</f>
        <v>208836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208836</v>
      </c>
      <c r="C1241" s="2" t="s">
        <v>593</v>
      </c>
      <c r="D1241" s="2" t="str">
        <f t="shared" si="18"/>
        <v>Error?</v>
      </c>
    </row>
    <row r="1242" spans="1:4" x14ac:dyDescent="0.2">
      <c r="A1242" s="5">
        <v>1181</v>
      </c>
      <c r="B1242" s="138">
        <f>'Expenditures 15-22'!E151</f>
        <v>208836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5286</v>
      </c>
      <c r="D1244" s="2" t="str">
        <f t="shared" si="18"/>
        <v>Error?</v>
      </c>
    </row>
    <row r="1245" spans="1:4" x14ac:dyDescent="0.2">
      <c r="A1245" s="5">
        <v>1184</v>
      </c>
      <c r="B1245" s="138">
        <f>'Expenditures 15-22'!F124</f>
        <v>167295</v>
      </c>
      <c r="D1245" s="2" t="str">
        <f t="shared" si="18"/>
        <v>Error?</v>
      </c>
    </row>
    <row r="1246" spans="1:4" x14ac:dyDescent="0.2">
      <c r="A1246" s="10">
        <v>1185</v>
      </c>
      <c r="D1246" s="2" t="str">
        <f t="shared" si="18"/>
        <v>OK</v>
      </c>
    </row>
    <row r="1247" spans="1:4" x14ac:dyDescent="0.2">
      <c r="A1247" s="5">
        <v>1186</v>
      </c>
      <c r="B1247" s="138">
        <f>'Expenditures 15-22'!F127</f>
        <v>172581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172581</v>
      </c>
      <c r="C1249" s="2" t="s">
        <v>593</v>
      </c>
      <c r="D1249" s="2" t="str">
        <f t="shared" si="18"/>
        <v>Error?</v>
      </c>
    </row>
    <row r="1250" spans="1:4" x14ac:dyDescent="0.2">
      <c r="A1250" s="5">
        <v>1189</v>
      </c>
      <c r="B1250" s="138">
        <f>'Expenditures 15-22'!F151</f>
        <v>172581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2710021</v>
      </c>
      <c r="D1252" s="2" t="str">
        <f t="shared" si="18"/>
        <v>Error?</v>
      </c>
    </row>
    <row r="1253" spans="1:4" x14ac:dyDescent="0.2">
      <c r="A1253" s="5">
        <v>1192</v>
      </c>
      <c r="B1253" s="138">
        <f>'Expenditures 15-22'!G124</f>
        <v>115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2710136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2710136</v>
      </c>
      <c r="C1258" s="2" t="s">
        <v>593</v>
      </c>
      <c r="D1258" s="2" t="str">
        <f t="shared" si="18"/>
        <v>Error?</v>
      </c>
    </row>
    <row r="1259" spans="1:4" x14ac:dyDescent="0.2">
      <c r="A1259" s="5">
        <v>1198</v>
      </c>
      <c r="B1259" s="138">
        <f>'Expenditures 15-22'!G151</f>
        <v>2710136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2715307</v>
      </c>
      <c r="C1275" s="2" t="s">
        <v>593</v>
      </c>
      <c r="D1275" s="2" t="str">
        <f t="shared" si="18"/>
        <v>Error?</v>
      </c>
    </row>
    <row r="1276" spans="1:4" x14ac:dyDescent="0.2">
      <c r="A1276" s="5">
        <v>1215</v>
      </c>
      <c r="B1276" s="138">
        <f>'Expenditures 15-22'!K124</f>
        <v>376246</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3091553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3091553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3091553</v>
      </c>
      <c r="C1288" s="2" t="s">
        <v>593</v>
      </c>
      <c r="D1288" s="2" t="str">
        <f t="shared" si="19"/>
        <v>Error?</v>
      </c>
    </row>
    <row r="1289" spans="1:4" x14ac:dyDescent="0.2">
      <c r="A1289" s="5">
        <v>1228</v>
      </c>
      <c r="B1289" s="138">
        <f>'Expenditures 15-22'!K152</f>
        <v>-2457474</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233993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3579704</v>
      </c>
      <c r="D1315" s="2" t="str">
        <f t="shared" si="19"/>
        <v>Error?</v>
      </c>
    </row>
    <row r="1316" spans="1:4" x14ac:dyDescent="0.2">
      <c r="A1316" s="5">
        <v>1255</v>
      </c>
      <c r="B1316" s="138">
        <f>'Expenditures 15-22'!H171</f>
        <v>263415</v>
      </c>
      <c r="D1316" s="2" t="str">
        <f t="shared" si="19"/>
        <v>Error?</v>
      </c>
    </row>
    <row r="1317" spans="1:4" x14ac:dyDescent="0.2">
      <c r="A1317" s="5">
        <v>1256</v>
      </c>
      <c r="B1317" s="138">
        <f>'Expenditures 15-22'!H172</f>
        <v>4077112</v>
      </c>
      <c r="C1317" s="2" t="s">
        <v>593</v>
      </c>
      <c r="D1317" s="2" t="str">
        <f t="shared" si="19"/>
        <v>Error?</v>
      </c>
    </row>
    <row r="1318" spans="1:4" x14ac:dyDescent="0.2">
      <c r="A1318" s="5">
        <v>1257</v>
      </c>
      <c r="B1318" s="138">
        <f>'Expenditures 15-22'!H174</f>
        <v>4077112</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233993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3579704</v>
      </c>
      <c r="C1329" s="2" t="s">
        <v>593</v>
      </c>
      <c r="D1329" s="2" t="str">
        <f t="shared" si="19"/>
        <v>Error?</v>
      </c>
    </row>
    <row r="1330" spans="1:4" x14ac:dyDescent="0.2">
      <c r="A1330" s="5">
        <v>1269</v>
      </c>
      <c r="B1330" s="138">
        <f>'Expenditures 15-22'!K171</f>
        <v>263415</v>
      </c>
      <c r="C1330" s="2" t="s">
        <v>593</v>
      </c>
      <c r="D1330" s="2" t="str">
        <f t="shared" si="19"/>
        <v>Error?</v>
      </c>
    </row>
    <row r="1331" spans="1:4" x14ac:dyDescent="0.2">
      <c r="A1331" s="5">
        <v>1270</v>
      </c>
      <c r="B1331" s="138">
        <f>'Expenditures 15-22'!K172</f>
        <v>4077112</v>
      </c>
      <c r="C1331" s="2" t="s">
        <v>593</v>
      </c>
      <c r="D1331" s="2" t="str">
        <f t="shared" si="19"/>
        <v>Error?</v>
      </c>
    </row>
    <row r="1332" spans="1:4" x14ac:dyDescent="0.2">
      <c r="A1332" s="5">
        <v>1271</v>
      </c>
      <c r="B1332" s="138">
        <f>'Expenditures 15-22'!K174</f>
        <v>4077112</v>
      </c>
      <c r="C1332" s="2" t="s">
        <v>593</v>
      </c>
      <c r="D1332" s="2" t="str">
        <f t="shared" si="19"/>
        <v>Error?</v>
      </c>
    </row>
    <row r="1333" spans="1:4" x14ac:dyDescent="0.2">
      <c r="A1333" s="5">
        <v>1272</v>
      </c>
      <c r="B1333" s="138">
        <f>'Expenditures 15-22'!K175</f>
        <v>-3666697</v>
      </c>
      <c r="C1333" s="2" t="s">
        <v>593</v>
      </c>
      <c r="D1333" s="2" t="str">
        <f t="shared" si="19"/>
        <v>Error?</v>
      </c>
    </row>
    <row r="1334" spans="1:4" x14ac:dyDescent="0.2">
      <c r="A1334" s="10">
        <v>1273</v>
      </c>
      <c r="D1334" s="2" t="str">
        <f t="shared" si="19"/>
        <v>OK</v>
      </c>
    </row>
    <row r="1335" spans="1:4" x14ac:dyDescent="0.2">
      <c r="A1335" s="5">
        <v>1274</v>
      </c>
      <c r="B1335" s="138">
        <f>'Expenditures 15-22'!C182</f>
        <v>233076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233076</v>
      </c>
      <c r="C1339" s="2" t="s">
        <v>593</v>
      </c>
      <c r="D1339" s="2" t="str">
        <f t="shared" si="19"/>
        <v>Error?</v>
      </c>
    </row>
    <row r="1340" spans="1:4" x14ac:dyDescent="0.2">
      <c r="A1340" s="5">
        <v>1279</v>
      </c>
      <c r="B1340" s="138">
        <f>'Expenditures 15-22'!C210</f>
        <v>233076</v>
      </c>
      <c r="C1340" s="2" t="s">
        <v>593</v>
      </c>
      <c r="D1340" s="2" t="str">
        <f t="shared" si="19"/>
        <v>Error?</v>
      </c>
    </row>
    <row r="1341" spans="1:4" x14ac:dyDescent="0.2">
      <c r="A1341" s="5">
        <v>1280</v>
      </c>
      <c r="B1341" s="138">
        <f>'Expenditures 15-22'!D182</f>
        <v>21952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21952</v>
      </c>
      <c r="C1345" s="2" t="s">
        <v>593</v>
      </c>
      <c r="D1345" s="2" t="str">
        <f t="shared" si="20"/>
        <v>Error?</v>
      </c>
    </row>
    <row r="1346" spans="1:4" x14ac:dyDescent="0.2">
      <c r="A1346" s="5">
        <v>1285</v>
      </c>
      <c r="B1346" s="138">
        <f>'Expenditures 15-22'!D210</f>
        <v>21952</v>
      </c>
      <c r="C1346" s="2" t="s">
        <v>593</v>
      </c>
      <c r="D1346" s="2" t="str">
        <f t="shared" si="20"/>
        <v>Error?</v>
      </c>
    </row>
    <row r="1347" spans="1:4" x14ac:dyDescent="0.2">
      <c r="A1347" s="5">
        <v>1286</v>
      </c>
      <c r="B1347" s="138">
        <f>'Expenditures 15-22'!E182</f>
        <v>198523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198523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198523</v>
      </c>
      <c r="C1353" s="2" t="s">
        <v>593</v>
      </c>
      <c r="D1353" s="2" t="str">
        <f t="shared" si="20"/>
        <v>Error?</v>
      </c>
    </row>
    <row r="1354" spans="1:4" x14ac:dyDescent="0.2">
      <c r="A1354" s="5">
        <v>1293</v>
      </c>
      <c r="B1354" s="138">
        <f>'Expenditures 15-22'!F182</f>
        <v>37915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37915</v>
      </c>
      <c r="C1358" s="2" t="s">
        <v>593</v>
      </c>
      <c r="D1358" s="2" t="str">
        <f t="shared" si="20"/>
        <v>Error?</v>
      </c>
    </row>
    <row r="1359" spans="1:4" x14ac:dyDescent="0.2">
      <c r="A1359" s="5">
        <v>1298</v>
      </c>
      <c r="B1359" s="138">
        <f>'Expenditures 15-22'!F210</f>
        <v>37915</v>
      </c>
      <c r="C1359" s="2" t="s">
        <v>593</v>
      </c>
      <c r="D1359" s="2" t="str">
        <f t="shared" si="20"/>
        <v>Error?</v>
      </c>
    </row>
    <row r="1360" spans="1:4" x14ac:dyDescent="0.2">
      <c r="A1360" s="5">
        <v>1299</v>
      </c>
      <c r="B1360" s="138">
        <f>'Expenditures 15-22'!G182</f>
        <v>698077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698077</v>
      </c>
      <c r="C1364" s="2" t="s">
        <v>593</v>
      </c>
      <c r="D1364" s="2" t="str">
        <f t="shared" si="20"/>
        <v>Error?</v>
      </c>
    </row>
    <row r="1365" spans="1:4" x14ac:dyDescent="0.2">
      <c r="A1365" s="5">
        <v>1304</v>
      </c>
      <c r="B1365" s="138">
        <f>'Expenditures 15-22'!G210</f>
        <v>698077</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1189543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1189543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1189543</v>
      </c>
      <c r="C1388" s="2" t="s">
        <v>593</v>
      </c>
      <c r="D1388" s="2" t="str">
        <f t="shared" si="20"/>
        <v>Error?</v>
      </c>
    </row>
    <row r="1389" spans="1:4" x14ac:dyDescent="0.2">
      <c r="A1389" s="5">
        <v>1328</v>
      </c>
      <c r="B1389" s="138">
        <f>'Expenditures 15-22'!K211</f>
        <v>-327159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595</v>
      </c>
      <c r="D1407" s="2" t="str">
        <f t="shared" ref="D1407:D1470" si="21">IF(ISBLANK(B1407),"OK",IF(A1407-B1407=0,"OK","Error?"))</f>
        <v>Error?</v>
      </c>
    </row>
    <row r="1408" spans="1:4" x14ac:dyDescent="0.2">
      <c r="A1408" s="5">
        <v>1347</v>
      </c>
      <c r="B1408" s="138">
        <f>'Expenditures 15-22'!D223</f>
        <v>10442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131878</v>
      </c>
      <c r="C1410" s="2" t="s">
        <v>593</v>
      </c>
      <c r="D1410" s="2" t="str">
        <f t="shared" si="21"/>
        <v>Error?</v>
      </c>
    </row>
    <row r="1411" spans="1:4" x14ac:dyDescent="0.2">
      <c r="A1411" s="5">
        <v>1350</v>
      </c>
      <c r="B1411" s="138">
        <f>'Expenditures 15-22'!D232</f>
        <v>1243</v>
      </c>
      <c r="D1411" s="2" t="str">
        <f t="shared" si="21"/>
        <v>Error?</v>
      </c>
    </row>
    <row r="1412" spans="1:4" x14ac:dyDescent="0.2">
      <c r="A1412" s="5">
        <v>1351</v>
      </c>
      <c r="B1412" s="138">
        <f>'Expenditures 15-22'!D233</f>
        <v>7232</v>
      </c>
      <c r="D1412" s="2" t="str">
        <f t="shared" si="21"/>
        <v>Error?</v>
      </c>
    </row>
    <row r="1413" spans="1:4" x14ac:dyDescent="0.2">
      <c r="A1413" s="5">
        <v>1352</v>
      </c>
      <c r="B1413" s="138">
        <f>'Expenditures 15-22'!D234</f>
        <v>19052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27527</v>
      </c>
      <c r="C1417" s="2" t="s">
        <v>593</v>
      </c>
      <c r="D1417" s="2" t="str">
        <f t="shared" si="21"/>
        <v>Error?</v>
      </c>
    </row>
    <row r="1418" spans="1:4" x14ac:dyDescent="0.2">
      <c r="A1418" s="5">
        <v>1357</v>
      </c>
      <c r="B1418" s="138">
        <f>'Expenditures 15-22'!D240</f>
        <v>9874</v>
      </c>
      <c r="D1418" s="2" t="str">
        <f t="shared" si="21"/>
        <v>Error?</v>
      </c>
    </row>
    <row r="1419" spans="1:4" x14ac:dyDescent="0.2">
      <c r="A1419" s="5">
        <v>1358</v>
      </c>
      <c r="B1419" s="138">
        <f>'Expenditures 15-22'!D241</f>
        <v>5831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15705</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16359</v>
      </c>
      <c r="D1423" s="2" t="str">
        <f t="shared" si="21"/>
        <v>Error?</v>
      </c>
    </row>
    <row r="1424" spans="1:4" x14ac:dyDescent="0.2">
      <c r="A1424" s="5">
        <v>1363</v>
      </c>
      <c r="B1424" s="138">
        <f>'Expenditures 15-22'!D257</f>
        <v>17433</v>
      </c>
      <c r="C1424" s="2" t="s">
        <v>593</v>
      </c>
      <c r="D1424" s="2" t="str">
        <f t="shared" si="21"/>
        <v>Error?</v>
      </c>
    </row>
    <row r="1425" spans="1:4" x14ac:dyDescent="0.2">
      <c r="A1425" s="5">
        <v>1364</v>
      </c>
      <c r="B1425" s="138">
        <f>'Expenditures 15-22'!D259</f>
        <v>23370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23370</v>
      </c>
      <c r="C1427" s="2" t="s">
        <v>593</v>
      </c>
      <c r="D1427" s="2" t="str">
        <f t="shared" si="21"/>
        <v>Error?</v>
      </c>
    </row>
    <row r="1428" spans="1:4" x14ac:dyDescent="0.2">
      <c r="A1428" s="5">
        <v>1367</v>
      </c>
      <c r="B1428" s="138">
        <f>'Expenditures 15-22'!D263</f>
        <v>9529</v>
      </c>
      <c r="D1428" s="2" t="str">
        <f t="shared" si="21"/>
        <v>Error?</v>
      </c>
    </row>
    <row r="1429" spans="1:4" x14ac:dyDescent="0.2">
      <c r="A1429" s="5">
        <v>1368</v>
      </c>
      <c r="B1429" s="138">
        <f>'Expenditures 15-22'!D264</f>
        <v>7885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71471</v>
      </c>
      <c r="D1431" s="2" t="str">
        <f t="shared" si="21"/>
        <v>Error?</v>
      </c>
    </row>
    <row r="1432" spans="1:4" x14ac:dyDescent="0.2">
      <c r="A1432" s="5">
        <v>1371</v>
      </c>
      <c r="B1432" s="138">
        <f>'Expenditures 15-22'!D267</f>
        <v>26350</v>
      </c>
      <c r="D1432" s="2" t="str">
        <f t="shared" si="21"/>
        <v>Error?</v>
      </c>
    </row>
    <row r="1433" spans="1:4" x14ac:dyDescent="0.2">
      <c r="A1433" s="5">
        <v>1372</v>
      </c>
      <c r="B1433" s="138">
        <f>'Expenditures 15-22'!D268</f>
        <v>26428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141663</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2970</v>
      </c>
      <c r="D1445" s="2" t="str">
        <f t="shared" si="21"/>
        <v>Error?</v>
      </c>
    </row>
    <row r="1446" spans="1:4" x14ac:dyDescent="0.2">
      <c r="A1446" s="5">
        <v>1385</v>
      </c>
      <c r="B1446" s="138">
        <f>'Expenditures 15-22'!D279</f>
        <v>228668</v>
      </c>
      <c r="C1446" s="2" t="s">
        <v>593</v>
      </c>
      <c r="D1446" s="2" t="str">
        <f t="shared" si="21"/>
        <v>Error?</v>
      </c>
    </row>
    <row r="1447" spans="1:4" x14ac:dyDescent="0.2">
      <c r="A1447" s="5">
        <v>1386</v>
      </c>
      <c r="B1447" s="138">
        <f>'Expenditures 15-22'!D280</f>
        <v>27334</v>
      </c>
      <c r="D1447" s="2" t="str">
        <f t="shared" si="21"/>
        <v>Error?</v>
      </c>
    </row>
    <row r="1448" spans="1:4" x14ac:dyDescent="0.2">
      <c r="A1448" s="5">
        <v>1387</v>
      </c>
      <c r="B1448" s="138">
        <f>'Expenditures 15-22'!D295</f>
        <v>387880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595</v>
      </c>
      <c r="C1471" s="2" t="s">
        <v>593</v>
      </c>
      <c r="D1471" s="2" t="str">
        <f t="shared" ref="D1471:D1534" si="22">IF(ISBLANK(B1471),"OK",IF(A1471-B1471=0,"OK","Error?"))</f>
        <v>Error?</v>
      </c>
    </row>
    <row r="1472" spans="1:4" x14ac:dyDescent="0.2">
      <c r="A1472" s="5">
        <v>1411</v>
      </c>
      <c r="B1472" s="138">
        <f>'Expenditures 15-22'!K223</f>
        <v>10442</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131878</v>
      </c>
      <c r="C1474" s="2" t="s">
        <v>593</v>
      </c>
      <c r="D1474" s="2" t="str">
        <f t="shared" si="22"/>
        <v>Error?</v>
      </c>
    </row>
    <row r="1475" spans="1:4" x14ac:dyDescent="0.2">
      <c r="A1475" s="5">
        <v>1414</v>
      </c>
      <c r="B1475" s="138">
        <f>'Expenditures 15-22'!K232</f>
        <v>1243</v>
      </c>
      <c r="C1475" s="2" t="s">
        <v>593</v>
      </c>
      <c r="D1475" s="2" t="str">
        <f t="shared" si="22"/>
        <v>Error?</v>
      </c>
    </row>
    <row r="1476" spans="1:4" x14ac:dyDescent="0.2">
      <c r="A1476" s="5">
        <v>1415</v>
      </c>
      <c r="B1476" s="138">
        <f>'Expenditures 15-22'!K233</f>
        <v>7232</v>
      </c>
      <c r="C1476" s="2" t="s">
        <v>593</v>
      </c>
      <c r="D1476" s="2" t="str">
        <f t="shared" si="22"/>
        <v>Error?</v>
      </c>
    </row>
    <row r="1477" spans="1:4" x14ac:dyDescent="0.2">
      <c r="A1477" s="5">
        <v>1416</v>
      </c>
      <c r="B1477" s="138">
        <f>'Expenditures 15-22'!K234</f>
        <v>19052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27527</v>
      </c>
      <c r="C1481" s="2" t="s">
        <v>593</v>
      </c>
      <c r="D1481" s="2" t="str">
        <f t="shared" si="22"/>
        <v>Error?</v>
      </c>
    </row>
    <row r="1482" spans="1:4" x14ac:dyDescent="0.2">
      <c r="A1482" s="5">
        <v>1421</v>
      </c>
      <c r="B1482" s="138">
        <f>'Expenditures 15-22'!K240</f>
        <v>9874</v>
      </c>
      <c r="C1482" s="2" t="s">
        <v>593</v>
      </c>
      <c r="D1482" s="2" t="str">
        <f t="shared" si="22"/>
        <v>Error?</v>
      </c>
    </row>
    <row r="1483" spans="1:4" x14ac:dyDescent="0.2">
      <c r="A1483" s="5">
        <v>1422</v>
      </c>
      <c r="B1483" s="138">
        <f>'Expenditures 15-22'!K241</f>
        <v>5831</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15705</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16359</v>
      </c>
      <c r="C1487" s="2" t="s">
        <v>593</v>
      </c>
      <c r="D1487" s="2" t="str">
        <f t="shared" si="22"/>
        <v>Error?</v>
      </c>
    </row>
    <row r="1488" spans="1:4" x14ac:dyDescent="0.2">
      <c r="A1488" s="5">
        <v>1427</v>
      </c>
      <c r="B1488" s="138">
        <f>'Expenditures 15-22'!K257</f>
        <v>17433</v>
      </c>
      <c r="C1488" s="2" t="s">
        <v>593</v>
      </c>
      <c r="D1488" s="2" t="str">
        <f t="shared" si="22"/>
        <v>Error?</v>
      </c>
    </row>
    <row r="1489" spans="1:4" x14ac:dyDescent="0.2">
      <c r="A1489" s="5">
        <v>1428</v>
      </c>
      <c r="B1489" s="138">
        <f>'Expenditures 15-22'!K259</f>
        <v>23370</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23370</v>
      </c>
      <c r="C1491" s="2" t="s">
        <v>593</v>
      </c>
      <c r="D1491" s="2" t="str">
        <f t="shared" si="22"/>
        <v>Error?</v>
      </c>
    </row>
    <row r="1492" spans="1:4" x14ac:dyDescent="0.2">
      <c r="A1492" s="5">
        <v>1431</v>
      </c>
      <c r="B1492" s="138">
        <f>'Expenditures 15-22'!K263</f>
        <v>9529</v>
      </c>
      <c r="C1492" s="2" t="s">
        <v>593</v>
      </c>
      <c r="D1492" s="2" t="str">
        <f t="shared" si="22"/>
        <v>Error?</v>
      </c>
    </row>
    <row r="1493" spans="1:4" x14ac:dyDescent="0.2">
      <c r="A1493" s="5">
        <v>1432</v>
      </c>
      <c r="B1493" s="138">
        <f>'Expenditures 15-22'!K264</f>
        <v>7885</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71471</v>
      </c>
      <c r="C1495" s="2" t="s">
        <v>593</v>
      </c>
      <c r="D1495" s="2" t="str">
        <f t="shared" si="22"/>
        <v>Error?</v>
      </c>
    </row>
    <row r="1496" spans="1:4" x14ac:dyDescent="0.2">
      <c r="A1496" s="5">
        <v>1435</v>
      </c>
      <c r="B1496" s="138">
        <f>'Expenditures 15-22'!K267</f>
        <v>26350</v>
      </c>
      <c r="C1496" s="2" t="s">
        <v>593</v>
      </c>
      <c r="D1496" s="2" t="str">
        <f t="shared" si="22"/>
        <v>Error?</v>
      </c>
    </row>
    <row r="1497" spans="1:4" x14ac:dyDescent="0.2">
      <c r="A1497" s="5">
        <v>1436</v>
      </c>
      <c r="B1497" s="138">
        <f>'Expenditures 15-22'!K268</f>
        <v>26428</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141663</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2970</v>
      </c>
      <c r="C1509" s="2" t="s">
        <v>593</v>
      </c>
      <c r="D1509" s="2" t="str">
        <f t="shared" si="22"/>
        <v>Error?</v>
      </c>
    </row>
    <row r="1510" spans="1:4" x14ac:dyDescent="0.2">
      <c r="A1510" s="5">
        <v>1449</v>
      </c>
      <c r="B1510" s="138">
        <f>'Expenditures 15-22'!K279</f>
        <v>228668</v>
      </c>
      <c r="C1510" s="2" t="s">
        <v>593</v>
      </c>
      <c r="D1510" s="2" t="str">
        <f t="shared" si="22"/>
        <v>Error?</v>
      </c>
    </row>
    <row r="1511" spans="1:4" x14ac:dyDescent="0.2">
      <c r="A1511" s="5">
        <v>1450</v>
      </c>
      <c r="B1511" s="138">
        <f>'Expenditures 15-22'!K280</f>
        <v>27334</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387880</v>
      </c>
      <c r="C1517" s="2" t="s">
        <v>593</v>
      </c>
      <c r="D1517" s="2" t="str">
        <f t="shared" si="22"/>
        <v>Error?</v>
      </c>
    </row>
    <row r="1518" spans="1:4" x14ac:dyDescent="0.2">
      <c r="A1518" s="5">
        <v>1457</v>
      </c>
      <c r="B1518" s="138">
        <f>'Expenditures 15-22'!K296</f>
        <v>-109147</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7120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-305553</v>
      </c>
      <c r="C1630" s="2" t="s">
        <v>593</v>
      </c>
      <c r="D1630" s="2" t="str">
        <f t="shared" si="24"/>
        <v>Error?</v>
      </c>
    </row>
    <row r="1631" spans="1:4" x14ac:dyDescent="0.2">
      <c r="A1631" s="5">
        <v>1570</v>
      </c>
      <c r="B1631" s="138">
        <f>'Acct Summary 7-8'!D79</f>
        <v>287295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336286</v>
      </c>
      <c r="C1644" s="2" t="s">
        <v>593</v>
      </c>
      <c r="D1644" s="2" t="str">
        <f t="shared" si="24"/>
        <v>Error?</v>
      </c>
    </row>
    <row r="1645" spans="1:4" x14ac:dyDescent="0.2">
      <c r="A1645" s="5">
        <v>1584</v>
      </c>
      <c r="B1645" s="138">
        <f>'Acct Summary 7-8'!E79</f>
        <v>16887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628653</v>
      </c>
      <c r="C1658" s="2" t="s">
        <v>593</v>
      </c>
      <c r="D1658" s="2" t="str">
        <f t="shared" si="24"/>
        <v>Error?</v>
      </c>
    </row>
    <row r="1659" spans="1:4" x14ac:dyDescent="0.2">
      <c r="A1659" s="5">
        <v>1598</v>
      </c>
      <c r="B1659" s="138">
        <f>'Acct Summary 7-8'!F79</f>
        <v>39248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315775</v>
      </c>
      <c r="C1672" s="2" t="s">
        <v>593</v>
      </c>
      <c r="D1672" s="2" t="str">
        <f t="shared" si="25"/>
        <v>Error?</v>
      </c>
    </row>
    <row r="1673" spans="1:4" x14ac:dyDescent="0.2">
      <c r="A1673" s="5">
        <v>1612</v>
      </c>
      <c r="B1673" s="138">
        <f>'Acct Summary 7-8'!G79</f>
        <v>83113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-26034</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605164</v>
      </c>
      <c r="C1744" s="2" t="s">
        <v>593</v>
      </c>
      <c r="D1744" s="2" t="str">
        <f t="shared" si="26"/>
        <v>Error?</v>
      </c>
    </row>
    <row r="1745" spans="1:5" x14ac:dyDescent="0.2">
      <c r="A1745" s="5">
        <v>1684</v>
      </c>
      <c r="B1745" s="138">
        <f>'Tax Sched 23'!B5</f>
        <v>116819</v>
      </c>
      <c r="C1745" s="2" t="s">
        <v>593</v>
      </c>
      <c r="D1745" s="2" t="str">
        <f t="shared" si="26"/>
        <v>Error?</v>
      </c>
    </row>
    <row r="1746" spans="1:5" x14ac:dyDescent="0.2">
      <c r="A1746" s="5">
        <v>1685</v>
      </c>
      <c r="B1746" s="138">
        <f>'Tax Sched 23'!B6</f>
        <v>409332</v>
      </c>
      <c r="C1746" s="2" t="s">
        <v>593</v>
      </c>
      <c r="D1746" s="2" t="str">
        <f t="shared" si="26"/>
        <v>Error?</v>
      </c>
    </row>
    <row r="1747" spans="1:5" x14ac:dyDescent="0.2">
      <c r="A1747" s="5">
        <v>1686</v>
      </c>
      <c r="B1747" s="138">
        <f>'Tax Sched 23'!B7</f>
        <v>46727</v>
      </c>
      <c r="C1747" s="2" t="s">
        <v>593</v>
      </c>
      <c r="D1747" s="2" t="str">
        <f t="shared" si="26"/>
        <v>Error?</v>
      </c>
    </row>
    <row r="1748" spans="1:5" x14ac:dyDescent="0.2">
      <c r="A1748" s="5">
        <v>1687</v>
      </c>
      <c r="B1748" s="138">
        <f>'Tax Sched 23'!B8</f>
        <v>73121</v>
      </c>
      <c r="C1748" s="2" t="s">
        <v>593</v>
      </c>
      <c r="D1748" s="2" t="str">
        <f t="shared" si="26"/>
        <v>Error?</v>
      </c>
    </row>
    <row r="1749" spans="1:5" x14ac:dyDescent="0.2">
      <c r="A1749" s="5">
        <v>1688</v>
      </c>
      <c r="B1749" s="138">
        <f>'Tax Sched 23'!B10</f>
        <v>11683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237128</v>
      </c>
      <c r="C1752" s="2" t="s">
        <v>593</v>
      </c>
      <c r="D1752" s="2" t="str">
        <f t="shared" si="26"/>
        <v>Error?</v>
      </c>
    </row>
    <row r="1753" spans="1:5" x14ac:dyDescent="0.2">
      <c r="A1753" s="5">
        <v>1692</v>
      </c>
      <c r="B1753" s="138">
        <f>'Tax Sched 23'!B12</f>
        <v>11682</v>
      </c>
      <c r="C1753" s="2" t="s">
        <v>593</v>
      </c>
      <c r="D1753" s="2" t="str">
        <f t="shared" si="26"/>
        <v>Error?</v>
      </c>
    </row>
    <row r="1754" spans="1:5" x14ac:dyDescent="0.2">
      <c r="A1754" s="5">
        <v>1693</v>
      </c>
      <c r="B1754" s="138">
        <f>'Tax Sched 23'!B14</f>
        <v>9345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1605805</v>
      </c>
      <c r="C1759" s="2" t="s">
        <v>593</v>
      </c>
      <c r="D1759" s="2" t="str">
        <f t="shared" si="26"/>
        <v>Error?</v>
      </c>
    </row>
    <row r="1760" spans="1:5" x14ac:dyDescent="0.2">
      <c r="A1760" s="5">
        <v>1699</v>
      </c>
      <c r="B1760" s="138">
        <f>'Tax Sched 23'!D4</f>
        <v>595022</v>
      </c>
      <c r="C1760" s="2" t="s">
        <v>593</v>
      </c>
      <c r="D1760" s="2" t="str">
        <f t="shared" si="26"/>
        <v>Error?</v>
      </c>
    </row>
    <row r="1761" spans="1:5" x14ac:dyDescent="0.2">
      <c r="A1761" s="5">
        <v>1700</v>
      </c>
      <c r="B1761" s="138">
        <f>'Tax Sched 23'!D5</f>
        <v>114861</v>
      </c>
      <c r="C1761" s="2" t="s">
        <v>593</v>
      </c>
      <c r="D1761" s="2" t="str">
        <f t="shared" si="26"/>
        <v>Error?</v>
      </c>
    </row>
    <row r="1762" spans="1:5" s="8" customFormat="1" x14ac:dyDescent="0.2">
      <c r="A1762" s="5">
        <v>1701</v>
      </c>
      <c r="B1762" s="138">
        <f>'Tax Sched 23'!D6</f>
        <v>402335</v>
      </c>
      <c r="C1762" s="2" t="s">
        <v>593</v>
      </c>
      <c r="D1762" s="2" t="str">
        <f t="shared" si="26"/>
        <v>Error?</v>
      </c>
      <c r="E1762" s="9"/>
    </row>
    <row r="1763" spans="1:5" x14ac:dyDescent="0.2">
      <c r="A1763" s="5">
        <v>1702</v>
      </c>
      <c r="B1763" s="138">
        <f>'Tax Sched 23'!D7</f>
        <v>45944</v>
      </c>
      <c r="C1763" s="2" t="s">
        <v>593</v>
      </c>
      <c r="D1763" s="2" t="str">
        <f t="shared" si="26"/>
        <v>Error?</v>
      </c>
    </row>
    <row r="1764" spans="1:5" x14ac:dyDescent="0.2">
      <c r="A1764" s="5">
        <v>1703</v>
      </c>
      <c r="B1764" s="138">
        <f>'Tax Sched 23'!D8</f>
        <v>71719</v>
      </c>
      <c r="C1764" s="2" t="s">
        <v>593</v>
      </c>
      <c r="D1764" s="2" t="str">
        <f t="shared" si="26"/>
        <v>Error?</v>
      </c>
    </row>
    <row r="1765" spans="1:5" x14ac:dyDescent="0.2">
      <c r="A1765" s="5">
        <v>1704</v>
      </c>
      <c r="B1765" s="138">
        <f>'Tax Sched 23'!D10</f>
        <v>11487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233076</v>
      </c>
      <c r="C1768" s="2" t="s">
        <v>593</v>
      </c>
      <c r="D1768" s="2" t="str">
        <f t="shared" si="26"/>
        <v>Error?</v>
      </c>
    </row>
    <row r="1769" spans="1:5" x14ac:dyDescent="0.2">
      <c r="A1769" s="5">
        <v>1708</v>
      </c>
      <c r="B1769" s="138">
        <f>'Tax Sched 23'!D12</f>
        <v>11486</v>
      </c>
      <c r="C1769" s="2" t="s">
        <v>593</v>
      </c>
      <c r="D1769" s="2" t="str">
        <f t="shared" si="26"/>
        <v>Error?</v>
      </c>
    </row>
    <row r="1770" spans="1:5" x14ac:dyDescent="0.2">
      <c r="A1770" s="5">
        <v>1709</v>
      </c>
      <c r="B1770" s="138">
        <f>'Tax Sched 23'!D14</f>
        <v>9188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1578324</v>
      </c>
      <c r="C1775" s="2" t="s">
        <v>593</v>
      </c>
      <c r="D1775" s="2" t="str">
        <f t="shared" si="26"/>
        <v>Error?</v>
      </c>
    </row>
    <row r="1776" spans="1:5" x14ac:dyDescent="0.2">
      <c r="A1776" s="5">
        <v>1715</v>
      </c>
      <c r="B1776" s="138">
        <f>'Tax Sched 23'!C4</f>
        <v>10142</v>
      </c>
      <c r="D1776" s="2" t="str">
        <f t="shared" si="26"/>
        <v>Error?</v>
      </c>
    </row>
    <row r="1777" spans="1:4" x14ac:dyDescent="0.2">
      <c r="A1777" s="5">
        <v>1716</v>
      </c>
      <c r="B1777" s="138">
        <f>'Tax Sched 23'!C5</f>
        <v>1958</v>
      </c>
      <c r="D1777" s="2" t="str">
        <f t="shared" si="26"/>
        <v>Error?</v>
      </c>
    </row>
    <row r="1778" spans="1:4" x14ac:dyDescent="0.2">
      <c r="A1778" s="5">
        <v>1717</v>
      </c>
      <c r="B1778" s="138">
        <f>'Tax Sched 23'!C6</f>
        <v>6997</v>
      </c>
      <c r="D1778" s="2" t="str">
        <f t="shared" si="26"/>
        <v>Error?</v>
      </c>
    </row>
    <row r="1779" spans="1:4" x14ac:dyDescent="0.2">
      <c r="A1779" s="5">
        <v>1718</v>
      </c>
      <c r="B1779" s="138">
        <f>'Tax Sched 23'!C7</f>
        <v>783</v>
      </c>
      <c r="D1779" s="2" t="str">
        <f t="shared" si="26"/>
        <v>Error?</v>
      </c>
    </row>
    <row r="1780" spans="1:4" x14ac:dyDescent="0.2">
      <c r="A1780" s="5">
        <v>1719</v>
      </c>
      <c r="B1780" s="138">
        <f>'Tax Sched 23'!C8</f>
        <v>1402</v>
      </c>
      <c r="D1780" s="2" t="str">
        <f t="shared" si="26"/>
        <v>Error?</v>
      </c>
    </row>
    <row r="1781" spans="1:4" x14ac:dyDescent="0.2">
      <c r="A1781" s="5">
        <v>1720</v>
      </c>
      <c r="B1781" s="138">
        <f>'Tax Sched 23'!C10</f>
        <v>196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4052</v>
      </c>
      <c r="D1784" s="2" t="str">
        <f t="shared" si="26"/>
        <v>Error?</v>
      </c>
    </row>
    <row r="1785" spans="1:4" x14ac:dyDescent="0.2">
      <c r="A1785" s="5">
        <v>1724</v>
      </c>
      <c r="B1785" s="138">
        <f>'Tax Sched 23'!C12</f>
        <v>196</v>
      </c>
      <c r="D1785" s="2" t="str">
        <f t="shared" si="26"/>
        <v>Error?</v>
      </c>
    </row>
    <row r="1786" spans="1:4" x14ac:dyDescent="0.2">
      <c r="A1786" s="5">
        <v>1725</v>
      </c>
      <c r="B1786" s="138">
        <f>'Tax Sched 23'!C14</f>
        <v>157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27481</v>
      </c>
      <c r="C1791" s="2" t="s">
        <v>593</v>
      </c>
      <c r="D1791" s="2" t="str">
        <f t="shared" ref="D1791:D1854" si="27">IF(ISBLANK(B1791),"OK",IF(A1791-B1791=0,"OK","Error?"))</f>
        <v>Error?</v>
      </c>
    </row>
    <row r="1792" spans="1:4" x14ac:dyDescent="0.2">
      <c r="A1792" s="5">
        <v>1731</v>
      </c>
      <c r="B1792" s="138">
        <f>'Tax Sched 23'!F4</f>
        <v>640667</v>
      </c>
      <c r="C1792" s="2" t="s">
        <v>593</v>
      </c>
      <c r="D1792" s="2" t="str">
        <f t="shared" si="27"/>
        <v>Error?</v>
      </c>
    </row>
    <row r="1793" spans="1:4" x14ac:dyDescent="0.2">
      <c r="A1793" s="5">
        <v>1732</v>
      </c>
      <c r="B1793" s="138">
        <f>'Tax Sched 23'!F5</f>
        <v>123681</v>
      </c>
      <c r="C1793" s="2" t="s">
        <v>593</v>
      </c>
      <c r="D1793" s="2" t="str">
        <f t="shared" si="27"/>
        <v>Error?</v>
      </c>
    </row>
    <row r="1794" spans="1:4" x14ac:dyDescent="0.2">
      <c r="A1794" s="5">
        <v>1733</v>
      </c>
      <c r="B1794" s="138">
        <f>'Tax Sched 23'!F6</f>
        <v>441986</v>
      </c>
      <c r="C1794" s="2" t="s">
        <v>593</v>
      </c>
      <c r="D1794" s="2" t="str">
        <f t="shared" si="27"/>
        <v>Error?</v>
      </c>
    </row>
    <row r="1795" spans="1:4" x14ac:dyDescent="0.2">
      <c r="A1795" s="5">
        <v>1734</v>
      </c>
      <c r="B1795" s="138">
        <f>'Tax Sched 23'!F7</f>
        <v>49472</v>
      </c>
      <c r="C1795" s="2" t="s">
        <v>593</v>
      </c>
      <c r="D1795" s="2" t="str">
        <f t="shared" si="27"/>
        <v>Error?</v>
      </c>
    </row>
    <row r="1796" spans="1:4" x14ac:dyDescent="0.2">
      <c r="A1796" s="5">
        <v>1735</v>
      </c>
      <c r="B1796" s="138">
        <f>'Tax Sched 23'!F8</f>
        <v>88606</v>
      </c>
      <c r="C1796" s="2" t="s">
        <v>593</v>
      </c>
      <c r="D1796" s="2" t="str">
        <f t="shared" si="27"/>
        <v>Error?</v>
      </c>
    </row>
    <row r="1797" spans="1:4" x14ac:dyDescent="0.2">
      <c r="A1797" s="5">
        <v>1736</v>
      </c>
      <c r="B1797" s="138">
        <f>'Tax Sched 23'!F10</f>
        <v>12368</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255970</v>
      </c>
      <c r="C1800" s="2" t="s">
        <v>593</v>
      </c>
      <c r="D1800" s="2" t="str">
        <f t="shared" si="27"/>
        <v>Error?</v>
      </c>
    </row>
    <row r="1801" spans="1:4" x14ac:dyDescent="0.2">
      <c r="A1801" s="5">
        <v>1740</v>
      </c>
      <c r="B1801" s="138">
        <f>'Tax Sched 23'!F12</f>
        <v>12368</v>
      </c>
      <c r="C1801" s="2" t="s">
        <v>593</v>
      </c>
      <c r="D1801" s="2" t="str">
        <f t="shared" si="27"/>
        <v>Error?</v>
      </c>
    </row>
    <row r="1802" spans="1:4" x14ac:dyDescent="0.2">
      <c r="A1802" s="5">
        <v>1741</v>
      </c>
      <c r="B1802" s="138">
        <f>'Tax Sched 23'!F14</f>
        <v>9894</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1735986</v>
      </c>
      <c r="C1807" s="2" t="s">
        <v>593</v>
      </c>
      <c r="D1807" s="2" t="str">
        <f t="shared" si="27"/>
        <v>Error?</v>
      </c>
    </row>
    <row r="1808" spans="1:4" x14ac:dyDescent="0.2">
      <c r="A1808" s="5">
        <v>1747</v>
      </c>
      <c r="B1808" s="138">
        <f>'Tax Sched 23'!E4</f>
        <v>650809</v>
      </c>
      <c r="D1808" s="2" t="str">
        <f t="shared" si="27"/>
        <v>Error?</v>
      </c>
    </row>
    <row r="1809" spans="1:4" x14ac:dyDescent="0.2">
      <c r="A1809" s="5">
        <v>1748</v>
      </c>
      <c r="B1809" s="138">
        <f>'Tax Sched 23'!E5</f>
        <v>125639</v>
      </c>
      <c r="D1809" s="2" t="str">
        <f t="shared" si="27"/>
        <v>Error?</v>
      </c>
    </row>
    <row r="1810" spans="1:4" x14ac:dyDescent="0.2">
      <c r="A1810" s="5">
        <v>1749</v>
      </c>
      <c r="B1810" s="138">
        <f>'Tax Sched 23'!E6</f>
        <v>448983</v>
      </c>
      <c r="D1810" s="2" t="str">
        <f t="shared" si="27"/>
        <v>Error?</v>
      </c>
    </row>
    <row r="1811" spans="1:4" x14ac:dyDescent="0.2">
      <c r="A1811" s="5">
        <v>1750</v>
      </c>
      <c r="B1811" s="138">
        <f>'Tax Sched 23'!E7</f>
        <v>50255</v>
      </c>
      <c r="D1811" s="2" t="str">
        <f t="shared" si="27"/>
        <v>Error?</v>
      </c>
    </row>
    <row r="1812" spans="1:4" x14ac:dyDescent="0.2">
      <c r="A1812" s="5">
        <v>1751</v>
      </c>
      <c r="B1812" s="138">
        <f>'Tax Sched 23'!E8</f>
        <v>90008</v>
      </c>
      <c r="D1812" s="2" t="str">
        <f t="shared" si="27"/>
        <v>Error?</v>
      </c>
    </row>
    <row r="1813" spans="1:4" x14ac:dyDescent="0.2">
      <c r="A1813" s="5">
        <v>1752</v>
      </c>
      <c r="B1813" s="138">
        <f>'Tax Sched 23'!E10</f>
        <v>12564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260022</v>
      </c>
      <c r="D1816" s="2" t="str">
        <f t="shared" si="27"/>
        <v>Error?</v>
      </c>
    </row>
    <row r="1817" spans="1:4" x14ac:dyDescent="0.2">
      <c r="A1817" s="5">
        <v>1756</v>
      </c>
      <c r="B1817" s="138">
        <f>'Tax Sched 23'!E12</f>
        <v>12564</v>
      </c>
      <c r="D1817" s="2" t="str">
        <f t="shared" si="27"/>
        <v>Error?</v>
      </c>
    </row>
    <row r="1818" spans="1:4" x14ac:dyDescent="0.2">
      <c r="A1818" s="5">
        <v>1757</v>
      </c>
      <c r="B1818" s="138">
        <f>'Tax Sched 23'!E14</f>
        <v>10051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1763467</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1400670</v>
      </c>
      <c r="C1939" s="2" t="s">
        <v>593</v>
      </c>
      <c r="D1939" s="2" t="str">
        <f t="shared" si="29"/>
        <v>Error?</v>
      </c>
    </row>
    <row r="1940" spans="1:5" x14ac:dyDescent="0.2">
      <c r="A1940" s="5">
        <v>1879</v>
      </c>
      <c r="B1940" s="138">
        <f>'Short-Term Long-Term Debt 24'!F49</f>
        <v>8789241</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9345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9345</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9345</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233604</v>
      </c>
      <c r="D2008" s="2" t="str">
        <f t="shared" si="30"/>
        <v>Error?</v>
      </c>
    </row>
    <row r="2009" spans="1:4" x14ac:dyDescent="0.2">
      <c r="A2009" s="5">
        <v>1948</v>
      </c>
      <c r="B2009" s="138">
        <f>'Cap Outlay Deprec 26'!C8</f>
        <v>9282578</v>
      </c>
      <c r="D2009" s="2" t="str">
        <f t="shared" si="30"/>
        <v>Error?</v>
      </c>
    </row>
    <row r="2010" spans="1:4" x14ac:dyDescent="0.2">
      <c r="A2010" s="5">
        <v>1949</v>
      </c>
      <c r="B2010" s="138">
        <f>'Cap Outlay Deprec 26'!C10</f>
        <v>1038750</v>
      </c>
      <c r="D2010" s="2" t="str">
        <f t="shared" si="30"/>
        <v>Error?</v>
      </c>
    </row>
    <row r="2011" spans="1:4" x14ac:dyDescent="0.2">
      <c r="A2011" s="5">
        <v>1950</v>
      </c>
      <c r="B2011" s="138">
        <f>'Cap Outlay Deprec 26'!C12</f>
        <v>3205904</v>
      </c>
      <c r="D2011" s="2" t="str">
        <f t="shared" si="30"/>
        <v>Error?</v>
      </c>
    </row>
    <row r="2012" spans="1:4" x14ac:dyDescent="0.2">
      <c r="A2012" s="5">
        <v>1951</v>
      </c>
      <c r="B2012" s="138">
        <f>'Cap Outlay Deprec 26'!C13</f>
        <v>238742</v>
      </c>
      <c r="D2012" s="2" t="str">
        <f t="shared" si="30"/>
        <v>Error?</v>
      </c>
    </row>
    <row r="2013" spans="1:4" x14ac:dyDescent="0.2">
      <c r="A2013" s="5">
        <v>1952</v>
      </c>
      <c r="B2013" s="138">
        <f>'Cap Outlay Deprec 26'!C16</f>
        <v>13999578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2710021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22440</v>
      </c>
      <c r="D2017" s="2" t="str">
        <f t="shared" si="30"/>
        <v>Error?</v>
      </c>
    </row>
    <row r="2018" spans="1:4" x14ac:dyDescent="0.2">
      <c r="A2018" s="5">
        <v>1957</v>
      </c>
      <c r="B2018" s="138">
        <f>'Cap Outlay Deprec 26'!D13</f>
        <v>698077</v>
      </c>
      <c r="D2018" s="2" t="str">
        <f t="shared" si="30"/>
        <v>Error?</v>
      </c>
    </row>
    <row r="2019" spans="1:4" x14ac:dyDescent="0.2">
      <c r="A2019" s="5">
        <v>1958</v>
      </c>
      <c r="B2019" s="138">
        <f>'Cap Outlay Deprec 26'!D16</f>
        <v>3430538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184483</v>
      </c>
      <c r="D2023" s="2" t="str">
        <f t="shared" si="30"/>
        <v>Error?</v>
      </c>
    </row>
    <row r="2024" spans="1:4" x14ac:dyDescent="0.2">
      <c r="A2024" s="5">
        <v>1963</v>
      </c>
      <c r="B2024" s="138">
        <f>'Cap Outlay Deprec 26'!E13</f>
        <v>54008</v>
      </c>
      <c r="D2024" s="2" t="str">
        <f t="shared" si="30"/>
        <v>Error?</v>
      </c>
    </row>
    <row r="2025" spans="1:4" x14ac:dyDescent="0.2">
      <c r="A2025" s="5">
        <v>1964</v>
      </c>
      <c r="B2025" s="138">
        <f>'Cap Outlay Deprec 26'!E16</f>
        <v>238491</v>
      </c>
      <c r="C2025" s="2" t="s">
        <v>593</v>
      </c>
      <c r="D2025" s="2" t="str">
        <f t="shared" si="30"/>
        <v>Error?</v>
      </c>
    </row>
    <row r="2026" spans="1:4" x14ac:dyDescent="0.2">
      <c r="A2026" s="5">
        <v>1965</v>
      </c>
      <c r="B2026" s="138">
        <f>'Cap Outlay Deprec 26'!F5</f>
        <v>233604</v>
      </c>
      <c r="C2026" s="2" t="s">
        <v>593</v>
      </c>
      <c r="D2026" s="2" t="str">
        <f t="shared" si="30"/>
        <v>Error?</v>
      </c>
    </row>
    <row r="2027" spans="1:4" x14ac:dyDescent="0.2">
      <c r="A2027" s="5">
        <v>1966</v>
      </c>
      <c r="B2027" s="138">
        <f>'Cap Outlay Deprec 26'!F8</f>
        <v>11992599</v>
      </c>
      <c r="C2027" s="2" t="s">
        <v>593</v>
      </c>
      <c r="D2027" s="2" t="str">
        <f t="shared" si="30"/>
        <v>Error?</v>
      </c>
    </row>
    <row r="2028" spans="1:4" x14ac:dyDescent="0.2">
      <c r="A2028" s="5">
        <v>1967</v>
      </c>
      <c r="B2028" s="138">
        <f>'Cap Outlay Deprec 26'!F10</f>
        <v>1038750</v>
      </c>
      <c r="C2028" s="2" t="s">
        <v>593</v>
      </c>
      <c r="D2028" s="2" t="str">
        <f t="shared" si="30"/>
        <v>Error?</v>
      </c>
    </row>
    <row r="2029" spans="1:4" x14ac:dyDescent="0.2">
      <c r="A2029" s="5">
        <v>1968</v>
      </c>
      <c r="B2029" s="138">
        <f>'Cap Outlay Deprec 26'!F12</f>
        <v>3043861</v>
      </c>
      <c r="C2029" s="2" t="s">
        <v>593</v>
      </c>
      <c r="D2029" s="2" t="str">
        <f t="shared" si="30"/>
        <v>Error?</v>
      </c>
    </row>
    <row r="2030" spans="1:4" x14ac:dyDescent="0.2">
      <c r="A2030" s="5">
        <v>1969</v>
      </c>
      <c r="B2030" s="138">
        <f>'Cap Outlay Deprec 26'!F13</f>
        <v>882811</v>
      </c>
      <c r="C2030" s="2" t="s">
        <v>593</v>
      </c>
      <c r="D2030" s="2" t="str">
        <f t="shared" si="30"/>
        <v>Error?</v>
      </c>
    </row>
    <row r="2031" spans="1:4" x14ac:dyDescent="0.2">
      <c r="A2031" s="5">
        <v>1970</v>
      </c>
      <c r="B2031" s="138">
        <f>'Cap Outlay Deprec 26'!F16</f>
        <v>17191625</v>
      </c>
      <c r="C2031" s="2" t="s">
        <v>593</v>
      </c>
      <c r="D2031" s="2" t="str">
        <f t="shared" si="30"/>
        <v>Error?</v>
      </c>
    </row>
    <row r="2032" spans="1:4" x14ac:dyDescent="0.2">
      <c r="A2032" s="10">
        <v>1971</v>
      </c>
      <c r="D2032" s="2" t="str">
        <f t="shared" si="30"/>
        <v>OK</v>
      </c>
    </row>
    <row r="2033" spans="1:4" x14ac:dyDescent="0.2">
      <c r="A2033" s="5">
        <v>1972</v>
      </c>
      <c r="B2033" s="138">
        <f>'Cap Outlay Deprec 26'!H8</f>
        <v>4993999</v>
      </c>
      <c r="D2033" s="2" t="str">
        <f t="shared" si="30"/>
        <v>Error?</v>
      </c>
    </row>
    <row r="2034" spans="1:4" x14ac:dyDescent="0.2">
      <c r="A2034" s="5">
        <v>1973</v>
      </c>
      <c r="B2034" s="138">
        <f>'Cap Outlay Deprec 26'!H10</f>
        <v>880720</v>
      </c>
      <c r="D2034" s="2" t="str">
        <f t="shared" si="30"/>
        <v>Error?</v>
      </c>
    </row>
    <row r="2035" spans="1:4" x14ac:dyDescent="0.2">
      <c r="A2035" s="5">
        <v>1974</v>
      </c>
      <c r="B2035" s="138">
        <f>'Cap Outlay Deprec 26'!H12</f>
        <v>2817279</v>
      </c>
      <c r="D2035" s="2" t="str">
        <f t="shared" si="30"/>
        <v>Error?</v>
      </c>
    </row>
    <row r="2036" spans="1:4" x14ac:dyDescent="0.2">
      <c r="A2036" s="5">
        <v>1975</v>
      </c>
      <c r="B2036" s="138">
        <f>'Cap Outlay Deprec 26'!H13</f>
        <v>197788</v>
      </c>
      <c r="D2036" s="2" t="str">
        <f t="shared" si="30"/>
        <v>Error?</v>
      </c>
    </row>
    <row r="2037" spans="1:4" x14ac:dyDescent="0.2">
      <c r="A2037" s="5">
        <v>1976</v>
      </c>
      <c r="B2037" s="138">
        <f>'Cap Outlay Deprec 26'!H16</f>
        <v>8889786</v>
      </c>
      <c r="C2037" s="2" t="s">
        <v>593</v>
      </c>
      <c r="D2037" s="2" t="str">
        <f t="shared" si="30"/>
        <v>Error?</v>
      </c>
    </row>
    <row r="2038" spans="1:4" x14ac:dyDescent="0.2">
      <c r="A2038" s="10">
        <v>1977</v>
      </c>
      <c r="D2038" s="2" t="str">
        <f t="shared" si="30"/>
        <v>OK</v>
      </c>
    </row>
    <row r="2039" spans="1:4" x14ac:dyDescent="0.2">
      <c r="A2039" s="5">
        <v>1978</v>
      </c>
      <c r="B2039" s="138">
        <f>'Cap Outlay Deprec 26'!I8</f>
        <v>162913</v>
      </c>
      <c r="D2039" s="2" t="str">
        <f t="shared" si="30"/>
        <v>Error?</v>
      </c>
    </row>
    <row r="2040" spans="1:4" x14ac:dyDescent="0.2">
      <c r="A2040" s="5">
        <v>1979</v>
      </c>
      <c r="B2040" s="138">
        <f>'Cap Outlay Deprec 26'!I10</f>
        <v>31607</v>
      </c>
      <c r="D2040" s="2" t="str">
        <f t="shared" si="30"/>
        <v>Error?</v>
      </c>
    </row>
    <row r="2041" spans="1:4" x14ac:dyDescent="0.2">
      <c r="A2041" s="5">
        <v>1980</v>
      </c>
      <c r="B2041" s="138">
        <f>'Cap Outlay Deprec 26'!I12</f>
        <v>77252</v>
      </c>
      <c r="D2041" s="2" t="str">
        <f t="shared" si="30"/>
        <v>Error?</v>
      </c>
    </row>
    <row r="2042" spans="1:4" x14ac:dyDescent="0.2">
      <c r="A2042" s="5">
        <v>1981</v>
      </c>
      <c r="B2042" s="138">
        <f>'Cap Outlay Deprec 26'!I13</f>
        <v>150142</v>
      </c>
      <c r="D2042" s="2" t="str">
        <f t="shared" si="30"/>
        <v>Error?</v>
      </c>
    </row>
    <row r="2043" spans="1:4" x14ac:dyDescent="0.2">
      <c r="A2043" s="5">
        <v>1982</v>
      </c>
      <c r="B2043" s="138">
        <f>'Cap Outlay Deprec 26'!I16</f>
        <v>421914</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184483</v>
      </c>
      <c r="D2047" s="2" t="str">
        <f t="shared" ref="D2047:D2110" si="31">IF(ISBLANK(B2047),"OK",IF(A2047-B2047=0,"OK","Error?"))</f>
        <v>Error?</v>
      </c>
    </row>
    <row r="2048" spans="1:4" x14ac:dyDescent="0.2">
      <c r="A2048" s="5">
        <v>1987</v>
      </c>
      <c r="B2048" s="138">
        <f>'Cap Outlay Deprec 26'!J13</f>
        <v>54008</v>
      </c>
      <c r="D2048" s="2" t="str">
        <f t="shared" si="31"/>
        <v>Error?</v>
      </c>
    </row>
    <row r="2049" spans="1:4" x14ac:dyDescent="0.2">
      <c r="A2049" s="5">
        <v>1988</v>
      </c>
      <c r="B2049" s="138">
        <f>'Cap Outlay Deprec 26'!J16</f>
        <v>238491</v>
      </c>
      <c r="C2049" s="2" t="s">
        <v>593</v>
      </c>
      <c r="D2049" s="2" t="str">
        <f t="shared" si="31"/>
        <v>Error?</v>
      </c>
    </row>
    <row r="2050" spans="1:4" x14ac:dyDescent="0.2">
      <c r="A2050" s="10">
        <v>1989</v>
      </c>
      <c r="D2050" s="2" t="str">
        <f t="shared" si="31"/>
        <v>OK</v>
      </c>
    </row>
    <row r="2051" spans="1:4" x14ac:dyDescent="0.2">
      <c r="A2051" s="5">
        <v>1990</v>
      </c>
      <c r="B2051" s="138">
        <f>'Cap Outlay Deprec 26'!K8</f>
        <v>5156912</v>
      </c>
      <c r="C2051" s="2" t="s">
        <v>593</v>
      </c>
      <c r="D2051" s="2" t="str">
        <f t="shared" si="31"/>
        <v>Error?</v>
      </c>
    </row>
    <row r="2052" spans="1:4" x14ac:dyDescent="0.2">
      <c r="A2052" s="5">
        <v>1991</v>
      </c>
      <c r="B2052" s="138">
        <f>'Cap Outlay Deprec 26'!K10</f>
        <v>912327</v>
      </c>
      <c r="C2052" s="2" t="s">
        <v>593</v>
      </c>
      <c r="D2052" s="2" t="str">
        <f t="shared" si="31"/>
        <v>Error?</v>
      </c>
    </row>
    <row r="2053" spans="1:4" x14ac:dyDescent="0.2">
      <c r="A2053" s="5">
        <v>1992</v>
      </c>
      <c r="B2053" s="138">
        <f>'Cap Outlay Deprec 26'!K12</f>
        <v>2710048</v>
      </c>
      <c r="C2053" s="2" t="s">
        <v>593</v>
      </c>
      <c r="D2053" s="2" t="str">
        <f t="shared" si="31"/>
        <v>Error?</v>
      </c>
    </row>
    <row r="2054" spans="1:4" x14ac:dyDescent="0.2">
      <c r="A2054" s="5">
        <v>1993</v>
      </c>
      <c r="B2054" s="138">
        <f>'Cap Outlay Deprec 26'!K13</f>
        <v>293922</v>
      </c>
      <c r="C2054" s="2" t="s">
        <v>593</v>
      </c>
      <c r="D2054" s="2" t="str">
        <f t="shared" si="31"/>
        <v>Error?</v>
      </c>
    </row>
    <row r="2055" spans="1:4" x14ac:dyDescent="0.2">
      <c r="A2055" s="5">
        <v>1994</v>
      </c>
      <c r="B2055" s="138">
        <f>'Cap Outlay Deprec 26'!K16</f>
        <v>9073209</v>
      </c>
      <c r="C2055" s="2" t="s">
        <v>593</v>
      </c>
      <c r="D2055" s="2" t="str">
        <f t="shared" si="31"/>
        <v>Error?</v>
      </c>
    </row>
    <row r="2056" spans="1:4" x14ac:dyDescent="0.2">
      <c r="A2056" s="5">
        <v>1995</v>
      </c>
      <c r="B2056" s="138">
        <f>'Cap Outlay Deprec 26'!L5</f>
        <v>233604</v>
      </c>
      <c r="C2056" s="2" t="s">
        <v>593</v>
      </c>
      <c r="D2056" s="2" t="str">
        <f t="shared" si="31"/>
        <v>Error?</v>
      </c>
    </row>
    <row r="2057" spans="1:4" x14ac:dyDescent="0.2">
      <c r="A2057" s="5">
        <v>1996</v>
      </c>
      <c r="B2057" s="138">
        <f>'Cap Outlay Deprec 26'!L8</f>
        <v>6835687</v>
      </c>
      <c r="C2057" s="2" t="s">
        <v>593</v>
      </c>
      <c r="D2057" s="2" t="str">
        <f t="shared" si="31"/>
        <v>Error?</v>
      </c>
    </row>
    <row r="2058" spans="1:4" x14ac:dyDescent="0.2">
      <c r="A2058" s="5">
        <v>1997</v>
      </c>
      <c r="B2058" s="138">
        <f>'Cap Outlay Deprec 26'!L10</f>
        <v>126423</v>
      </c>
      <c r="C2058" s="2" t="s">
        <v>593</v>
      </c>
      <c r="D2058" s="2" t="str">
        <f t="shared" si="31"/>
        <v>Error?</v>
      </c>
    </row>
    <row r="2059" spans="1:4" x14ac:dyDescent="0.2">
      <c r="A2059" s="5">
        <v>1998</v>
      </c>
      <c r="B2059" s="138">
        <f>'Cap Outlay Deprec 26'!L12</f>
        <v>333813</v>
      </c>
      <c r="C2059" s="2" t="s">
        <v>593</v>
      </c>
      <c r="D2059" s="2" t="str">
        <f t="shared" si="31"/>
        <v>Error?</v>
      </c>
    </row>
    <row r="2060" spans="1:4" x14ac:dyDescent="0.2">
      <c r="A2060" s="5">
        <v>1999</v>
      </c>
      <c r="B2060" s="138">
        <f>'Cap Outlay Deprec 26'!L13</f>
        <v>588889</v>
      </c>
      <c r="C2060" s="2" t="s">
        <v>593</v>
      </c>
      <c r="D2060" s="2" t="str">
        <f t="shared" si="31"/>
        <v>Error?</v>
      </c>
    </row>
    <row r="2061" spans="1:4" x14ac:dyDescent="0.2">
      <c r="A2061" s="5">
        <v>2000</v>
      </c>
      <c r="B2061" s="138">
        <f>'Cap Outlay Deprec 26'!L16</f>
        <v>8118416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20795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-53131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628653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1668823</v>
      </c>
      <c r="C2551" s="2" t="s">
        <v>593</v>
      </c>
      <c r="D2551" s="2" t="str">
        <f t="shared" si="38"/>
        <v>Error?</v>
      </c>
    </row>
    <row r="2552" spans="1:4" x14ac:dyDescent="0.2">
      <c r="A2552" s="10">
        <v>2491</v>
      </c>
      <c r="D2552" s="2" t="str">
        <f t="shared" si="38"/>
        <v>OK</v>
      </c>
    </row>
    <row r="2553" spans="1:4" x14ac:dyDescent="0.2">
      <c r="A2553" s="5">
        <v>2492</v>
      </c>
      <c r="B2553" s="138">
        <f>'Acct Summary 7-8'!C6</f>
        <v>5772753</v>
      </c>
      <c r="C2553" s="2" t="s">
        <v>593</v>
      </c>
      <c r="D2553" s="2" t="str">
        <f t="shared" si="38"/>
        <v>Error?</v>
      </c>
    </row>
    <row r="2554" spans="1:4" x14ac:dyDescent="0.2">
      <c r="A2554" s="5">
        <v>2493</v>
      </c>
      <c r="B2554" s="138">
        <f>'Acct Summary 7-8'!C7</f>
        <v>1659829</v>
      </c>
      <c r="C2554" s="2" t="s">
        <v>593</v>
      </c>
      <c r="D2554" s="2" t="str">
        <f t="shared" si="38"/>
        <v>Error?</v>
      </c>
    </row>
    <row r="2555" spans="1:4" x14ac:dyDescent="0.2">
      <c r="A2555" s="5">
        <v>2494</v>
      </c>
      <c r="B2555" s="138">
        <f>'Acct Summary 7-8'!C8</f>
        <v>9101405</v>
      </c>
      <c r="C2555" s="2" t="s">
        <v>593</v>
      </c>
      <c r="D2555" s="2" t="str">
        <f t="shared" si="38"/>
        <v>Error?</v>
      </c>
    </row>
    <row r="2556" spans="1:4" x14ac:dyDescent="0.2">
      <c r="A2556" s="5">
        <v>2495</v>
      </c>
      <c r="B2556" s="138">
        <f>'Acct Summary 7-8'!C12</f>
        <v>5012826</v>
      </c>
      <c r="C2556" s="2" t="s">
        <v>593</v>
      </c>
      <c r="D2556" s="2" t="str">
        <f t="shared" si="38"/>
        <v>Error?</v>
      </c>
    </row>
    <row r="2557" spans="1:4" x14ac:dyDescent="0.2">
      <c r="A2557" s="5">
        <v>2496</v>
      </c>
      <c r="B2557" s="138">
        <f>'Acct Summary 7-8'!C13</f>
        <v>4041996</v>
      </c>
      <c r="C2557" s="2" t="s">
        <v>593</v>
      </c>
      <c r="D2557" s="2" t="str">
        <f t="shared" si="38"/>
        <v>Error?</v>
      </c>
    </row>
    <row r="2558" spans="1:4" x14ac:dyDescent="0.2">
      <c r="A2558" s="5">
        <v>2497</v>
      </c>
      <c r="B2558" s="138">
        <f>'Acct Summary 7-8'!C14</f>
        <v>274587</v>
      </c>
      <c r="C2558" s="2" t="s">
        <v>593</v>
      </c>
      <c r="D2558" s="2" t="str">
        <f t="shared" si="38"/>
        <v>Error?</v>
      </c>
    </row>
    <row r="2559" spans="1:4" x14ac:dyDescent="0.2">
      <c r="A2559" s="5">
        <v>2498</v>
      </c>
      <c r="B2559" s="138">
        <f>'Acct Summary 7-8'!C15</f>
        <v>44502</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9373911</v>
      </c>
      <c r="C2561" s="2" t="s">
        <v>593</v>
      </c>
      <c r="D2561" s="2" t="str">
        <f t="shared" si="39"/>
        <v>Error?</v>
      </c>
    </row>
    <row r="2562" spans="1:4" x14ac:dyDescent="0.2">
      <c r="A2562" s="5">
        <v>2501</v>
      </c>
      <c r="B2562" s="138">
        <f>'Acct Summary 7-8'!C20</f>
        <v>-272506</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134079</v>
      </c>
      <c r="C2564" s="2" t="s">
        <v>593</v>
      </c>
      <c r="D2564" s="2" t="str">
        <f t="shared" si="39"/>
        <v>Error?</v>
      </c>
    </row>
    <row r="2565" spans="1:4" x14ac:dyDescent="0.2">
      <c r="A2565" s="10">
        <v>2504</v>
      </c>
      <c r="D2565" s="2" t="str">
        <f t="shared" si="39"/>
        <v>OK</v>
      </c>
    </row>
    <row r="2566" spans="1:4" x14ac:dyDescent="0.2">
      <c r="A2566" s="5">
        <v>2505</v>
      </c>
      <c r="B2566" s="138">
        <f>'Acct Summary 7-8'!D6</f>
        <v>500000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634079</v>
      </c>
      <c r="C2568" s="2" t="s">
        <v>593</v>
      </c>
      <c r="D2568" s="2" t="str">
        <f t="shared" si="39"/>
        <v>Error?</v>
      </c>
    </row>
    <row r="2569" spans="1:4" x14ac:dyDescent="0.2">
      <c r="A2569" s="5">
        <v>2508</v>
      </c>
      <c r="B2569" s="138">
        <f>'Acct Summary 7-8'!D13</f>
        <v>3091553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3091553</v>
      </c>
      <c r="C2573" s="2" t="s">
        <v>593</v>
      </c>
      <c r="D2573" s="2" t="str">
        <f t="shared" si="39"/>
        <v>Error?</v>
      </c>
    </row>
    <row r="2574" spans="1:4" x14ac:dyDescent="0.2">
      <c r="A2574" s="5">
        <v>2513</v>
      </c>
      <c r="B2574" s="138">
        <f>'Acct Summary 7-8'!D20</f>
        <v>-2457474</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47376</v>
      </c>
      <c r="C2591" s="2" t="s">
        <v>593</v>
      </c>
      <c r="D2591" s="2" t="str">
        <f t="shared" si="39"/>
        <v>Error?</v>
      </c>
    </row>
    <row r="2592" spans="1:4" x14ac:dyDescent="0.2">
      <c r="A2592" s="10">
        <v>2531</v>
      </c>
      <c r="D2592" s="2" t="str">
        <f t="shared" si="39"/>
        <v>OK</v>
      </c>
    </row>
    <row r="2593" spans="1:4" x14ac:dyDescent="0.2">
      <c r="A2593" s="5">
        <v>2532</v>
      </c>
      <c r="B2593" s="138">
        <f>'Acct Summary 7-8'!F6</f>
        <v>765008</v>
      </c>
      <c r="C2593" s="2" t="s">
        <v>593</v>
      </c>
      <c r="D2593" s="2" t="str">
        <f t="shared" si="39"/>
        <v>Error?</v>
      </c>
    </row>
    <row r="2594" spans="1:4" x14ac:dyDescent="0.2">
      <c r="A2594" s="5">
        <v>2533</v>
      </c>
      <c r="B2594" s="138">
        <f>'Acct Summary 7-8'!F7</f>
        <v>50000</v>
      </c>
      <c r="C2594" s="2" t="s">
        <v>593</v>
      </c>
      <c r="D2594" s="2" t="str">
        <f t="shared" si="39"/>
        <v>Error?</v>
      </c>
    </row>
    <row r="2595" spans="1:4" x14ac:dyDescent="0.2">
      <c r="A2595" s="5">
        <v>2534</v>
      </c>
      <c r="B2595" s="138">
        <f>'Acct Summary 7-8'!F8</f>
        <v>862384</v>
      </c>
      <c r="C2595" s="2" t="s">
        <v>593</v>
      </c>
      <c r="D2595" s="2" t="str">
        <f t="shared" si="39"/>
        <v>Error?</v>
      </c>
    </row>
    <row r="2596" spans="1:4" x14ac:dyDescent="0.2">
      <c r="A2596" s="5">
        <v>2535</v>
      </c>
      <c r="B2596" s="138">
        <f>'Acct Summary 7-8'!F13</f>
        <v>1189543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1189543</v>
      </c>
      <c r="C2600" s="2" t="s">
        <v>593</v>
      </c>
      <c r="D2600" s="2" t="str">
        <f t="shared" si="39"/>
        <v>Error?</v>
      </c>
    </row>
    <row r="2601" spans="1:4" x14ac:dyDescent="0.2">
      <c r="A2601" s="5">
        <v>2540</v>
      </c>
      <c r="B2601" s="138">
        <f>'Acct Summary 7-8'!F20</f>
        <v>-327159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228733</v>
      </c>
      <c r="C2603" s="2" t="s">
        <v>593</v>
      </c>
      <c r="D2603" s="2" t="str">
        <f t="shared" si="39"/>
        <v>Error?</v>
      </c>
    </row>
    <row r="2604" spans="1:4" x14ac:dyDescent="0.2">
      <c r="A2604" s="5">
        <v>2543</v>
      </c>
      <c r="B2604" s="138">
        <f>'Acct Summary 7-8'!G6</f>
        <v>50000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278733</v>
      </c>
      <c r="C2606" s="2" t="s">
        <v>593</v>
      </c>
      <c r="D2606" s="2" t="str">
        <f t="shared" si="39"/>
        <v>Error?</v>
      </c>
    </row>
    <row r="2607" spans="1:4" x14ac:dyDescent="0.2">
      <c r="A2607" s="5">
        <v>2546</v>
      </c>
      <c r="B2607" s="138">
        <f>'Acct Summary 7-8'!G12</f>
        <v>131878</v>
      </c>
      <c r="C2607" s="2" t="s">
        <v>593</v>
      </c>
      <c r="D2607" s="2" t="str">
        <f t="shared" si="39"/>
        <v>Error?</v>
      </c>
    </row>
    <row r="2608" spans="1:4" x14ac:dyDescent="0.2">
      <c r="A2608" s="5">
        <v>2547</v>
      </c>
      <c r="B2608" s="138">
        <f>'Acct Summary 7-8'!G13</f>
        <v>228668</v>
      </c>
      <c r="C2608" s="2" t="s">
        <v>593</v>
      </c>
      <c r="D2608" s="2" t="str">
        <f t="shared" si="39"/>
        <v>Error?</v>
      </c>
    </row>
    <row r="2609" spans="1:4" x14ac:dyDescent="0.2">
      <c r="A2609" s="5">
        <v>2548</v>
      </c>
      <c r="B2609" s="138">
        <f>'Acct Summary 7-8'!G14</f>
        <v>27334</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387880</v>
      </c>
      <c r="C2612" s="2" t="s">
        <v>593</v>
      </c>
      <c r="D2612" s="2" t="str">
        <f t="shared" si="39"/>
        <v>Error?</v>
      </c>
    </row>
    <row r="2613" spans="1:4" x14ac:dyDescent="0.2">
      <c r="A2613" s="5">
        <v>2552</v>
      </c>
      <c r="B2613" s="138">
        <f>'Acct Summary 7-8'!G20</f>
        <v>-109147</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410415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410415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4077112</v>
      </c>
      <c r="C2634" s="2" t="s">
        <v>593</v>
      </c>
      <c r="D2634" s="2" t="str">
        <f t="shared" si="40"/>
        <v>Error?</v>
      </c>
    </row>
    <row r="2635" spans="1:4" x14ac:dyDescent="0.2">
      <c r="A2635" s="5">
        <v>2574</v>
      </c>
      <c r="B2635" s="138">
        <f>'Acct Summary 7-8'!E17</f>
        <v>4077112</v>
      </c>
      <c r="C2635" s="2" t="s">
        <v>593</v>
      </c>
      <c r="D2635" s="2" t="str">
        <f t="shared" si="40"/>
        <v>Error?</v>
      </c>
    </row>
    <row r="2636" spans="1:4" x14ac:dyDescent="0.2">
      <c r="A2636" s="5">
        <v>2575</v>
      </c>
      <c r="B2636" s="138">
        <f>'Acct Summary 7-8'!E20</f>
        <v>-3666697</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74033</v>
      </c>
      <c r="D2718" s="2" t="str">
        <f t="shared" si="41"/>
        <v>Error?</v>
      </c>
    </row>
    <row r="2719" spans="1:4" x14ac:dyDescent="0.2">
      <c r="A2719" s="5">
        <v>2658</v>
      </c>
      <c r="B2719" s="138">
        <f>'Expenditures 15-22'!D51</f>
        <v>16934</v>
      </c>
      <c r="D2719" s="2" t="str">
        <f t="shared" si="41"/>
        <v>Error?</v>
      </c>
    </row>
    <row r="2720" spans="1:4" x14ac:dyDescent="0.2">
      <c r="A2720" s="5">
        <v>2659</v>
      </c>
      <c r="B2720" s="138">
        <f>'Expenditures 15-22'!E51</f>
        <v>106107</v>
      </c>
      <c r="D2720" s="2" t="str">
        <f t="shared" si="41"/>
        <v>Error?</v>
      </c>
    </row>
    <row r="2721" spans="1:4" x14ac:dyDescent="0.2">
      <c r="A2721" s="5">
        <v>2660</v>
      </c>
      <c r="B2721" s="138">
        <f>'Expenditures 15-22'!F51</f>
        <v>644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197718</v>
      </c>
      <c r="C2724" s="2" t="s">
        <v>593</v>
      </c>
      <c r="D2724" s="2" t="str">
        <f t="shared" si="41"/>
        <v>Error?</v>
      </c>
    </row>
    <row r="2725" spans="1:4" x14ac:dyDescent="0.2">
      <c r="A2725" s="5">
        <v>2664</v>
      </c>
      <c r="B2725" s="138">
        <f>'Expenditures 15-22'!D247</f>
        <v>1074</v>
      </c>
      <c r="D2725" s="2" t="str">
        <f t="shared" si="41"/>
        <v>Error?</v>
      </c>
    </row>
    <row r="2726" spans="1:4" x14ac:dyDescent="0.2">
      <c r="A2726" s="5">
        <v>2665</v>
      </c>
      <c r="B2726" s="138">
        <f>'Expenditures 15-22'!K247</f>
        <v>1074</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2410942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30654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2410942</v>
      </c>
      <c r="D2912" s="2" t="str">
        <f t="shared" si="44"/>
        <v>Error?</v>
      </c>
    </row>
    <row r="2913" spans="1:4" x14ac:dyDescent="0.2">
      <c r="A2913" s="5">
        <v>2852</v>
      </c>
      <c r="B2913" s="138">
        <f>'Assets-Liab 5-6'!I41</f>
        <v>2410942</v>
      </c>
      <c r="C2913" s="2" t="s">
        <v>593</v>
      </c>
      <c r="D2913" s="2" t="str">
        <f t="shared" si="44"/>
        <v>Error?</v>
      </c>
    </row>
    <row r="2914" spans="1:4" x14ac:dyDescent="0.2">
      <c r="A2914" s="5">
        <v>2853</v>
      </c>
      <c r="B2914" s="138">
        <f>'Assets-Liab 5-6'!L33</f>
        <v>30654</v>
      </c>
      <c r="D2914" s="2" t="str">
        <f t="shared" si="44"/>
        <v>Error?</v>
      </c>
    </row>
    <row r="2915" spans="1:4" x14ac:dyDescent="0.2">
      <c r="A2915" s="10">
        <v>2854</v>
      </c>
      <c r="D2915" s="2" t="str">
        <f t="shared" si="44"/>
        <v>OK</v>
      </c>
    </row>
    <row r="2916" spans="1:4" x14ac:dyDescent="0.2">
      <c r="A2916" s="5">
        <v>2855</v>
      </c>
      <c r="B2916" s="138">
        <f>'Assets-Liab 5-6'!L34</f>
        <v>30654</v>
      </c>
      <c r="C2916" s="2" t="s">
        <v>593</v>
      </c>
      <c r="D2916" s="2" t="str">
        <f t="shared" si="44"/>
        <v>Error?</v>
      </c>
    </row>
    <row r="2917" spans="1:4" x14ac:dyDescent="0.2">
      <c r="A2917" s="5">
        <v>2856</v>
      </c>
      <c r="B2917" s="138">
        <f>'Assets-Liab 5-6'!L41</f>
        <v>30654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105668</v>
      </c>
      <c r="D3055" s="2" t="str">
        <f t="shared" si="46"/>
        <v>Error?</v>
      </c>
    </row>
    <row r="3056" spans="1:4" x14ac:dyDescent="0.2">
      <c r="A3056" s="5">
        <v>2995</v>
      </c>
      <c r="B3056" s="138">
        <f>'Expenditures 15-22'!D10</f>
        <v>26825</v>
      </c>
      <c r="D3056" s="2" t="str">
        <f t="shared" si="46"/>
        <v>Error?</v>
      </c>
    </row>
    <row r="3057" spans="1:4" x14ac:dyDescent="0.2">
      <c r="A3057" s="5">
        <v>2996</v>
      </c>
      <c r="B3057" s="138">
        <f>'Expenditures 15-22'!E10</f>
        <v>34735</v>
      </c>
      <c r="D3057" s="2" t="str">
        <f t="shared" si="46"/>
        <v>Error?</v>
      </c>
    </row>
    <row r="3058" spans="1:4" x14ac:dyDescent="0.2">
      <c r="A3058" s="5">
        <v>2997</v>
      </c>
      <c r="B3058" s="138">
        <f>'Expenditures 15-22'!F10</f>
        <v>126615</v>
      </c>
      <c r="D3058" s="2" t="str">
        <f t="shared" si="46"/>
        <v>Error?</v>
      </c>
    </row>
    <row r="3059" spans="1:4" x14ac:dyDescent="0.2">
      <c r="A3059" s="5">
        <v>2998</v>
      </c>
      <c r="B3059" s="138">
        <f>'Expenditures 15-22'!G10</f>
        <v>9800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303643</v>
      </c>
      <c r="C3062" s="2" t="s">
        <v>593</v>
      </c>
      <c r="D3062" s="2" t="str">
        <f t="shared" si="46"/>
        <v>Error?</v>
      </c>
    </row>
    <row r="3063" spans="1:4" x14ac:dyDescent="0.2">
      <c r="A3063" s="10">
        <v>3002</v>
      </c>
      <c r="D3063" s="2" t="str">
        <f t="shared" si="46"/>
        <v>OK</v>
      </c>
    </row>
    <row r="3064" spans="1:4" x14ac:dyDescent="0.2">
      <c r="A3064" s="5">
        <v>3003</v>
      </c>
      <c r="B3064" s="138">
        <f>'Expenditures 15-22'!D219</f>
        <v>2969</v>
      </c>
      <c r="D3064" s="2" t="str">
        <f t="shared" si="46"/>
        <v>Error?</v>
      </c>
    </row>
    <row r="3065" spans="1:4" x14ac:dyDescent="0.2">
      <c r="A3065" s="5">
        <v>3004</v>
      </c>
      <c r="B3065" s="138">
        <f>'Expenditures 15-22'!K219</f>
        <v>2969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2692093</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3809602</v>
      </c>
      <c r="D3082" s="2" t="str">
        <f t="shared" si="47"/>
        <v>Error?</v>
      </c>
    </row>
    <row r="3083" spans="1:4" x14ac:dyDescent="0.2">
      <c r="A3083" s="5">
        <v>3022</v>
      </c>
      <c r="B3083" s="138">
        <f>'Acct Summary 7-8'!F33</f>
        <v>732148</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21070</v>
      </c>
      <c r="C3225" s="2" t="s">
        <v>593</v>
      </c>
      <c r="D3225" s="2" t="str">
        <f t="shared" si="49"/>
        <v>Error?</v>
      </c>
    </row>
    <row r="3226" spans="1:4" x14ac:dyDescent="0.2">
      <c r="A3226" s="5">
        <v>3165</v>
      </c>
      <c r="B3226" s="138">
        <f>'Acct Summary 7-8'!I8</f>
        <v>21070</v>
      </c>
      <c r="C3226" s="2" t="s">
        <v>593</v>
      </c>
      <c r="D3226" s="2" t="str">
        <f t="shared" si="49"/>
        <v>Error?</v>
      </c>
    </row>
    <row r="3227" spans="1:4" x14ac:dyDescent="0.2">
      <c r="A3227" s="5">
        <v>3166</v>
      </c>
      <c r="B3227" s="138">
        <f>'Acct Summary 7-8'!I20</f>
        <v>21070</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40167</v>
      </c>
      <c r="C3231" s="2" t="s">
        <v>593</v>
      </c>
      <c r="D3231" s="2" t="str">
        <f t="shared" si="49"/>
        <v>Error?</v>
      </c>
    </row>
    <row r="3232" spans="1:4" x14ac:dyDescent="0.2">
      <c r="A3232" s="5">
        <v>3171</v>
      </c>
      <c r="B3232" s="138">
        <f>'Acct Summary 7-8'!C77</f>
        <v>-40167</v>
      </c>
      <c r="C3232" s="2" t="s">
        <v>593</v>
      </c>
      <c r="D3232" s="2" t="str">
        <f t="shared" si="49"/>
        <v>Error?</v>
      </c>
    </row>
    <row r="3233" spans="1:4" x14ac:dyDescent="0.2">
      <c r="A3233" s="5">
        <v>3172</v>
      </c>
      <c r="B3233" s="138">
        <f>'Acct Summary 7-8'!C78</f>
        <v>-312673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2692093</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185628</v>
      </c>
      <c r="C3237" s="2" t="s">
        <v>593</v>
      </c>
      <c r="D3237" s="2" t="str">
        <f t="shared" si="49"/>
        <v>Error?</v>
      </c>
    </row>
    <row r="3238" spans="1:4" x14ac:dyDescent="0.2">
      <c r="A3238" s="5">
        <v>3177</v>
      </c>
      <c r="B3238" s="138">
        <f>'Acct Summary 7-8'!D77</f>
        <v>2506465</v>
      </c>
      <c r="C3238" s="2" t="s">
        <v>593</v>
      </c>
      <c r="D3238" s="2" t="str">
        <f t="shared" si="49"/>
        <v>Error?</v>
      </c>
    </row>
    <row r="3239" spans="1:4" x14ac:dyDescent="0.2">
      <c r="A3239" s="5">
        <v>3178</v>
      </c>
      <c r="B3239" s="138">
        <f>'Acct Summary 7-8'!D78</f>
        <v>48991</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732148</v>
      </c>
      <c r="C3252" s="2" t="s">
        <v>593</v>
      </c>
      <c r="D3252" s="2" t="str">
        <f t="shared" si="49"/>
        <v>Error?</v>
      </c>
    </row>
    <row r="3253" spans="1:4" x14ac:dyDescent="0.2">
      <c r="A3253" s="5">
        <v>3192</v>
      </c>
      <c r="B3253" s="138">
        <f>'Acct Summary 7-8'!F75</f>
        <v>128462</v>
      </c>
      <c r="D3253" s="2" t="str">
        <f t="shared" si="49"/>
        <v>Error?</v>
      </c>
    </row>
    <row r="3254" spans="1:4" x14ac:dyDescent="0.2">
      <c r="A3254" s="5">
        <v>3193</v>
      </c>
      <c r="B3254" s="138">
        <f>'Acct Summary 7-8'!F76</f>
        <v>128462</v>
      </c>
      <c r="C3254" s="2" t="s">
        <v>593</v>
      </c>
      <c r="D3254" s="2" t="str">
        <f t="shared" si="49"/>
        <v>Error?</v>
      </c>
    </row>
    <row r="3255" spans="1:4" x14ac:dyDescent="0.2">
      <c r="A3255" s="5">
        <v>3194</v>
      </c>
      <c r="B3255" s="138">
        <f>'Acct Summary 7-8'!F77</f>
        <v>603686</v>
      </c>
      <c r="C3255" s="2" t="s">
        <v>593</v>
      </c>
      <c r="D3255" s="2" t="str">
        <f t="shared" si="49"/>
        <v>Error?</v>
      </c>
    </row>
    <row r="3256" spans="1:4" x14ac:dyDescent="0.2">
      <c r="A3256" s="5">
        <v>3195</v>
      </c>
      <c r="B3256" s="138">
        <f>'Acct Summary 7-8'!F78</f>
        <v>276527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-109147</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128462</v>
      </c>
      <c r="D3273" s="2" t="str">
        <f t="shared" si="50"/>
        <v>Error?</v>
      </c>
    </row>
    <row r="3274" spans="1:4" x14ac:dyDescent="0.2">
      <c r="A3274" s="5">
        <v>3213</v>
      </c>
      <c r="B3274" s="138">
        <f>'Acct Summary 7-8'!E44</f>
        <v>4278463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4278463</v>
      </c>
      <c r="C3277" s="2" t="s">
        <v>593</v>
      </c>
      <c r="D3277" s="2" t="str">
        <f t="shared" si="50"/>
        <v>Error?</v>
      </c>
    </row>
    <row r="3278" spans="1:4" x14ac:dyDescent="0.2">
      <c r="A3278" s="5">
        <v>3217</v>
      </c>
      <c r="B3278" s="138">
        <f>'Acct Summary 7-8'!E78</f>
        <v>611766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1555398</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1555398</v>
      </c>
      <c r="C3319" s="2" t="s">
        <v>593</v>
      </c>
      <c r="D3319" s="2" t="str">
        <f t="shared" si="50"/>
        <v>Error?</v>
      </c>
    </row>
    <row r="3320" spans="1:4" x14ac:dyDescent="0.2">
      <c r="A3320" s="5">
        <v>3259</v>
      </c>
      <c r="B3320" s="138">
        <f>'Acct Summary 7-8'!I78</f>
        <v>1576468</v>
      </c>
      <c r="C3320" s="2" t="s">
        <v>593</v>
      </c>
      <c r="D3320" s="2" t="str">
        <f t="shared" si="50"/>
        <v>Error?</v>
      </c>
    </row>
    <row r="3321" spans="1:4" x14ac:dyDescent="0.2">
      <c r="A3321" s="5">
        <v>3260</v>
      </c>
      <c r="B3321" s="138">
        <f>'Acct Summary 7-8'!I79</f>
        <v>834474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2410942</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917815</v>
      </c>
      <c r="D3366" s="2" t="str">
        <f t="shared" si="51"/>
        <v>Error?</v>
      </c>
    </row>
    <row r="3367" spans="1:4" x14ac:dyDescent="0.2">
      <c r="A3367" s="5">
        <v>3306</v>
      </c>
      <c r="B3367" s="138">
        <f>'Expenditures 15-22'!C19</f>
        <v>108897</v>
      </c>
      <c r="D3367" s="2" t="str">
        <f t="shared" si="51"/>
        <v>Error?</v>
      </c>
    </row>
    <row r="3368" spans="1:4" x14ac:dyDescent="0.2">
      <c r="A3368" s="5">
        <v>3307</v>
      </c>
      <c r="B3368" s="138">
        <f>'Expenditures 15-22'!D8</f>
        <v>174489</v>
      </c>
      <c r="D3368" s="2" t="str">
        <f t="shared" si="51"/>
        <v>Error?</v>
      </c>
    </row>
    <row r="3369" spans="1:4" x14ac:dyDescent="0.2">
      <c r="A3369" s="5">
        <v>3308</v>
      </c>
      <c r="B3369" s="138">
        <f>'Expenditures 15-22'!D19</f>
        <v>17435</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-77</v>
      </c>
      <c r="D3371" s="2" t="str">
        <f t="shared" si="51"/>
        <v>Error?</v>
      </c>
    </row>
    <row r="3372" spans="1:4" x14ac:dyDescent="0.2">
      <c r="A3372" s="5">
        <v>3311</v>
      </c>
      <c r="B3372" s="138">
        <f>'Expenditures 15-22'!F8</f>
        <v>14153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1106457</v>
      </c>
      <c r="C3380" s="2" t="s">
        <v>593</v>
      </c>
      <c r="D3380" s="2" t="str">
        <f t="shared" si="51"/>
        <v>Error?</v>
      </c>
    </row>
    <row r="3381" spans="1:4" x14ac:dyDescent="0.2">
      <c r="A3381" s="5">
        <v>3320</v>
      </c>
      <c r="B3381" s="138">
        <f>'Expenditures 15-22'!K19</f>
        <v>126255</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46120</v>
      </c>
      <c r="D3387" s="2" t="str">
        <f t="shared" si="51"/>
        <v>Error?</v>
      </c>
    </row>
    <row r="3388" spans="1:4" x14ac:dyDescent="0.2">
      <c r="A3388" s="5">
        <v>3327</v>
      </c>
      <c r="B3388" s="138">
        <f>'Expenditures 15-22'!D217</f>
        <v>44670</v>
      </c>
      <c r="D3388" s="2" t="str">
        <f t="shared" si="51"/>
        <v>Error?</v>
      </c>
    </row>
    <row r="3389" spans="1:4" x14ac:dyDescent="0.2">
      <c r="A3389" s="5">
        <v>3328</v>
      </c>
      <c r="B3389" s="138">
        <f>'Expenditures 15-22'!D228</f>
        <v>10325</v>
      </c>
      <c r="D3389" s="2" t="str">
        <f t="shared" si="51"/>
        <v>Error?</v>
      </c>
    </row>
    <row r="3390" spans="1:4" x14ac:dyDescent="0.2">
      <c r="A3390" s="5">
        <v>3329</v>
      </c>
      <c r="B3390" s="138">
        <f>'Expenditures 15-22'!K215</f>
        <v>46120</v>
      </c>
      <c r="C3390" s="2" t="s">
        <v>593</v>
      </c>
      <c r="D3390" s="2" t="str">
        <f t="shared" si="51"/>
        <v>Error?</v>
      </c>
    </row>
    <row r="3391" spans="1:4" x14ac:dyDescent="0.2">
      <c r="A3391" s="5">
        <v>3330</v>
      </c>
      <c r="B3391" s="138">
        <f>'Expenditures 15-22'!K217</f>
        <v>44670</v>
      </c>
      <c r="C3391" s="2" t="s">
        <v>593</v>
      </c>
      <c r="D3391" s="2" t="str">
        <f t="shared" ref="D3391:D3454" si="52">IF(ISBLANK(B3391),"OK",IF(A3391-B3391=0,"OK","Error?"))</f>
        <v>Error?</v>
      </c>
    </row>
    <row r="3392" spans="1:4" x14ac:dyDescent="0.2">
      <c r="A3392" s="5">
        <v>3331</v>
      </c>
      <c r="B3392" s="138">
        <f>'Expenditures 15-22'!K228</f>
        <v>10325</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4447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336286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628653</v>
      </c>
      <c r="D3417" s="2" t="str">
        <f t="shared" si="52"/>
        <v>Error?</v>
      </c>
    </row>
    <row r="3418" spans="1:4" x14ac:dyDescent="0.2">
      <c r="A3418" s="10">
        <v>3357</v>
      </c>
      <c r="D3418" s="2" t="str">
        <f t="shared" si="52"/>
        <v>OK</v>
      </c>
    </row>
    <row r="3419" spans="1:4" x14ac:dyDescent="0.2">
      <c r="A3419" s="5">
        <v>3358</v>
      </c>
      <c r="B3419" s="138">
        <f>'Assets-Liab 5-6'!F4</f>
        <v>315775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2070942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30654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73121</v>
      </c>
      <c r="C3446" s="2" t="s">
        <v>593</v>
      </c>
      <c r="D3446" s="2" t="str">
        <f t="shared" si="52"/>
        <v>Error?</v>
      </c>
    </row>
    <row r="3447" spans="1:4" x14ac:dyDescent="0.2">
      <c r="A3447" s="5">
        <v>3386</v>
      </c>
      <c r="B3447" s="138">
        <f>'Tax Sched 23'!D16</f>
        <v>71719</v>
      </c>
      <c r="C3447" s="2" t="s">
        <v>593</v>
      </c>
      <c r="D3447" s="2" t="str">
        <f t="shared" si="52"/>
        <v>Error?</v>
      </c>
    </row>
    <row r="3448" spans="1:4" x14ac:dyDescent="0.2">
      <c r="A3448" s="5">
        <v>3387</v>
      </c>
      <c r="B3448" s="138">
        <f>'Tax Sched 23'!C16</f>
        <v>1402</v>
      </c>
      <c r="D3448" s="2" t="str">
        <f t="shared" si="52"/>
        <v>Error?</v>
      </c>
    </row>
    <row r="3449" spans="1:4" x14ac:dyDescent="0.2">
      <c r="A3449" s="5">
        <v>3388</v>
      </c>
      <c r="B3449" s="138">
        <f>'Tax Sched 23'!F16</f>
        <v>88606</v>
      </c>
      <c r="C3449" s="2" t="s">
        <v>593</v>
      </c>
      <c r="D3449" s="2" t="str">
        <f t="shared" si="52"/>
        <v>Error?</v>
      </c>
    </row>
    <row r="3450" spans="1:4" x14ac:dyDescent="0.2">
      <c r="A3450" s="5">
        <v>3389</v>
      </c>
      <c r="B3450" s="138">
        <f>'Tax Sched 23'!E16</f>
        <v>90008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159090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159090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159090</v>
      </c>
      <c r="D3567" s="2" t="str">
        <f t="shared" si="54"/>
        <v>Error?</v>
      </c>
    </row>
    <row r="3568" spans="1:4" x14ac:dyDescent="0.2">
      <c r="A3568" s="5">
        <v>3507</v>
      </c>
      <c r="B3568" s="138">
        <f>'Assets-Liab 5-6'!K41</f>
        <v>159090</v>
      </c>
      <c r="C3568" s="2" t="s">
        <v>593</v>
      </c>
      <c r="D3568" s="2" t="str">
        <f t="shared" si="54"/>
        <v>Error?</v>
      </c>
    </row>
    <row r="3569" spans="1:4" x14ac:dyDescent="0.2">
      <c r="A3569" s="5">
        <v>3508</v>
      </c>
      <c r="B3569" s="138">
        <f>'Acct Summary 7-8'!K4</f>
        <v>12729</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12729</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12729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12729</v>
      </c>
      <c r="C3588" s="2" t="s">
        <v>593</v>
      </c>
      <c r="D3588" s="2" t="str">
        <f t="shared" si="55"/>
        <v>Error?</v>
      </c>
    </row>
    <row r="3589" spans="1:4" x14ac:dyDescent="0.2">
      <c r="A3589" s="5">
        <v>3528</v>
      </c>
      <c r="B3589" s="138">
        <f>'Acct Summary 7-8'!K79</f>
        <v>146361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159090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12729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11683</v>
      </c>
      <c r="C3725" s="2" t="s">
        <v>593</v>
      </c>
      <c r="D3725" s="2" t="str">
        <f t="shared" si="57"/>
        <v>Error?</v>
      </c>
    </row>
    <row r="3726" spans="1:4" x14ac:dyDescent="0.2">
      <c r="A3726" s="5">
        <v>3665</v>
      </c>
      <c r="B3726" s="138">
        <f>'Tax Sched 23'!D13</f>
        <v>11487</v>
      </c>
      <c r="C3726" s="2" t="s">
        <v>593</v>
      </c>
      <c r="D3726" s="2" t="str">
        <f t="shared" si="57"/>
        <v>Error?</v>
      </c>
    </row>
    <row r="3727" spans="1:4" x14ac:dyDescent="0.2">
      <c r="A3727" s="5">
        <v>3666</v>
      </c>
      <c r="B3727" s="138">
        <f>'Tax Sched 23'!C13</f>
        <v>196</v>
      </c>
      <c r="D3727" s="2" t="str">
        <f t="shared" si="57"/>
        <v>Error?</v>
      </c>
    </row>
    <row r="3728" spans="1:4" x14ac:dyDescent="0.2">
      <c r="A3728" s="5">
        <v>3667</v>
      </c>
      <c r="B3728" s="138">
        <f>'Tax Sched 23'!F13</f>
        <v>12368</v>
      </c>
      <c r="C3728" s="2" t="s">
        <v>593</v>
      </c>
      <c r="D3728" s="2" t="str">
        <f t="shared" si="57"/>
        <v>Error?</v>
      </c>
    </row>
    <row r="3729" spans="1:4" x14ac:dyDescent="0.2">
      <c r="A3729" s="5">
        <v>3668</v>
      </c>
      <c r="B3729" s="138">
        <f>'Tax Sched 23'!E13</f>
        <v>12564</v>
      </c>
      <c r="D3729" s="2" t="str">
        <f t="shared" si="57"/>
        <v>Error?</v>
      </c>
    </row>
    <row r="3730" spans="1:4" x14ac:dyDescent="0.2">
      <c r="A3730" s="5">
        <v>3669</v>
      </c>
      <c r="B3730" s="138">
        <f>'ICR Computation 30'!E10</f>
        <v>336090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2745429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11846834</v>
      </c>
      <c r="C4122" s="2" t="s">
        <v>593</v>
      </c>
      <c r="D4122" s="2" t="str">
        <f t="shared" si="63"/>
        <v>Error?</v>
      </c>
    </row>
    <row r="4123" spans="1:4" x14ac:dyDescent="0.2">
      <c r="A4123" s="5">
        <v>4062</v>
      </c>
      <c r="B4123" s="138">
        <f>'Acct Summary 7-8'!D10</f>
        <v>634079</v>
      </c>
      <c r="C4123" s="2" t="s">
        <v>593</v>
      </c>
      <c r="D4123" s="2" t="str">
        <f t="shared" si="63"/>
        <v>Error?</v>
      </c>
    </row>
    <row r="4124" spans="1:4" x14ac:dyDescent="0.2">
      <c r="A4124" s="5">
        <v>4063</v>
      </c>
      <c r="B4124" s="138">
        <f>'Acct Summary 7-8'!E10</f>
        <v>410415</v>
      </c>
      <c r="C4124" s="2" t="s">
        <v>593</v>
      </c>
      <c r="D4124" s="2" t="str">
        <f t="shared" si="63"/>
        <v>Error?</v>
      </c>
    </row>
    <row r="4125" spans="1:4" x14ac:dyDescent="0.2">
      <c r="A4125" s="5">
        <v>4064</v>
      </c>
      <c r="B4125" s="138">
        <f>'Acct Summary 7-8'!F10</f>
        <v>862384</v>
      </c>
      <c r="C4125" s="2" t="s">
        <v>593</v>
      </c>
      <c r="D4125" s="2" t="str">
        <f t="shared" si="63"/>
        <v>Error?</v>
      </c>
    </row>
    <row r="4126" spans="1:4" x14ac:dyDescent="0.2">
      <c r="A4126" s="5">
        <v>4065</v>
      </c>
      <c r="B4126" s="138">
        <f>'Acct Summary 7-8'!G10</f>
        <v>278733</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21070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12729</v>
      </c>
      <c r="C4130" s="2" t="s">
        <v>593</v>
      </c>
      <c r="D4130" s="2" t="str">
        <f t="shared" si="63"/>
        <v>Error?</v>
      </c>
    </row>
    <row r="4131" spans="1:4" x14ac:dyDescent="0.2">
      <c r="A4131" s="5">
        <v>4070</v>
      </c>
      <c r="B4131" s="138">
        <f>'Acct Summary 7-8'!C18</f>
        <v>2745429</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12119340</v>
      </c>
      <c r="C4136" s="2" t="s">
        <v>593</v>
      </c>
      <c r="D4136" s="2" t="str">
        <f t="shared" si="63"/>
        <v>Error?</v>
      </c>
    </row>
    <row r="4137" spans="1:4" x14ac:dyDescent="0.2">
      <c r="A4137" s="5">
        <v>4076</v>
      </c>
      <c r="B4137" s="138">
        <f>'Acct Summary 7-8'!D19</f>
        <v>3091553</v>
      </c>
      <c r="C4137" s="2" t="s">
        <v>593</v>
      </c>
      <c r="D4137" s="2" t="str">
        <f t="shared" si="63"/>
        <v>Error?</v>
      </c>
    </row>
    <row r="4138" spans="1:4" x14ac:dyDescent="0.2">
      <c r="A4138" s="5">
        <v>4077</v>
      </c>
      <c r="B4138" s="138">
        <f>'Acct Summary 7-8'!E19</f>
        <v>4077112</v>
      </c>
      <c r="C4138" s="2" t="s">
        <v>593</v>
      </c>
      <c r="D4138" s="2" t="str">
        <f t="shared" si="63"/>
        <v>Error?</v>
      </c>
    </row>
    <row r="4139" spans="1:4" x14ac:dyDescent="0.2">
      <c r="A4139" s="5">
        <v>4078</v>
      </c>
      <c r="B4139" s="138">
        <f>'Acct Summary 7-8'!F19</f>
        <v>1189543</v>
      </c>
      <c r="C4139" s="2" t="s">
        <v>593</v>
      </c>
      <c r="D4139" s="2" t="str">
        <f t="shared" si="63"/>
        <v>Error?</v>
      </c>
    </row>
    <row r="4140" spans="1:4" x14ac:dyDescent="0.2">
      <c r="A4140" s="5">
        <v>4079</v>
      </c>
      <c r="B4140" s="138">
        <f>'Acct Summary 7-8'!G19</f>
        <v>387880</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6610207</v>
      </c>
      <c r="C4171" s="2" t="s">
        <v>593</v>
      </c>
      <c r="D4171" s="2" t="str">
        <f t="shared" si="64"/>
        <v>Error?</v>
      </c>
    </row>
    <row r="4172" spans="1:4" x14ac:dyDescent="0.2">
      <c r="A4172" s="5">
        <v>4111</v>
      </c>
      <c r="B4172" s="138">
        <f>'Short-Term Long-Term Debt 24'!J49</f>
        <v>5981554</v>
      </c>
      <c r="C4172" s="2" t="s">
        <v>593</v>
      </c>
      <c r="D4172" s="2" t="str">
        <f t="shared" si="64"/>
        <v>Error?</v>
      </c>
    </row>
    <row r="4173" spans="1:4" x14ac:dyDescent="0.2">
      <c r="A4173" s="5">
        <v>4112</v>
      </c>
      <c r="B4173" s="138">
        <f>'Short-Term Long-Term Debt 24'!H49</f>
        <v>3579704</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2590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3290</v>
      </c>
      <c r="C4268" s="2" t="s">
        <v>593</v>
      </c>
      <c r="D4268" s="2" t="str">
        <f t="shared" si="65"/>
        <v>Error?</v>
      </c>
    </row>
    <row r="4269" spans="1:5" x14ac:dyDescent="0.2">
      <c r="A4269" s="12">
        <v>4208</v>
      </c>
      <c r="B4269" s="138">
        <f>'FP Info 3'!J16</f>
        <v>2757450</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25915</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18171</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26302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24301</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82938</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91338</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84175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202649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36525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750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25127764</v>
      </c>
      <c r="D4995" s="2" t="str">
        <f t="shared" si="77"/>
        <v>Error?</v>
      </c>
    </row>
    <row r="4996" spans="1:4" x14ac:dyDescent="0.2">
      <c r="A4996" s="12">
        <v>4935</v>
      </c>
      <c r="B4996" s="138">
        <f>'FP Info 3'!H31</f>
        <v>3467631.4320000005</v>
      </c>
      <c r="D4996" s="2" t="str">
        <f t="shared" si="77"/>
        <v>Error?</v>
      </c>
    </row>
    <row r="4997" spans="1:4" x14ac:dyDescent="0.2">
      <c r="A4997" s="12">
        <v>4936</v>
      </c>
      <c r="B4997" s="138">
        <f>'FP Info 3'!H37</f>
        <v>6610207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11683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605164</v>
      </c>
      <c r="D5061" s="2" t="str">
        <f t="shared" si="78"/>
        <v>Error?</v>
      </c>
    </row>
    <row r="5062" spans="1:4" x14ac:dyDescent="0.2">
      <c r="A5062" s="10">
        <v>5001</v>
      </c>
      <c r="D5062" s="2" t="str">
        <f t="shared" si="78"/>
        <v>OK</v>
      </c>
    </row>
    <row r="5063" spans="1:4" x14ac:dyDescent="0.2">
      <c r="A5063" s="5">
        <v>5002</v>
      </c>
      <c r="B5063" s="138">
        <f>'Revenues 9-14'!C7</f>
        <v>9345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626192</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732134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732134</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4724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4724</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2031</v>
      </c>
      <c r="C5096" s="2" t="s">
        <v>593</v>
      </c>
      <c r="D5096" s="2" t="str">
        <f t="shared" si="78"/>
        <v>Error?</v>
      </c>
    </row>
    <row r="5097" spans="1:4" x14ac:dyDescent="0.2">
      <c r="A5097" s="5">
        <v>5036</v>
      </c>
      <c r="B5097" s="138">
        <f>'Revenues 9-14'!C77</f>
        <v>1949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1949</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32665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269128</v>
      </c>
      <c r="D5119" s="2" t="str">
        <f t="shared" ref="D5119:D5182" si="79">IF(ISBLANK(B5119),"OK",IF(A5119-B5119=0,"OK","Error?"))</f>
        <v>Error?</v>
      </c>
    </row>
    <row r="5120" spans="1:4" x14ac:dyDescent="0.2">
      <c r="A5120" s="5">
        <v>5059</v>
      </c>
      <c r="B5120" s="138">
        <f>'Revenues 9-14'!C108</f>
        <v>301793</v>
      </c>
      <c r="C5120" s="2" t="s">
        <v>593</v>
      </c>
      <c r="D5120" s="2" t="str">
        <f t="shared" si="79"/>
        <v>Error?</v>
      </c>
    </row>
    <row r="5121" spans="1:4" x14ac:dyDescent="0.2">
      <c r="A5121" s="5">
        <v>5060</v>
      </c>
      <c r="B5121" s="138">
        <f>'Revenues 9-14'!C109</f>
        <v>1668823</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4194443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4194443</v>
      </c>
      <c r="C5132" s="2" t="s">
        <v>593</v>
      </c>
      <c r="D5132" s="2" t="str">
        <f t="shared" si="79"/>
        <v>Error?</v>
      </c>
    </row>
    <row r="5133" spans="1:4" x14ac:dyDescent="0.2">
      <c r="A5133" s="5">
        <v>5072</v>
      </c>
      <c r="B5133" s="138">
        <f>'Revenues 9-14'!C124</f>
        <v>329337</v>
      </c>
      <c r="D5133" s="2" t="str">
        <f t="shared" si="79"/>
        <v>Error?</v>
      </c>
    </row>
    <row r="5134" spans="1:4" x14ac:dyDescent="0.2">
      <c r="A5134" s="5">
        <v>5073</v>
      </c>
      <c r="B5134" s="138">
        <f>'Revenues 9-14'!C125</f>
        <v>54664</v>
      </c>
      <c r="D5134" s="2" t="str">
        <f t="shared" si="79"/>
        <v>Error?</v>
      </c>
    </row>
    <row r="5135" spans="1:4" x14ac:dyDescent="0.2">
      <c r="A5135" s="5">
        <v>5074</v>
      </c>
      <c r="B5135" s="138">
        <f>'Revenues 9-14'!C126</f>
        <v>83930</v>
      </c>
      <c r="D5135" s="2" t="str">
        <f t="shared" si="79"/>
        <v>Error?</v>
      </c>
    </row>
    <row r="5136" spans="1:4" x14ac:dyDescent="0.2">
      <c r="A5136" s="10">
        <v>5075</v>
      </c>
      <c r="D5136" s="2" t="str">
        <f t="shared" si="79"/>
        <v>OK</v>
      </c>
    </row>
    <row r="5137" spans="1:4" x14ac:dyDescent="0.2">
      <c r="A5137" s="5">
        <v>5076</v>
      </c>
      <c r="B5137" s="138">
        <f>'Revenues 9-14'!C127</f>
        <v>2681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10801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481413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4575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4575</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8355</v>
      </c>
      <c r="D5167" s="2" t="str">
        <f t="shared" si="79"/>
        <v>Error?</v>
      </c>
    </row>
    <row r="5168" spans="1:4" x14ac:dyDescent="0.2">
      <c r="A5168" s="5">
        <v>5107</v>
      </c>
      <c r="B5168" s="138">
        <f>'Revenues 9-14'!C147</f>
        <v>5425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875143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1578310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5772753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292722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186735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523846</v>
      </c>
      <c r="C5246" s="2" t="s">
        <v>593</v>
      </c>
      <c r="D5246" s="2" t="str">
        <f t="shared" si="80"/>
        <v>Error?</v>
      </c>
    </row>
    <row r="5247" spans="1:4" x14ac:dyDescent="0.2">
      <c r="A5247" s="5">
        <v>5186</v>
      </c>
      <c r="B5247" s="138">
        <f>'Revenues 9-14'!C203</f>
        <v>738730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8400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738730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15069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101372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116441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18171</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1659829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1659829</v>
      </c>
      <c r="C5326" s="2" t="s">
        <v>593</v>
      </c>
      <c r="D5326" s="2" t="str">
        <f t="shared" si="82"/>
        <v>Error?</v>
      </c>
    </row>
    <row r="5327" spans="1:4" x14ac:dyDescent="0.2">
      <c r="A5327" s="5">
        <v>5266</v>
      </c>
      <c r="B5327" s="138">
        <f>'Revenues 9-14'!C275</f>
        <v>9101405</v>
      </c>
      <c r="C5327" s="2" t="s">
        <v>593</v>
      </c>
      <c r="D5327" s="2" t="str">
        <f t="shared" si="82"/>
        <v>Error?</v>
      </c>
    </row>
    <row r="5328" spans="1:4" x14ac:dyDescent="0.2">
      <c r="A5328" s="5">
        <v>5267</v>
      </c>
      <c r="B5328" s="138">
        <f>'Revenues 9-14'!D5</f>
        <v>116819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116819</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1388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1388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15872</v>
      </c>
      <c r="D5354" s="2" t="str">
        <f t="shared" si="82"/>
        <v>Error?</v>
      </c>
    </row>
    <row r="5355" spans="1:4" x14ac:dyDescent="0.2">
      <c r="A5355" s="5">
        <v>5294</v>
      </c>
      <c r="B5355" s="138">
        <f>'Revenues 9-14'!D108</f>
        <v>15872</v>
      </c>
      <c r="C5355" s="2" t="s">
        <v>593</v>
      </c>
      <c r="D5355" s="2" t="str">
        <f t="shared" si="82"/>
        <v>Error?</v>
      </c>
    </row>
    <row r="5356" spans="1:4" x14ac:dyDescent="0.2">
      <c r="A5356" s="5">
        <v>5295</v>
      </c>
      <c r="B5356" s="138">
        <f>'Revenues 9-14'!D109</f>
        <v>134079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634079</v>
      </c>
      <c r="C5508" s="2" t="s">
        <v>593</v>
      </c>
      <c r="D5508" s="2" t="str">
        <f t="shared" si="85"/>
        <v>Error?</v>
      </c>
    </row>
    <row r="5509" spans="1:4" x14ac:dyDescent="0.2">
      <c r="A5509" s="5">
        <v>5448</v>
      </c>
      <c r="B5509" s="138">
        <f>'Revenues 9-14'!E5</f>
        <v>409332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409332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1083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1083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410415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410415</v>
      </c>
      <c r="C5552" s="2" t="s">
        <v>593</v>
      </c>
      <c r="D5552" s="2" t="str">
        <f t="shared" si="85"/>
        <v>Error?</v>
      </c>
    </row>
    <row r="5553" spans="1:4" x14ac:dyDescent="0.2">
      <c r="A5553" s="5">
        <v>5492</v>
      </c>
      <c r="B5553" s="138">
        <f>'Revenues 9-14'!F5</f>
        <v>46727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46727</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621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621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v>
      </c>
      <c r="D5586" s="2" t="str">
        <f t="shared" si="86"/>
        <v>Error?</v>
      </c>
    </row>
    <row r="5587" spans="1:4" x14ac:dyDescent="0.2">
      <c r="A5587" s="5">
        <v>5526</v>
      </c>
      <c r="B5587" s="138">
        <f>'Revenues 9-14'!F108</f>
        <v>28</v>
      </c>
      <c r="C5587" s="2" t="s">
        <v>593</v>
      </c>
      <c r="D5587" s="2" t="str">
        <f t="shared" si="86"/>
        <v>Error?</v>
      </c>
    </row>
    <row r="5588" spans="1:4" x14ac:dyDescent="0.2">
      <c r="A5588" s="5">
        <v>5527</v>
      </c>
      <c r="B5588" s="138">
        <f>'Revenues 9-14'!F109</f>
        <v>47376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296498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296498</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241369</v>
      </c>
      <c r="D5615" s="2" t="str">
        <f t="shared" si="86"/>
        <v>Error?</v>
      </c>
    </row>
    <row r="5616" spans="1:4" x14ac:dyDescent="0.2">
      <c r="A5616" s="10">
        <v>5555</v>
      </c>
      <c r="D5616" s="2" t="str">
        <f t="shared" si="86"/>
        <v>OK</v>
      </c>
    </row>
    <row r="5617" spans="1:4" x14ac:dyDescent="0.2">
      <c r="A5617" s="5">
        <v>5556</v>
      </c>
      <c r="B5617" s="138">
        <f>'Revenues 9-14'!F152</f>
        <v>227141</v>
      </c>
      <c r="D5617" s="2" t="str">
        <f t="shared" si="86"/>
        <v>Error?</v>
      </c>
    </row>
    <row r="5618" spans="1:4" x14ac:dyDescent="0.2">
      <c r="A5618" s="5">
        <v>5557</v>
      </c>
      <c r="B5618" s="138">
        <f>'Revenues 9-14'!F154</f>
        <v>468510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468510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765008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50000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50000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50000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50000</v>
      </c>
      <c r="C5719" s="2" t="s">
        <v>593</v>
      </c>
      <c r="D5719" s="2" t="str">
        <f t="shared" si="88"/>
        <v>Error?</v>
      </c>
    </row>
    <row r="5720" spans="1:4" x14ac:dyDescent="0.2">
      <c r="A5720" s="5">
        <v>5659</v>
      </c>
      <c r="B5720" s="138">
        <f>'Revenues 9-14'!F275</f>
        <v>862384</v>
      </c>
      <c r="C5720" s="2" t="s">
        <v>593</v>
      </c>
      <c r="D5720" s="2" t="str">
        <f t="shared" si="88"/>
        <v>Error?</v>
      </c>
    </row>
    <row r="5721" spans="1:4" x14ac:dyDescent="0.2">
      <c r="A5721" s="5">
        <v>5660</v>
      </c>
      <c r="B5721" s="138">
        <f>'Revenues 9-14'!G5</f>
        <v>73121</v>
      </c>
      <c r="D5721" s="2" t="str">
        <f t="shared" si="88"/>
        <v>Error?</v>
      </c>
    </row>
    <row r="5722" spans="1:4" x14ac:dyDescent="0.2">
      <c r="A5722" s="5">
        <v>5661</v>
      </c>
      <c r="B5722" s="138">
        <f>'Revenues 9-14'!G7</f>
        <v>0</v>
      </c>
      <c r="D5722" s="2" t="str">
        <f t="shared" si="88"/>
        <v>Error?</v>
      </c>
    </row>
    <row r="5723" spans="1:4" x14ac:dyDescent="0.2">
      <c r="A5723" s="5">
        <v>5662</v>
      </c>
      <c r="B5723" s="138">
        <f>'Revenues 9-14'!G8</f>
        <v>73121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146242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81348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81348</v>
      </c>
      <c r="C5730" s="2" t="s">
        <v>593</v>
      </c>
      <c r="D5730" s="2" t="str">
        <f t="shared" si="88"/>
        <v>Error?</v>
      </c>
    </row>
    <row r="5731" spans="1:4" x14ac:dyDescent="0.2">
      <c r="A5731" s="5">
        <v>5670</v>
      </c>
      <c r="B5731" s="138">
        <f>'Revenues 9-14'!G65</f>
        <v>1143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1143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50000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50000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50000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278733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11683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11683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9387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9387</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21070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11682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11682</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1047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1047</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12729</v>
      </c>
      <c r="C6023" s="2" t="s">
        <v>593</v>
      </c>
      <c r="D6023" s="2" t="str">
        <f t="shared" si="93"/>
        <v>Error?</v>
      </c>
    </row>
    <row r="6024" spans="1:5" x14ac:dyDescent="0.2">
      <c r="A6024" s="5">
        <v>5963</v>
      </c>
      <c r="B6024" s="138">
        <f>'Revenues 9-14'!G109</f>
        <v>228733</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21070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12729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25915</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621.67999999999995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340000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421474</v>
      </c>
      <c r="D6124" s="2" t="str">
        <f t="shared" si="94"/>
        <v>Error?</v>
      </c>
      <c r="E6124" s="2" t="s">
        <v>199</v>
      </c>
    </row>
    <row r="6125" spans="1:5" x14ac:dyDescent="0.2">
      <c r="A6125">
        <v>6064</v>
      </c>
      <c r="B6125" s="138">
        <f>'Assets-Liab 5-6'!C25</f>
        <v>310000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30000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421474</v>
      </c>
      <c r="D6215" s="2" t="str">
        <f t="shared" si="96"/>
        <v>Error?</v>
      </c>
      <c r="E6215" s="2" t="s">
        <v>199</v>
      </c>
    </row>
    <row r="6216" spans="1:5" x14ac:dyDescent="0.2">
      <c r="A6216">
        <v>6155</v>
      </c>
      <c r="B6216" s="138">
        <f>'Assets-Liab 5-6'!J41</f>
        <v>421474</v>
      </c>
      <c r="D6216" s="2" t="str">
        <f t="shared" si="96"/>
        <v>Error?</v>
      </c>
      <c r="E6216" s="2" t="s">
        <v>199</v>
      </c>
    </row>
    <row r="6217" spans="1:5" x14ac:dyDescent="0.2">
      <c r="A6217">
        <v>6156</v>
      </c>
      <c r="B6217" s="138">
        <f>'Assets-Liab 5-6'!J4</f>
        <v>421474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238772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238772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238772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49028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49028</v>
      </c>
      <c r="D6229" s="2" t="str">
        <f t="shared" si="96"/>
        <v>Error?</v>
      </c>
      <c r="E6229" s="2" t="s">
        <v>199</v>
      </c>
    </row>
    <row r="6230" spans="1:5" x14ac:dyDescent="0.2">
      <c r="A6230">
        <v>6169</v>
      </c>
      <c r="B6230" s="138">
        <f>'Acct Summary 7-8'!J20</f>
        <v>189744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189744</v>
      </c>
      <c r="D6263" s="2" t="str">
        <f t="shared" si="96"/>
        <v>Error?</v>
      </c>
      <c r="E6263" s="2" t="s">
        <v>199</v>
      </c>
    </row>
    <row r="6264" spans="1:5" x14ac:dyDescent="0.2">
      <c r="A6264">
        <v>6203</v>
      </c>
      <c r="B6264" s="138">
        <f>'Acct Summary 7-8'!J79</f>
        <v>231730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421474</v>
      </c>
      <c r="D6266" s="2" t="str">
        <f t="shared" si="96"/>
        <v>Error?</v>
      </c>
      <c r="E6266" s="2" t="s">
        <v>199</v>
      </c>
    </row>
    <row r="6267" spans="1:5" x14ac:dyDescent="0.2">
      <c r="A6267">
        <v>6206</v>
      </c>
      <c r="B6267" s="138">
        <f>'Acct Summary 7-8'!C82</f>
        <v>-312673</v>
      </c>
      <c r="D6267" s="2" t="str">
        <f t="shared" si="96"/>
        <v>Error?</v>
      </c>
      <c r="E6267" s="2" t="s">
        <v>199</v>
      </c>
    </row>
    <row r="6268" spans="1:5" x14ac:dyDescent="0.2">
      <c r="A6268">
        <v>6207</v>
      </c>
      <c r="B6268" s="138">
        <f>'Acct Summary 7-8'!D82</f>
        <v>48991</v>
      </c>
      <c r="D6268" s="2" t="str">
        <f t="shared" si="96"/>
        <v>Error?</v>
      </c>
      <c r="E6268" s="2" t="s">
        <v>199</v>
      </c>
    </row>
    <row r="6269" spans="1:5" x14ac:dyDescent="0.2">
      <c r="A6269">
        <v>6208</v>
      </c>
      <c r="B6269" s="138">
        <f>'Acct Summary 7-8'!E82</f>
        <v>611766</v>
      </c>
      <c r="D6269" s="2" t="str">
        <f t="shared" si="96"/>
        <v>Error?</v>
      </c>
      <c r="E6269" s="2" t="s">
        <v>199</v>
      </c>
    </row>
    <row r="6270" spans="1:5" x14ac:dyDescent="0.2">
      <c r="A6270">
        <v>6209</v>
      </c>
      <c r="B6270" s="138">
        <f>'Acct Summary 7-8'!F82</f>
        <v>276527</v>
      </c>
      <c r="D6270" s="2" t="str">
        <f t="shared" si="96"/>
        <v>Error?</v>
      </c>
      <c r="E6270" s="2" t="s">
        <v>199</v>
      </c>
    </row>
    <row r="6271" spans="1:5" x14ac:dyDescent="0.2">
      <c r="A6271">
        <v>6210</v>
      </c>
      <c r="B6271" s="138">
        <f>'Acct Summary 7-8'!G82</f>
        <v>-109147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1576468</v>
      </c>
      <c r="D6273" s="2" t="str">
        <f t="shared" si="97"/>
        <v>Error?</v>
      </c>
      <c r="E6273" s="2" t="s">
        <v>199</v>
      </c>
    </row>
    <row r="6274" spans="1:5" x14ac:dyDescent="0.2">
      <c r="A6274">
        <v>6213</v>
      </c>
      <c r="B6274" s="138">
        <f>'Acct Summary 7-8'!J82</f>
        <v>189744</v>
      </c>
      <c r="D6274" s="2" t="str">
        <f t="shared" si="97"/>
        <v>Error?</v>
      </c>
      <c r="E6274" s="2" t="s">
        <v>199</v>
      </c>
    </row>
    <row r="6275" spans="1:5" x14ac:dyDescent="0.2">
      <c r="A6275">
        <v>6214</v>
      </c>
      <c r="B6275" s="138">
        <f>'Acct Summary 7-8'!K82</f>
        <v>12729</v>
      </c>
      <c r="D6275" s="2" t="str">
        <f t="shared" si="97"/>
        <v>Error?</v>
      </c>
      <c r="E6275" s="2" t="s">
        <v>199</v>
      </c>
    </row>
    <row r="6276" spans="1:5" x14ac:dyDescent="0.2">
      <c r="A6276">
        <v>6215</v>
      </c>
      <c r="B6276" s="138">
        <f>'Acct Summary 7-8'!C83</f>
        <v>1.0233020130713821</v>
      </c>
      <c r="D6276" s="2" t="str">
        <f t="shared" si="97"/>
        <v>Error?</v>
      </c>
      <c r="E6276" s="2" t="s">
        <v>199</v>
      </c>
    </row>
    <row r="6277" spans="1:5" x14ac:dyDescent="0.2">
      <c r="A6277">
        <v>6216</v>
      </c>
      <c r="B6277" s="138">
        <f>'Acct Summary 7-8'!D83</f>
        <v>0.14568254402502631</v>
      </c>
      <c r="D6277" s="2" t="str">
        <f t="shared" si="97"/>
        <v>Error?</v>
      </c>
      <c r="E6277" s="2" t="s">
        <v>199</v>
      </c>
    </row>
    <row r="6278" spans="1:5" x14ac:dyDescent="0.2">
      <c r="A6278">
        <v>6217</v>
      </c>
      <c r="B6278" s="138">
        <f>'Acct Summary 7-8'!E83</f>
        <v>0.97313780416223261</v>
      </c>
      <c r="D6278" s="2" t="str">
        <f t="shared" si="97"/>
        <v>Error?</v>
      </c>
      <c r="E6278" s="2" t="s">
        <v>199</v>
      </c>
    </row>
    <row r="6279" spans="1:5" x14ac:dyDescent="0.2">
      <c r="A6279">
        <v>6218</v>
      </c>
      <c r="B6279" s="138">
        <f>'Acct Summary 7-8'!F83</f>
        <v>0.87570896999445813</v>
      </c>
      <c r="D6279" s="2" t="str">
        <f t="shared" si="97"/>
        <v>Error?</v>
      </c>
      <c r="E6279" s="2" t="s">
        <v>199</v>
      </c>
    </row>
    <row r="6280" spans="1:5" x14ac:dyDescent="0.2">
      <c r="A6280">
        <v>6219</v>
      </c>
      <c r="B6280" s="138">
        <f>'Acct Summary 7-8'!G83</f>
        <v>4.1924790658369826</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0.65388051641225708</v>
      </c>
      <c r="D6282" s="2" t="str">
        <f t="shared" si="97"/>
        <v>Error?</v>
      </c>
      <c r="E6282" s="2" t="s">
        <v>199</v>
      </c>
    </row>
    <row r="6283" spans="1:5" x14ac:dyDescent="0.2">
      <c r="A6283">
        <v>6222</v>
      </c>
      <c r="B6283" s="138">
        <f>'Acct Summary 7-8'!J83</f>
        <v>0.45019147088551131</v>
      </c>
      <c r="D6283" s="2" t="str">
        <f t="shared" si="97"/>
        <v>Error?</v>
      </c>
      <c r="E6283" s="2" t="s">
        <v>199</v>
      </c>
    </row>
    <row r="6284" spans="1:5" x14ac:dyDescent="0.2">
      <c r="A6284">
        <v>6223</v>
      </c>
      <c r="B6284" s="138">
        <f>'Acct Summary 7-8'!K83</f>
        <v>8.0011314350367721E-2</v>
      </c>
      <c r="D6284" s="2" t="str">
        <f t="shared" si="97"/>
        <v>Error?</v>
      </c>
      <c r="E6284" s="2" t="s">
        <v>199</v>
      </c>
    </row>
    <row r="6285" spans="1:5" x14ac:dyDescent="0.2">
      <c r="A6285">
        <v>6224</v>
      </c>
      <c r="B6285" s="138">
        <f>'Acct Summary 7-8'!E37</f>
        <v>101804</v>
      </c>
      <c r="D6285" s="2" t="str">
        <f t="shared" si="97"/>
        <v>Error?</v>
      </c>
      <c r="E6285" s="2" t="s">
        <v>199</v>
      </c>
    </row>
    <row r="6286" spans="1:5" x14ac:dyDescent="0.2">
      <c r="A6286">
        <v>6225</v>
      </c>
      <c r="B6286" s="138">
        <f>'Acct Summary 7-8'!E38</f>
        <v>123991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237128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237128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1644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1644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238772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165480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209610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31559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8234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381207</v>
      </c>
      <c r="D6880" s="2" t="str">
        <f t="shared" si="106"/>
        <v>Error?</v>
      </c>
    </row>
    <row r="6881" spans="1:4" x14ac:dyDescent="0.2">
      <c r="A6881">
        <v>6820</v>
      </c>
      <c r="B6881" s="138">
        <f>'Expenditures 15-22'!K22</f>
        <v>381207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1213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1213</v>
      </c>
      <c r="D6940" s="2" t="str">
        <f t="shared" si="107"/>
        <v>Error?</v>
      </c>
    </row>
    <row r="6941" spans="1:4" x14ac:dyDescent="0.2">
      <c r="A6941">
        <v>6880</v>
      </c>
      <c r="B6941" s="138">
        <f>'Expenditures 15-22'!L52</f>
        <v>3000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20795</v>
      </c>
      <c r="D6993" s="2" t="str">
        <f t="shared" si="108"/>
        <v>Error?</v>
      </c>
    </row>
    <row r="6994" spans="1:4" x14ac:dyDescent="0.2">
      <c r="A6994">
        <v>6933</v>
      </c>
      <c r="B6994" s="138">
        <f>'Expenditures 15-22'!K91</f>
        <v>20795</v>
      </c>
      <c r="D6994" s="2" t="str">
        <f t="shared" si="108"/>
        <v>Error?</v>
      </c>
    </row>
    <row r="6995" spans="1:4" x14ac:dyDescent="0.2">
      <c r="A6995">
        <v>6934</v>
      </c>
      <c r="B6995" s="138">
        <f>'Expenditures 15-22'!H92</f>
        <v>20795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23707</v>
      </c>
      <c r="D7009" s="2" t="str">
        <f t="shared" si="108"/>
        <v>Error?</v>
      </c>
    </row>
    <row r="7010" spans="1:4" x14ac:dyDescent="0.2">
      <c r="A7010">
        <v>6949</v>
      </c>
      <c r="B7010" s="138">
        <f>'Expenditures 15-22'!K99</f>
        <v>23707</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23707</v>
      </c>
      <c r="D7012" s="2" t="str">
        <f t="shared" si="108"/>
        <v>Error?</v>
      </c>
    </row>
    <row r="7013" spans="1:4" x14ac:dyDescent="0.2">
      <c r="A7013">
        <v>6952</v>
      </c>
      <c r="B7013" s="138">
        <f>'Expenditures 15-22'!K100</f>
        <v>23707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49028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238772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12383</v>
      </c>
      <c r="D7073" s="2" t="str">
        <f t="shared" si="109"/>
        <v>Error?</v>
      </c>
    </row>
    <row r="7074" spans="1:4" x14ac:dyDescent="0.2">
      <c r="A7074">
        <v>7013</v>
      </c>
      <c r="B7074" s="138">
        <f>'Expenditures 15-22'!K216</f>
        <v>12383</v>
      </c>
      <c r="D7074" s="2" t="str">
        <f t="shared" si="109"/>
        <v>Error?</v>
      </c>
    </row>
    <row r="7075" spans="1:4" x14ac:dyDescent="0.2">
      <c r="A7075">
        <v>7014</v>
      </c>
      <c r="B7075" s="138">
        <f>'Expenditures 15-22'!D218</f>
        <v>4256</v>
      </c>
      <c r="D7075" s="2" t="str">
        <f t="shared" si="109"/>
        <v>Error?</v>
      </c>
    </row>
    <row r="7076" spans="1:4" x14ac:dyDescent="0.2">
      <c r="A7076">
        <v>7015</v>
      </c>
      <c r="B7076" s="138">
        <f>'Expenditures 15-22'!K218</f>
        <v>4256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118</v>
      </c>
      <c r="D7079" s="2" t="str">
        <f t="shared" si="109"/>
        <v>Error?</v>
      </c>
    </row>
    <row r="7080" spans="1:4" x14ac:dyDescent="0.2">
      <c r="A7080">
        <v>7019</v>
      </c>
      <c r="B7080" s="138">
        <f>'Expenditures 15-22'!K226</f>
        <v>118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5750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5750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43278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43278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49028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49028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49028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49028</v>
      </c>
      <c r="D7224" s="2" t="str">
        <f t="shared" si="111"/>
        <v>Error?</v>
      </c>
    </row>
    <row r="7225" spans="1:4" x14ac:dyDescent="0.2">
      <c r="A7225">
        <v>7164</v>
      </c>
      <c r="B7225" s="138">
        <f>'Expenditures 15-22'!K343</f>
        <v>189744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25364</v>
      </c>
      <c r="D7246" s="2" t="str">
        <f t="shared" si="112"/>
        <v>Error?</v>
      </c>
    </row>
    <row r="7247" spans="1:4" x14ac:dyDescent="0.2">
      <c r="A7247">
        <f t="shared" si="113"/>
        <v>7186</v>
      </c>
      <c r="B7247" s="138">
        <f>'Expenditures 15-22'!E7</f>
        <v>1018</v>
      </c>
      <c r="D7247" s="2" t="str">
        <f t="shared" si="112"/>
        <v>Error?</v>
      </c>
    </row>
    <row r="7248" spans="1:4" x14ac:dyDescent="0.2">
      <c r="A7248">
        <f t="shared" si="113"/>
        <v>7187</v>
      </c>
      <c r="B7248" s="138">
        <f>'Expenditures 15-22'!F7</f>
        <v>15890</v>
      </c>
      <c r="D7248" s="2" t="str">
        <f t="shared" si="112"/>
        <v>Error?</v>
      </c>
    </row>
    <row r="7249" spans="1:4" x14ac:dyDescent="0.2">
      <c r="A7249">
        <f t="shared" si="113"/>
        <v>7188</v>
      </c>
      <c r="B7249" s="138">
        <f>'Expenditures 15-22'!G7</f>
        <v>1858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25479</v>
      </c>
      <c r="D7251" s="2" t="str">
        <f t="shared" si="112"/>
        <v>Error?</v>
      </c>
    </row>
    <row r="7252" spans="1:4" x14ac:dyDescent="0.2">
      <c r="A7252">
        <f t="shared" si="113"/>
        <v>7191</v>
      </c>
      <c r="B7252" s="138">
        <f>'Expenditures 15-22'!D9</f>
        <v>6080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8106</v>
      </c>
      <c r="D7263" s="2" t="str">
        <f t="shared" si="112"/>
        <v>Error?</v>
      </c>
    </row>
    <row r="7264" spans="1:4" x14ac:dyDescent="0.2">
      <c r="A7264">
        <f t="shared" si="113"/>
        <v>7203</v>
      </c>
      <c r="B7264" s="138">
        <f>'Expenditures 15-22'!D17</f>
        <v>118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421914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35554</v>
      </c>
      <c r="D7657" s="2" t="str">
        <f t="shared" si="124"/>
        <v>Error?</v>
      </c>
      <c r="E7657" s="2" t="s">
        <v>880</v>
      </c>
    </row>
    <row r="7658" spans="1:5" x14ac:dyDescent="0.2">
      <c r="A7658">
        <v>7597</v>
      </c>
      <c r="B7658" s="138">
        <f>'Acct Summary 7-8'!D57</f>
        <v>66250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4613</v>
      </c>
      <c r="D7666" s="2" t="str">
        <f t="shared" si="124"/>
        <v>Error?</v>
      </c>
      <c r="E7666" s="2" t="s">
        <v>880</v>
      </c>
    </row>
    <row r="7667" spans="1:5" x14ac:dyDescent="0.2">
      <c r="A7667">
        <v>7606</v>
      </c>
      <c r="B7667" s="138">
        <f>'Acct Summary 7-8'!D61</f>
        <v>119378</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18474</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5425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5425</v>
      </c>
      <c r="D7719" s="2" t="str">
        <f t="shared" si="126"/>
        <v>Error?</v>
      </c>
      <c r="E7719" s="2" t="s">
        <v>880</v>
      </c>
    </row>
    <row r="7720" spans="1:6" x14ac:dyDescent="0.2">
      <c r="A7720">
        <v>7659</v>
      </c>
      <c r="B7720" s="138">
        <f>'Rest Tax Levies-Tort Im 25'!H14</f>
        <v>9345</v>
      </c>
      <c r="D7720" s="2" t="str">
        <f t="shared" si="126"/>
        <v>Error?</v>
      </c>
      <c r="E7720" s="2" t="s">
        <v>880</v>
      </c>
    </row>
    <row r="7721" spans="1:6" x14ac:dyDescent="0.2">
      <c r="A7721">
        <v>7660</v>
      </c>
      <c r="B7721" s="138">
        <f>'Rest Tax Levies-Tort Im 25'!K14</f>
        <v>5425</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showZeros="0" topLeftCell="A32" zoomScale="110" zoomScaleNormal="110" workbookViewId="0">
      <selection activeCell="F55" sqref="F5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1252</v>
      </c>
      <c r="B2" s="2399"/>
      <c r="C2" s="2399"/>
      <c r="D2" s="2399"/>
      <c r="E2" s="2399"/>
      <c r="F2" s="2399"/>
      <c r="G2" s="2399"/>
      <c r="H2" s="2399"/>
      <c r="I2" s="2399"/>
      <c r="J2" s="2399"/>
      <c r="K2" s="2399"/>
      <c r="L2" s="2399"/>
    </row>
    <row r="3" spans="1:29" ht="13.5" customHeight="1" x14ac:dyDescent="0.2">
      <c r="A3" s="2430" t="s">
        <v>1251</v>
      </c>
      <c r="B3" s="2430"/>
      <c r="C3" s="2430"/>
      <c r="D3" s="2430"/>
      <c r="E3" s="2430"/>
      <c r="F3" s="2430"/>
      <c r="G3" s="2430"/>
      <c r="H3" s="2430"/>
      <c r="I3" s="2430"/>
      <c r="J3" s="2430"/>
      <c r="K3" s="2430"/>
      <c r="L3" s="2430"/>
    </row>
    <row r="4" spans="1:29" ht="13.5" customHeight="1" x14ac:dyDescent="0.2">
      <c r="A4" s="2399" t="s">
        <v>1798</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1" t="str">
        <f>COVER!A17</f>
        <v>MADISON COMMUNITY UNIT SCHOOL DISTRICT NO. 12</v>
      </c>
      <c r="B7" s="2422"/>
      <c r="C7" s="2422"/>
      <c r="D7" s="2423"/>
      <c r="E7" s="2424" t="str">
        <f>COVER!A13</f>
        <v>41-057-0120-26</v>
      </c>
      <c r="F7" s="2425"/>
      <c r="G7" s="2431" t="str">
        <f>COVER!T23</f>
        <v>066-005060</v>
      </c>
      <c r="H7" s="2432"/>
      <c r="I7" s="2432"/>
      <c r="J7" s="2432"/>
      <c r="K7" s="2432"/>
      <c r="L7" s="2433"/>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4"/>
      <c r="B9" s="2435"/>
      <c r="C9" s="2435"/>
      <c r="D9" s="2435"/>
      <c r="E9" s="2435"/>
      <c r="F9" s="2436"/>
      <c r="G9" s="2405" t="str">
        <f>COVER!T13</f>
        <v>DENNIS ROSE &amp; ASSOCIATES, P.C.</v>
      </c>
      <c r="H9" s="2437"/>
      <c r="I9" s="2437"/>
      <c r="J9" s="2437"/>
      <c r="K9" s="2437"/>
      <c r="L9" s="2438"/>
    </row>
    <row r="10" spans="1:29" ht="13.5" customHeight="1" x14ac:dyDescent="0.2">
      <c r="A10" s="2411">
        <f>COVER!A38</f>
        <v>0</v>
      </c>
      <c r="B10" s="2412"/>
      <c r="C10" s="2412"/>
      <c r="D10" s="2412"/>
      <c r="E10" s="2412"/>
      <c r="F10" s="2413"/>
      <c r="G10" s="2405" t="str">
        <f>COVER!T17</f>
        <v xml:space="preserve">1904 STATE STREET </v>
      </c>
      <c r="H10" s="2406"/>
      <c r="I10" s="2406"/>
      <c r="J10" s="2406"/>
      <c r="K10" s="2406"/>
      <c r="L10" s="2407"/>
    </row>
    <row r="11" spans="1:29" ht="13.5" customHeight="1" x14ac:dyDescent="0.2">
      <c r="A11" s="1185" t="s">
        <v>1598</v>
      </c>
      <c r="B11" s="1186"/>
      <c r="C11" s="1187"/>
      <c r="D11" s="1192"/>
      <c r="E11" s="1187"/>
      <c r="F11" s="1191"/>
      <c r="G11" s="2405" t="str">
        <f>COVER!T19</f>
        <v>ALTON</v>
      </c>
      <c r="H11" s="2406"/>
      <c r="I11" s="2406"/>
      <c r="J11" s="2406"/>
      <c r="K11" s="2406"/>
      <c r="L11" s="2407"/>
    </row>
    <row r="12" spans="1:29" ht="13.5" customHeight="1" x14ac:dyDescent="0.2">
      <c r="A12" s="2414" t="s">
        <v>1597</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1599</v>
      </c>
      <c r="H13" s="2401"/>
      <c r="I13" s="2417" t="str">
        <f>COVER!T25</f>
        <v>DROSECPA@DRA-CPA.COM</v>
      </c>
      <c r="J13" s="2418"/>
      <c r="K13" s="2418"/>
      <c r="L13" s="2419"/>
    </row>
    <row r="14" spans="1:29" ht="13.5" customHeight="1" x14ac:dyDescent="0.2">
      <c r="A14" s="2405" t="str">
        <f>COVER!A19</f>
        <v>602 FARRISH ST.</v>
      </c>
      <c r="B14" s="2406"/>
      <c r="C14" s="2406"/>
      <c r="D14" s="2406"/>
      <c r="E14" s="2406"/>
      <c r="F14" s="2407"/>
      <c r="G14" s="1196" t="s">
        <v>1246</v>
      </c>
      <c r="H14" s="1194"/>
      <c r="I14" s="1194"/>
      <c r="J14" s="1194"/>
      <c r="K14" s="1194"/>
      <c r="L14" s="1195"/>
    </row>
    <row r="15" spans="1:29" ht="13.5" customHeight="1" x14ac:dyDescent="0.2">
      <c r="A15" s="2405" t="str">
        <f>COVER!A21</f>
        <v>MADISON</v>
      </c>
      <c r="B15" s="2406"/>
      <c r="C15" s="2406"/>
      <c r="D15" s="2406"/>
      <c r="E15" s="2406"/>
      <c r="F15" s="2407"/>
      <c r="G15" s="2402" t="str">
        <f>COVER!T15</f>
        <v>DENNIS ROSE</v>
      </c>
      <c r="H15" s="2403"/>
      <c r="I15" s="2403"/>
      <c r="J15" s="2403"/>
      <c r="K15" s="2403"/>
      <c r="L15" s="2404"/>
    </row>
    <row r="16" spans="1:29" ht="12.2" customHeight="1" x14ac:dyDescent="0.2">
      <c r="A16" s="2427">
        <f>COVER!A25</f>
        <v>62060</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1245</v>
      </c>
      <c r="H17" s="1194"/>
      <c r="I17" s="1194"/>
      <c r="J17" s="1194"/>
      <c r="K17" s="1198" t="s">
        <v>1244</v>
      </c>
      <c r="L17" s="1191"/>
      <c r="M17" s="1184"/>
    </row>
    <row r="18" spans="1:13" ht="12.2" customHeight="1" x14ac:dyDescent="0.2">
      <c r="A18" s="2411"/>
      <c r="B18" s="2412"/>
      <c r="C18" s="2412"/>
      <c r="D18" s="2412"/>
      <c r="E18" s="2412"/>
      <c r="F18" s="2413"/>
      <c r="G18" s="2421" t="str">
        <f>COVER!T21</f>
        <v>618-465-4999</v>
      </c>
      <c r="H18" s="2422"/>
      <c r="I18" s="2422"/>
      <c r="J18" s="2422"/>
      <c r="K18" s="2421" t="str">
        <f>COVER!X21</f>
        <v>618-465-5050</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5" firstPageNumber="72" fitToHeight="0" orientation="portrait" useFirstPageNumber="1" r:id="rId1"/>
  <headerFooter>
    <oddHeader xml:space="preserve">&amp;C
</oddHeader>
    <oddFooter>&amp;C&amp;"Times New Roman,Regular"See Independent Auditor's Reports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22" zoomScale="125" zoomScaleNormal="125" workbookViewId="0">
      <selection activeCell="I33" sqref="I3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MADISON COMMUNITY UNIT SCHOOL DISTRICT NO. 12</v>
      </c>
      <c r="B1" s="2420"/>
      <c r="C1" s="2420"/>
      <c r="D1" s="2420"/>
    </row>
    <row r="2" spans="1:11" s="1215" customFormat="1" ht="12.75" x14ac:dyDescent="0.2">
      <c r="A2" s="2444" t="str">
        <f>'Single Audit Cover'!E7</f>
        <v>41-057-0120-26</v>
      </c>
      <c r="B2" s="2445"/>
      <c r="C2" s="2445"/>
      <c r="D2" s="2445"/>
    </row>
    <row r="3" spans="1:11" s="1215" customFormat="1" ht="12.75" x14ac:dyDescent="0.2">
      <c r="A3" s="2443" t="s">
        <v>1592</v>
      </c>
      <c r="B3" s="2420"/>
      <c r="C3" s="2420"/>
      <c r="D3" s="2420"/>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75" right="0.75" top="1" bottom="0.5" header="0.5" footer="0.5"/>
  <pageSetup scale="64" firstPageNumber="36" fitToHeight="0" orientation="portrait" r:id="rId5"/>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MADISON COMMUNITY UNIT SCHOOL DISTRICT NO. 12</v>
      </c>
      <c r="B1" s="2447"/>
      <c r="C1" s="2447"/>
      <c r="D1" s="2447"/>
      <c r="E1" s="2447"/>
    </row>
    <row r="2" spans="1:5" x14ac:dyDescent="0.2">
      <c r="A2" s="2448" t="str">
        <f>'Single Audit Cover'!E7</f>
        <v>41-057-0120-26</v>
      </c>
      <c r="B2" s="2448"/>
      <c r="C2" s="2448"/>
      <c r="D2" s="2448"/>
      <c r="E2" s="2448"/>
    </row>
    <row r="3" spans="1:5" ht="4.5" customHeight="1" x14ac:dyDescent="0.2"/>
    <row r="4" spans="1:5" x14ac:dyDescent="0.2">
      <c r="A4" s="2447" t="s">
        <v>1306</v>
      </c>
      <c r="B4" s="2447"/>
      <c r="C4" s="2447"/>
      <c r="D4" s="2447"/>
      <c r="E4" s="2447"/>
    </row>
    <row r="5" spans="1:5" x14ac:dyDescent="0.2">
      <c r="A5" s="2450" t="str">
        <f>'Single Audit Cover'!A4</f>
        <v>Year Ending June 30, 2018</v>
      </c>
      <c r="B5" s="2450"/>
      <c r="C5" s="2450"/>
      <c r="D5" s="2450"/>
      <c r="E5" s="2450"/>
    </row>
    <row r="6" spans="1:5" x14ac:dyDescent="0.2">
      <c r="A6" s="2447" t="s">
        <v>1305</v>
      </c>
      <c r="B6" s="2447"/>
      <c r="C6" s="2447"/>
      <c r="D6" s="2447"/>
      <c r="E6" s="2447"/>
    </row>
    <row r="8" spans="1:5" x14ac:dyDescent="0.2">
      <c r="A8" s="1260" t="s">
        <v>1304</v>
      </c>
    </row>
    <row r="10" spans="1:5" x14ac:dyDescent="0.2">
      <c r="A10" s="1261" t="s">
        <v>1303</v>
      </c>
      <c r="B10" s="1262" t="s">
        <v>1302</v>
      </c>
      <c r="C10" s="1262"/>
      <c r="D10" s="1263">
        <f>SUM('Acct Summary 7-8'!C7:K7)</f>
        <v>1709829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25915</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-24301</v>
      </c>
    </row>
    <row r="19" spans="1:4" ht="13.5" thickBot="1" x14ac:dyDescent="0.25">
      <c r="A19" s="1265" t="s">
        <v>1296</v>
      </c>
      <c r="D19" s="1266">
        <f>SUM(D10:D17)</f>
        <v>1711443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1294</v>
      </c>
      <c r="D32" s="1263">
        <f>SUM(D19:D30)</f>
        <v>1711443</v>
      </c>
    </row>
    <row r="33" spans="1:4" x14ac:dyDescent="0.2">
      <c r="D33" s="1269"/>
    </row>
    <row r="34" spans="1:4" x14ac:dyDescent="0.2">
      <c r="A34" s="317" t="s">
        <v>1293</v>
      </c>
    </row>
    <row r="35" spans="1:4" x14ac:dyDescent="0.2">
      <c r="A35" s="317" t="s">
        <v>1292</v>
      </c>
      <c r="B35" s="1258" t="s">
        <v>1291</v>
      </c>
      <c r="D35" s="1270">
        <f>+' SEFA (4)'!F26</f>
        <v>1685528</v>
      </c>
    </row>
    <row r="37" spans="1:4" x14ac:dyDescent="0.2">
      <c r="A37" s="1260" t="s">
        <v>1290</v>
      </c>
    </row>
    <row r="39" spans="1:4" ht="13.35" customHeight="1" x14ac:dyDescent="0.2">
      <c r="A39" s="1267" t="s">
        <v>1289</v>
      </c>
    </row>
    <row r="40" spans="1:4" x14ac:dyDescent="0.2">
      <c r="A40" s="2446" t="s">
        <v>2170</v>
      </c>
      <c r="B40" s="2446"/>
      <c r="D40" s="1268">
        <v>25915</v>
      </c>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1288</v>
      </c>
      <c r="C47" s="1272"/>
      <c r="D47" s="1273">
        <f>SUM(D35:D45)</f>
        <v>1711443</v>
      </c>
    </row>
    <row r="49" spans="2:4" x14ac:dyDescent="0.2">
      <c r="B49" s="1272" t="s">
        <v>1287</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95" firstPageNumber="37" orientation="portrait" r:id="rId1"/>
  <headerFooter>
    <oddHeader xml:space="preserve">&amp;C
</oddHead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topLeftCell="A19" zoomScale="120" zoomScaleNormal="120" workbookViewId="0">
      <selection activeCell="B34" sqref="B3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MADISON COMMUNITY UNIT SCHOOL DISTRICT NO. 12</v>
      </c>
      <c r="B1" s="2460"/>
      <c r="C1" s="2460"/>
      <c r="D1" s="2460"/>
      <c r="E1" s="2460"/>
      <c r="F1" s="2460"/>
    </row>
    <row r="2" spans="1:7" ht="13.5" customHeight="1" x14ac:dyDescent="0.2">
      <c r="A2" s="2461" t="str">
        <f>'Single Audit Cover'!E7</f>
        <v>41-057-0120-26</v>
      </c>
      <c r="B2" s="2461"/>
      <c r="C2" s="2461"/>
      <c r="D2" s="2461"/>
      <c r="E2" s="2461"/>
      <c r="F2" s="2461"/>
      <c r="G2" s="1275"/>
    </row>
    <row r="3" spans="1:7" ht="15.75" customHeight="1" x14ac:dyDescent="0.2">
      <c r="A3" s="2462" t="s">
        <v>1332</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1830</v>
      </c>
      <c r="C6" s="317"/>
      <c r="D6" s="317"/>
    </row>
    <row r="7" spans="1:7" ht="60.95" customHeight="1" x14ac:dyDescent="0.2">
      <c r="A7" s="2459" t="s">
        <v>2160</v>
      </c>
      <c r="B7" s="2459"/>
      <c r="C7" s="2459"/>
      <c r="D7" s="2459"/>
      <c r="E7" s="2459"/>
      <c r="F7" s="2459"/>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2073</v>
      </c>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21" customHeight="1" x14ac:dyDescent="0.2">
      <c r="A13" s="2459" t="s">
        <v>2159</v>
      </c>
      <c r="B13" s="2459"/>
      <c r="C13" s="2459"/>
      <c r="D13" s="2459"/>
      <c r="E13" s="2459"/>
      <c r="F13" s="2459"/>
    </row>
    <row r="14" spans="1:7" ht="9.75" customHeight="1" x14ac:dyDescent="0.2">
      <c r="C14" s="1260"/>
      <c r="D14" s="1260"/>
    </row>
    <row r="15" spans="1:7" ht="13.5" customHeight="1" x14ac:dyDescent="0.2">
      <c r="C15" s="1871" t="s">
        <v>1331</v>
      </c>
      <c r="D15" s="2457" t="s">
        <v>1330</v>
      </c>
      <c r="E15" s="2457"/>
      <c r="F15" s="2457"/>
    </row>
    <row r="16" spans="1:7" ht="13.5" customHeight="1" x14ac:dyDescent="0.2">
      <c r="A16" s="1282"/>
      <c r="B16" s="1276" t="s">
        <v>1329</v>
      </c>
      <c r="C16" s="1871" t="s">
        <v>1328</v>
      </c>
      <c r="D16" s="2458" t="s">
        <v>1669</v>
      </c>
      <c r="E16" s="2458"/>
      <c r="F16" s="2458"/>
    </row>
    <row r="17" spans="1:6" ht="20.45" customHeight="1" x14ac:dyDescent="0.2">
      <c r="A17" s="1283"/>
      <c r="B17" s="1284" t="s">
        <v>2088</v>
      </c>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3" t="s">
        <v>2087</v>
      </c>
      <c r="B32" s="2453"/>
      <c r="C32" s="2453"/>
      <c r="D32" s="2453"/>
      <c r="E32" s="2453"/>
      <c r="F32" s="2453"/>
    </row>
    <row r="33" spans="1:6" ht="13.5" customHeight="1" x14ac:dyDescent="0.2">
      <c r="A33" s="328" t="s">
        <v>1508</v>
      </c>
      <c r="B33" s="328"/>
      <c r="C33" s="1288">
        <v>25915</v>
      </c>
      <c r="D33" s="1928"/>
      <c r="E33" s="1286"/>
    </row>
    <row r="34" spans="1:6" ht="13.5" customHeight="1" x14ac:dyDescent="0.2">
      <c r="A34" s="328" t="s">
        <v>1945</v>
      </c>
      <c r="B34" s="328"/>
      <c r="C34" s="1289">
        <v>0</v>
      </c>
      <c r="D34" s="1928" t="s">
        <v>1670</v>
      </c>
      <c r="E34" s="2454">
        <f>+C33+C34</f>
        <v>25915</v>
      </c>
      <c r="F34" s="2455"/>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t="s">
        <v>101</v>
      </c>
      <c r="D38" s="1928"/>
      <c r="E38" s="1286"/>
    </row>
    <row r="39" spans="1:6" ht="14.25" customHeight="1" x14ac:dyDescent="0.2">
      <c r="A39" s="328"/>
      <c r="B39" s="328" t="s">
        <v>1510</v>
      </c>
      <c r="C39" s="1292" t="s">
        <v>101</v>
      </c>
      <c r="D39" s="1928"/>
      <c r="E39" s="1286"/>
    </row>
    <row r="40" spans="1:6" ht="14.25" customHeight="1" x14ac:dyDescent="0.2">
      <c r="A40" s="328"/>
      <c r="B40" s="328" t="s">
        <v>1511</v>
      </c>
      <c r="C40" s="1292" t="s">
        <v>101</v>
      </c>
      <c r="D40" s="1928"/>
      <c r="E40" s="1286"/>
    </row>
    <row r="41" spans="1:6" ht="14.25" customHeight="1" x14ac:dyDescent="0.2">
      <c r="A41" s="328"/>
      <c r="B41" s="328" t="s">
        <v>1512</v>
      </c>
      <c r="C41" s="1292" t="s">
        <v>101</v>
      </c>
      <c r="D41" s="1928"/>
      <c r="E41" s="1286"/>
    </row>
    <row r="42" spans="1:6" ht="14.25" customHeight="1" x14ac:dyDescent="0.2">
      <c r="A42" s="328" t="s">
        <v>1513</v>
      </c>
      <c r="B42" s="328"/>
      <c r="C42" s="1926" t="s">
        <v>101</v>
      </c>
      <c r="D42" s="1928"/>
      <c r="E42" s="1286"/>
    </row>
    <row r="43" spans="1:6" ht="14.25" customHeight="1" x14ac:dyDescent="0.2">
      <c r="A43" s="328" t="s">
        <v>1514</v>
      </c>
      <c r="B43" s="328"/>
      <c r="C43" s="1293" t="s">
        <v>101</v>
      </c>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1671</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1631</v>
      </c>
      <c r="C51" s="2451"/>
      <c r="D51" s="2451"/>
    </row>
    <row r="52" spans="1:5" ht="14.25" customHeight="1" x14ac:dyDescent="0.2">
      <c r="A52" s="1301"/>
      <c r="B52" s="2451"/>
      <c r="C52" s="2451"/>
      <c r="D52" s="245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1" bottom="0.5" header="0.5" footer="0.5"/>
  <pageSetup scale="79" firstPageNumber="39" orientation="portrait" r:id="rId1"/>
  <headerFooter>
    <oddHeader xml:space="preserve">&amp;C
</oddHead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2" sqref="A2:M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MADISON COMMUNITY UNIT SCHOOL DISTRICT NO. 12</v>
      </c>
      <c r="C1" s="2464"/>
      <c r="D1" s="2464"/>
      <c r="E1" s="2464"/>
      <c r="F1" s="2464"/>
      <c r="G1" s="2464"/>
      <c r="H1" s="2464"/>
      <c r="I1" s="2464"/>
      <c r="J1" s="2464"/>
      <c r="K1" s="2464"/>
      <c r="L1" s="2464"/>
      <c r="M1" s="2464"/>
    </row>
    <row r="2" spans="2:14" ht="15" x14ac:dyDescent="0.2">
      <c r="B2" s="2461" t="str">
        <f>'Single Audit Cover'!E7</f>
        <v>41-057-0120-26</v>
      </c>
      <c r="C2" s="2461"/>
      <c r="D2" s="2461"/>
      <c r="E2" s="2461"/>
      <c r="F2" s="2461"/>
      <c r="G2" s="2461"/>
      <c r="H2" s="2461"/>
      <c r="I2" s="2461"/>
      <c r="J2" s="2461"/>
      <c r="K2" s="2461"/>
      <c r="L2" s="2461"/>
      <c r="M2" s="2461"/>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2089</v>
      </c>
      <c r="C11" s="1338"/>
      <c r="D11" s="1339"/>
      <c r="E11" s="1340"/>
      <c r="F11" s="1340"/>
      <c r="G11" s="1340"/>
      <c r="H11" s="1340"/>
      <c r="I11" s="1340"/>
      <c r="J11" s="1340"/>
      <c r="K11" s="1340"/>
      <c r="L11" s="1340"/>
      <c r="M11" s="1340"/>
    </row>
    <row r="12" spans="2:14" ht="20.100000000000001" customHeight="1" x14ac:dyDescent="0.2">
      <c r="B12" s="1337" t="s">
        <v>2090</v>
      </c>
      <c r="C12" s="1341"/>
      <c r="D12" s="1342"/>
      <c r="E12" s="1343"/>
      <c r="F12" s="1343"/>
      <c r="G12" s="1343"/>
      <c r="H12" s="1343"/>
      <c r="I12" s="1343"/>
      <c r="J12" s="1343"/>
      <c r="K12" s="1343"/>
      <c r="L12" s="1340"/>
      <c r="M12" s="1343"/>
    </row>
    <row r="13" spans="2:14" ht="20.100000000000001" customHeight="1" x14ac:dyDescent="0.2">
      <c r="B13" s="1337" t="s">
        <v>2171</v>
      </c>
      <c r="C13" s="1341" t="s">
        <v>2091</v>
      </c>
      <c r="D13" s="1342" t="s">
        <v>2092</v>
      </c>
      <c r="E13" s="1343">
        <v>581069</v>
      </c>
      <c r="F13" s="1343">
        <v>392147</v>
      </c>
      <c r="G13" s="1343">
        <v>687351</v>
      </c>
      <c r="H13" s="1343"/>
      <c r="I13" s="1343">
        <v>285865</v>
      </c>
      <c r="J13" s="1343"/>
      <c r="K13" s="1343"/>
      <c r="L13" s="1340">
        <f t="shared" ref="L13:L21" si="0">+G13+I13+K13</f>
        <v>973216</v>
      </c>
      <c r="M13" s="1343">
        <v>973216</v>
      </c>
    </row>
    <row r="14" spans="2:14" ht="20.100000000000001" customHeight="1" x14ac:dyDescent="0.2">
      <c r="B14" s="1337" t="s">
        <v>2171</v>
      </c>
      <c r="C14" s="1341" t="s">
        <v>2091</v>
      </c>
      <c r="D14" s="1342" t="s">
        <v>2093</v>
      </c>
      <c r="E14" s="1343"/>
      <c r="F14" s="1343">
        <v>396583</v>
      </c>
      <c r="G14" s="1343"/>
      <c r="H14" s="1343"/>
      <c r="I14" s="1343">
        <v>626684</v>
      </c>
      <c r="J14" s="1343"/>
      <c r="K14" s="1343"/>
      <c r="L14" s="1340">
        <f t="shared" si="0"/>
        <v>626684</v>
      </c>
      <c r="M14" s="1343">
        <v>735815</v>
      </c>
    </row>
    <row r="15" spans="2:14" ht="20.100000000000001" customHeight="1" x14ac:dyDescent="0.2">
      <c r="B15" s="1337" t="s">
        <v>2096</v>
      </c>
      <c r="C15" s="1341" t="s">
        <v>2094</v>
      </c>
      <c r="D15" s="1342" t="s">
        <v>2095</v>
      </c>
      <c r="E15" s="1343">
        <v>129414</v>
      </c>
      <c r="F15" s="1343">
        <v>23717</v>
      </c>
      <c r="G15" s="1343">
        <v>153131</v>
      </c>
      <c r="H15" s="1343"/>
      <c r="I15" s="1343"/>
      <c r="J15" s="1343"/>
      <c r="K15" s="1343"/>
      <c r="L15" s="1340">
        <f t="shared" si="0"/>
        <v>153131</v>
      </c>
      <c r="M15" s="1343">
        <v>153131</v>
      </c>
    </row>
    <row r="16" spans="2:14" ht="20.100000000000001" customHeight="1" x14ac:dyDescent="0.2">
      <c r="B16" s="1337" t="s">
        <v>2096</v>
      </c>
      <c r="C16" s="1341" t="s">
        <v>2094</v>
      </c>
      <c r="D16" s="1342" t="s">
        <v>2097</v>
      </c>
      <c r="E16" s="1343"/>
      <c r="F16" s="1343">
        <v>60458</v>
      </c>
      <c r="G16" s="1343"/>
      <c r="H16" s="1343"/>
      <c r="I16" s="1343">
        <v>60458</v>
      </c>
      <c r="J16" s="1343"/>
      <c r="K16" s="1343"/>
      <c r="L16" s="1340">
        <f t="shared" si="0"/>
        <v>60458</v>
      </c>
      <c r="M16" s="1343">
        <v>62239</v>
      </c>
    </row>
    <row r="17" spans="2:14" ht="20.100000000000001" customHeight="1" x14ac:dyDescent="0.2">
      <c r="B17" s="1337" t="s">
        <v>2098</v>
      </c>
      <c r="C17" s="1341" t="s">
        <v>2099</v>
      </c>
      <c r="D17" s="1342" t="s">
        <v>2100</v>
      </c>
      <c r="E17" s="1343">
        <v>83396</v>
      </c>
      <c r="F17" s="1343">
        <v>33408</v>
      </c>
      <c r="G17" s="1343">
        <v>116804</v>
      </c>
      <c r="H17" s="1343"/>
      <c r="I17" s="1343"/>
      <c r="J17" s="1343"/>
      <c r="K17" s="1343"/>
      <c r="L17" s="1340">
        <f t="shared" si="0"/>
        <v>116804</v>
      </c>
      <c r="M17" s="1343">
        <v>123341</v>
      </c>
    </row>
    <row r="18" spans="2:14" ht="20.100000000000001" customHeight="1" x14ac:dyDescent="0.2">
      <c r="B18" s="1337" t="s">
        <v>2098</v>
      </c>
      <c r="C18" s="1341" t="s">
        <v>2099</v>
      </c>
      <c r="D18" s="1342" t="s">
        <v>2101</v>
      </c>
      <c r="E18" s="1343"/>
      <c r="F18" s="1343">
        <v>49530</v>
      </c>
      <c r="G18" s="1343"/>
      <c r="H18" s="1343"/>
      <c r="I18" s="1343">
        <v>95874</v>
      </c>
      <c r="J18" s="1343"/>
      <c r="K18" s="1343"/>
      <c r="L18" s="1340">
        <f t="shared" si="0"/>
        <v>95874</v>
      </c>
      <c r="M18" s="1343">
        <v>123341</v>
      </c>
    </row>
    <row r="19" spans="2:14" ht="20.100000000000001" customHeight="1" x14ac:dyDescent="0.2">
      <c r="B19" s="1337" t="s">
        <v>2102</v>
      </c>
      <c r="C19" s="1341" t="s">
        <v>2103</v>
      </c>
      <c r="D19" s="1342" t="s">
        <v>2104</v>
      </c>
      <c r="E19" s="1343"/>
      <c r="F19" s="1343">
        <v>8400</v>
      </c>
      <c r="G19" s="1343"/>
      <c r="H19" s="1343"/>
      <c r="I19" s="1343">
        <v>15200</v>
      </c>
      <c r="J19" s="1343"/>
      <c r="K19" s="1343"/>
      <c r="L19" s="1340">
        <f t="shared" si="0"/>
        <v>15200</v>
      </c>
      <c r="M19" s="1343">
        <v>22412</v>
      </c>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t="s">
        <v>2105</v>
      </c>
      <c r="C21" s="1341"/>
      <c r="D21" s="1342"/>
      <c r="E21" s="1343">
        <f>SUM(E13:E20)</f>
        <v>793879</v>
      </c>
      <c r="F21" s="1343">
        <f t="shared" ref="F21:I21" si="1">SUM(F13:F20)</f>
        <v>964243</v>
      </c>
      <c r="G21" s="1343">
        <f t="shared" si="1"/>
        <v>957286</v>
      </c>
      <c r="H21" s="1343"/>
      <c r="I21" s="1343">
        <f t="shared" si="1"/>
        <v>1084081</v>
      </c>
      <c r="J21" s="1343"/>
      <c r="K21" s="1343"/>
      <c r="L21" s="1340">
        <f t="shared" si="0"/>
        <v>2041367</v>
      </c>
      <c r="M21" s="1343">
        <f t="shared" ref="M21" si="2">SUM(M13:M20)</f>
        <v>2193495</v>
      </c>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2" sqref="A2:M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MADISON COMMUNITY UNIT SCHOOL DISTRICT NO. 12</v>
      </c>
      <c r="C1" s="2464"/>
      <c r="D1" s="2464"/>
      <c r="E1" s="2464"/>
      <c r="F1" s="2464"/>
      <c r="G1" s="2464"/>
      <c r="H1" s="2464"/>
      <c r="I1" s="2464"/>
      <c r="J1" s="2464"/>
      <c r="K1" s="2464"/>
      <c r="L1" s="2464"/>
      <c r="M1" s="2464"/>
    </row>
    <row r="2" spans="2:14" ht="15" x14ac:dyDescent="0.2">
      <c r="B2" s="2461" t="str">
        <f>'Single Audit Cover'!E7</f>
        <v>41-057-0120-26</v>
      </c>
      <c r="C2" s="2461"/>
      <c r="D2" s="2461"/>
      <c r="E2" s="2461"/>
      <c r="F2" s="2461"/>
      <c r="G2" s="2461"/>
      <c r="H2" s="2461"/>
      <c r="I2" s="2461"/>
      <c r="J2" s="2461"/>
      <c r="K2" s="2461"/>
      <c r="L2" s="2461"/>
      <c r="M2" s="2461"/>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2106</v>
      </c>
      <c r="C11" s="1338"/>
      <c r="D11" s="1339"/>
      <c r="E11" s="1340"/>
      <c r="F11" s="1340"/>
      <c r="G11" s="1340"/>
      <c r="H11" s="1340"/>
      <c r="I11" s="1340"/>
      <c r="J11" s="1340"/>
      <c r="K11" s="1340"/>
      <c r="L11" s="1340"/>
      <c r="M11" s="1340"/>
    </row>
    <row r="12" spans="2:14" ht="20.100000000000001" customHeight="1" x14ac:dyDescent="0.2">
      <c r="B12" s="1337" t="s">
        <v>2107</v>
      </c>
      <c r="C12" s="1341">
        <v>84.027000000000001</v>
      </c>
      <c r="D12" s="1342" t="s">
        <v>2108</v>
      </c>
      <c r="E12" s="1343">
        <v>20243</v>
      </c>
      <c r="F12" s="1343">
        <v>5717</v>
      </c>
      <c r="G12" s="1343">
        <v>25960</v>
      </c>
      <c r="H12" s="1343"/>
      <c r="I12" s="1343"/>
      <c r="J12" s="1343"/>
      <c r="K12" s="1343"/>
      <c r="L12" s="1340">
        <f t="shared" ref="L12:L26" si="0">+G12+I12+K12</f>
        <v>25960</v>
      </c>
      <c r="M12" s="1343">
        <v>25960</v>
      </c>
    </row>
    <row r="13" spans="2:14" ht="20.100000000000001" customHeight="1" x14ac:dyDescent="0.2">
      <c r="B13" s="1337" t="s">
        <v>2107</v>
      </c>
      <c r="C13" s="1341">
        <v>84.027000000000001</v>
      </c>
      <c r="D13" s="1342" t="s">
        <v>2109</v>
      </c>
      <c r="E13" s="1343"/>
      <c r="F13" s="1343">
        <v>9352</v>
      </c>
      <c r="G13" s="1343"/>
      <c r="H13" s="1343"/>
      <c r="I13" s="1343">
        <v>22440</v>
      </c>
      <c r="J13" s="1343"/>
      <c r="K13" s="1343"/>
      <c r="L13" s="1340">
        <f t="shared" si="0"/>
        <v>22440</v>
      </c>
      <c r="M13" s="1343">
        <v>24447</v>
      </c>
    </row>
    <row r="14" spans="2:14" ht="20.100000000000001" customHeight="1" x14ac:dyDescent="0.2">
      <c r="B14" s="1337" t="s">
        <v>2110</v>
      </c>
      <c r="C14" s="1341">
        <v>84.027000000000001</v>
      </c>
      <c r="D14" s="1342" t="s">
        <v>2111</v>
      </c>
      <c r="E14" s="1343">
        <v>95007</v>
      </c>
      <c r="F14" s="1343">
        <v>56521</v>
      </c>
      <c r="G14" s="1343">
        <v>151528</v>
      </c>
      <c r="H14" s="1343"/>
      <c r="I14" s="1343"/>
      <c r="J14" s="1343"/>
      <c r="K14" s="1343"/>
      <c r="L14" s="1340">
        <f t="shared" si="0"/>
        <v>151528</v>
      </c>
      <c r="M14" s="1343">
        <v>167477</v>
      </c>
    </row>
    <row r="15" spans="2:14" ht="20.100000000000001" customHeight="1" x14ac:dyDescent="0.2">
      <c r="B15" s="1337" t="s">
        <v>2110</v>
      </c>
      <c r="C15" s="1341">
        <v>84.027000000000001</v>
      </c>
      <c r="D15" s="1342" t="s">
        <v>2112</v>
      </c>
      <c r="E15" s="1343"/>
      <c r="F15" s="1343">
        <v>44851</v>
      </c>
      <c r="G15" s="1343"/>
      <c r="H15" s="1343"/>
      <c r="I15" s="1343">
        <v>215756</v>
      </c>
      <c r="J15" s="1343"/>
      <c r="K15" s="1343"/>
      <c r="L15" s="1340">
        <f t="shared" si="0"/>
        <v>215756</v>
      </c>
      <c r="M15" s="1343">
        <v>260837</v>
      </c>
    </row>
    <row r="16" spans="2:14" ht="20.100000000000001" customHeight="1" x14ac:dyDescent="0.2">
      <c r="B16" s="1337" t="s">
        <v>2113</v>
      </c>
      <c r="C16" s="1341"/>
      <c r="D16" s="1342"/>
      <c r="E16" s="1343">
        <f>SUM(E12:E15)</f>
        <v>115250</v>
      </c>
      <c r="F16" s="1343">
        <f t="shared" ref="F16:I16" si="1">SUM(F12:F15)</f>
        <v>116441</v>
      </c>
      <c r="G16" s="1343">
        <f t="shared" si="1"/>
        <v>177488</v>
      </c>
      <c r="H16" s="1343"/>
      <c r="I16" s="1343">
        <f t="shared" si="1"/>
        <v>238196</v>
      </c>
      <c r="J16" s="1343"/>
      <c r="K16" s="1343"/>
      <c r="L16" s="1340">
        <f t="shared" si="0"/>
        <v>415684</v>
      </c>
      <c r="M16" s="1343">
        <f t="shared" ref="M16" si="2">SUM(M12:M15)</f>
        <v>478721</v>
      </c>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t="s">
        <v>2114</v>
      </c>
      <c r="C18" s="1341"/>
      <c r="D18" s="1342"/>
      <c r="E18" s="1343"/>
      <c r="F18" s="1343"/>
      <c r="G18" s="1343"/>
      <c r="H18" s="1343"/>
      <c r="I18" s="1343"/>
      <c r="J18" s="1343"/>
      <c r="K18" s="1343"/>
      <c r="L18" s="1340"/>
      <c r="M18" s="1343"/>
    </row>
    <row r="19" spans="2:14" ht="20.100000000000001" customHeight="1" x14ac:dyDescent="0.2">
      <c r="B19" s="1337" t="s">
        <v>2115</v>
      </c>
      <c r="C19" s="1341">
        <v>84.212999999999994</v>
      </c>
      <c r="D19" s="1342" t="s">
        <v>2116</v>
      </c>
      <c r="E19" s="1343"/>
      <c r="F19" s="1343">
        <v>18171</v>
      </c>
      <c r="G19" s="1343"/>
      <c r="H19" s="1343"/>
      <c r="I19" s="1343">
        <v>18171</v>
      </c>
      <c r="J19" s="1343"/>
      <c r="K19" s="1343"/>
      <c r="L19" s="1340">
        <f t="shared" si="0"/>
        <v>18171</v>
      </c>
      <c r="M19" s="1343">
        <v>18171</v>
      </c>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t="s">
        <v>2117</v>
      </c>
      <c r="C21" s="1341"/>
      <c r="D21" s="1342"/>
      <c r="E21" s="1343">
        <f>+E19+E16+' SEFA'!E21</f>
        <v>909129</v>
      </c>
      <c r="F21" s="1343">
        <f>+F19+F16+' SEFA'!F21</f>
        <v>1098855</v>
      </c>
      <c r="G21" s="1343">
        <f>+G19+G16+' SEFA'!G21</f>
        <v>1134774</v>
      </c>
      <c r="H21" s="1343">
        <f>+H19+H16+' SEFA'!H21</f>
        <v>0</v>
      </c>
      <c r="I21" s="1343">
        <f>+I19+I16+' SEFA'!I21</f>
        <v>1340448</v>
      </c>
      <c r="J21" s="1343">
        <f>+J19+J16+' SEFA'!J21</f>
        <v>0</v>
      </c>
      <c r="K21" s="1343">
        <f>+K19+K16+' SEFA'!K21</f>
        <v>0</v>
      </c>
      <c r="L21" s="1343">
        <f>+L19+L16+' SEFA'!L21</f>
        <v>2475222</v>
      </c>
      <c r="M21" s="1343">
        <f>+M19+M16+' SEFA'!M21</f>
        <v>2690387</v>
      </c>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t="s">
        <v>2118</v>
      </c>
      <c r="C23" s="1341"/>
      <c r="D23" s="1342"/>
      <c r="E23" s="1343"/>
      <c r="F23" s="1343"/>
      <c r="G23" s="1343"/>
      <c r="H23" s="1343"/>
      <c r="I23" s="1343"/>
      <c r="J23" s="1343"/>
      <c r="K23" s="1343"/>
      <c r="L23" s="1340"/>
      <c r="M23" s="1343"/>
    </row>
    <row r="24" spans="2:14" ht="20.100000000000001" customHeight="1" x14ac:dyDescent="0.2">
      <c r="B24" s="1337" t="s">
        <v>2106</v>
      </c>
      <c r="C24" s="1341"/>
      <c r="D24" s="1342"/>
      <c r="E24" s="1343"/>
      <c r="F24" s="1343"/>
      <c r="G24" s="1343"/>
      <c r="H24" s="1343"/>
      <c r="I24" s="1343"/>
      <c r="J24" s="1343"/>
      <c r="K24" s="1343"/>
      <c r="L24" s="1340"/>
      <c r="M24" s="1343"/>
    </row>
    <row r="25" spans="2:14" ht="20.100000000000001" customHeight="1" x14ac:dyDescent="0.2">
      <c r="B25" s="1337" t="s">
        <v>2119</v>
      </c>
      <c r="C25" s="1341">
        <v>93.778000000000006</v>
      </c>
      <c r="D25" s="1342" t="s">
        <v>2120</v>
      </c>
      <c r="E25" s="1343"/>
      <c r="F25" s="1343">
        <v>11891</v>
      </c>
      <c r="G25" s="1343"/>
      <c r="H25" s="1343"/>
      <c r="I25" s="1343">
        <v>11891</v>
      </c>
      <c r="J25" s="1343"/>
      <c r="K25" s="1343"/>
      <c r="L25" s="1340">
        <f t="shared" si="0"/>
        <v>11891</v>
      </c>
      <c r="M25" s="1343"/>
    </row>
    <row r="26" spans="2:14" ht="20.100000000000001" customHeight="1" x14ac:dyDescent="0.2">
      <c r="B26" s="1337" t="s">
        <v>2119</v>
      </c>
      <c r="C26" s="1341">
        <v>93.778000000000006</v>
      </c>
      <c r="D26" s="1342" t="s">
        <v>2162</v>
      </c>
      <c r="E26" s="1343">
        <v>15593</v>
      </c>
      <c r="F26" s="1343">
        <v>14411</v>
      </c>
      <c r="G26" s="1343">
        <v>15593</v>
      </c>
      <c r="H26" s="1343"/>
      <c r="I26" s="1343">
        <v>14411</v>
      </c>
      <c r="J26" s="1343"/>
      <c r="K26" s="1343"/>
      <c r="L26" s="1340">
        <f t="shared" si="0"/>
        <v>30004</v>
      </c>
      <c r="M26" s="1343"/>
    </row>
    <row r="27" spans="2:14" ht="20.100000000000001" customHeight="1" x14ac:dyDescent="0.2">
      <c r="B27" s="1337" t="s">
        <v>2163</v>
      </c>
      <c r="C27" s="1341"/>
      <c r="D27" s="1342"/>
      <c r="E27" s="1343">
        <f t="shared" ref="E27:L27" si="3">+E26+E25</f>
        <v>15593</v>
      </c>
      <c r="F27" s="1343">
        <f t="shared" si="3"/>
        <v>26302</v>
      </c>
      <c r="G27" s="1343">
        <f t="shared" si="3"/>
        <v>15593</v>
      </c>
      <c r="H27" s="1343">
        <f t="shared" si="3"/>
        <v>0</v>
      </c>
      <c r="I27" s="1343">
        <f t="shared" si="3"/>
        <v>26302</v>
      </c>
      <c r="J27" s="1343">
        <f t="shared" si="3"/>
        <v>0</v>
      </c>
      <c r="K27" s="1343">
        <f t="shared" si="3"/>
        <v>0</v>
      </c>
      <c r="L27" s="1343">
        <f t="shared" si="3"/>
        <v>41895</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A2" sqref="A2:M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MADISON COMMUNITY UNIT SCHOOL DISTRICT NO. 12</v>
      </c>
      <c r="C1" s="2464"/>
      <c r="D1" s="2464"/>
      <c r="E1" s="2464"/>
      <c r="F1" s="2464"/>
      <c r="G1" s="2464"/>
      <c r="H1" s="2464"/>
      <c r="I1" s="2464"/>
      <c r="J1" s="2464"/>
      <c r="K1" s="2464"/>
      <c r="L1" s="2464"/>
      <c r="M1" s="2464"/>
    </row>
    <row r="2" spans="2:14" ht="15" x14ac:dyDescent="0.2">
      <c r="B2" s="2461" t="str">
        <f>'Single Audit Cover'!E7</f>
        <v>41-057-0120-26</v>
      </c>
      <c r="C2" s="2461"/>
      <c r="D2" s="2461"/>
      <c r="E2" s="2461"/>
      <c r="F2" s="2461"/>
      <c r="G2" s="2461"/>
      <c r="H2" s="2461"/>
      <c r="I2" s="2461"/>
      <c r="J2" s="2461"/>
      <c r="K2" s="2461"/>
      <c r="L2" s="2461"/>
      <c r="M2" s="2461"/>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2121</v>
      </c>
      <c r="C11" s="1338"/>
      <c r="D11" s="1339"/>
      <c r="E11" s="1340"/>
      <c r="F11" s="1340"/>
      <c r="G11" s="1340"/>
      <c r="H11" s="1340"/>
      <c r="I11" s="1340"/>
      <c r="J11" s="1340"/>
      <c r="K11" s="1340"/>
      <c r="L11" s="1340"/>
      <c r="M11" s="1340"/>
    </row>
    <row r="12" spans="2:14" ht="20.100000000000001" customHeight="1" x14ac:dyDescent="0.2">
      <c r="B12" s="1337" t="s">
        <v>2122</v>
      </c>
      <c r="C12" s="1341"/>
      <c r="D12" s="1342"/>
      <c r="E12" s="1343"/>
      <c r="F12" s="1343"/>
      <c r="G12" s="1343"/>
      <c r="H12" s="1343"/>
      <c r="I12" s="1343"/>
      <c r="J12" s="1343"/>
      <c r="K12" s="1343"/>
      <c r="L12" s="1340"/>
      <c r="M12" s="1343"/>
    </row>
    <row r="13" spans="2:14" ht="20.100000000000001" customHeight="1" x14ac:dyDescent="0.2">
      <c r="B13" s="1337" t="s">
        <v>2123</v>
      </c>
      <c r="C13" s="1341">
        <v>17.259</v>
      </c>
      <c r="D13" s="1342" t="s">
        <v>2124</v>
      </c>
      <c r="E13" s="1343">
        <v>41241</v>
      </c>
      <c r="F13" s="1343">
        <v>4454</v>
      </c>
      <c r="G13" s="1343">
        <v>45695</v>
      </c>
      <c r="H13" s="1343"/>
      <c r="I13" s="1343"/>
      <c r="J13" s="1343"/>
      <c r="K13" s="1343"/>
      <c r="L13" s="1340">
        <f t="shared" ref="L13:L14" si="0">+G13+I13+K13</f>
        <v>45695</v>
      </c>
      <c r="M13" s="1343"/>
    </row>
    <row r="14" spans="2:14" ht="20.100000000000001" customHeight="1" x14ac:dyDescent="0.2">
      <c r="B14" s="1337" t="s">
        <v>2123</v>
      </c>
      <c r="C14" s="1341">
        <v>17.259</v>
      </c>
      <c r="D14" s="1342" t="s">
        <v>2125</v>
      </c>
      <c r="E14" s="1343"/>
      <c r="F14" s="1343">
        <v>32071</v>
      </c>
      <c r="G14" s="1343"/>
      <c r="H14" s="1343"/>
      <c r="I14" s="1343">
        <f>21560+23445</f>
        <v>45005</v>
      </c>
      <c r="J14" s="1343"/>
      <c r="K14" s="1343"/>
      <c r="L14" s="1340">
        <f t="shared" si="0"/>
        <v>45005</v>
      </c>
      <c r="M14" s="1343"/>
    </row>
    <row r="15" spans="2:14" ht="20.100000000000001" customHeight="1" x14ac:dyDescent="0.2">
      <c r="B15" s="1337" t="s">
        <v>2126</v>
      </c>
      <c r="C15" s="1341"/>
      <c r="D15" s="1342"/>
      <c r="E15" s="1343">
        <f>+E14+E13</f>
        <v>41241</v>
      </c>
      <c r="F15" s="1343">
        <f t="shared" ref="F15:M15" si="1">+F14+F13</f>
        <v>36525</v>
      </c>
      <c r="G15" s="1343">
        <f t="shared" si="1"/>
        <v>45695</v>
      </c>
      <c r="H15" s="1343">
        <f t="shared" si="1"/>
        <v>0</v>
      </c>
      <c r="I15" s="1343">
        <f t="shared" si="1"/>
        <v>45005</v>
      </c>
      <c r="J15" s="1343">
        <f t="shared" si="1"/>
        <v>0</v>
      </c>
      <c r="K15" s="1343">
        <f t="shared" si="1"/>
        <v>0</v>
      </c>
      <c r="L15" s="1343">
        <f t="shared" si="1"/>
        <v>90700</v>
      </c>
      <c r="M15" s="1343">
        <f t="shared" si="1"/>
        <v>0</v>
      </c>
    </row>
    <row r="16" spans="2:14" ht="20.100000000000001" customHeight="1" x14ac:dyDescent="0.2">
      <c r="B16" s="1337" t="s">
        <v>2127</v>
      </c>
      <c r="C16" s="1341"/>
      <c r="D16" s="1342"/>
      <c r="E16" s="1343">
        <f>+E15</f>
        <v>41241</v>
      </c>
      <c r="F16" s="1343">
        <f t="shared" ref="F16:M16" si="2">+F15</f>
        <v>36525</v>
      </c>
      <c r="G16" s="1343">
        <f t="shared" si="2"/>
        <v>45695</v>
      </c>
      <c r="H16" s="1343">
        <f t="shared" si="2"/>
        <v>0</v>
      </c>
      <c r="I16" s="1343">
        <f t="shared" si="2"/>
        <v>45005</v>
      </c>
      <c r="J16" s="1343">
        <f t="shared" si="2"/>
        <v>0</v>
      </c>
      <c r="K16" s="1343">
        <f t="shared" si="2"/>
        <v>0</v>
      </c>
      <c r="L16" s="1343">
        <f t="shared" si="2"/>
        <v>90700</v>
      </c>
      <c r="M16" s="1343">
        <f t="shared" si="2"/>
        <v>0</v>
      </c>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c r="C18" s="1341"/>
      <c r="D18" s="1342"/>
      <c r="E18" s="1343"/>
      <c r="F18" s="1343"/>
      <c r="G18" s="1343"/>
      <c r="H18" s="1343"/>
      <c r="I18" s="1343"/>
      <c r="J18" s="1343"/>
      <c r="K18" s="1343"/>
      <c r="L18" s="1340"/>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2" sqref="A2:M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MADISON COMMUNITY UNIT SCHOOL DISTRICT NO. 12</v>
      </c>
      <c r="C1" s="2464"/>
      <c r="D1" s="2464"/>
      <c r="E1" s="2464"/>
      <c r="F1" s="2464"/>
      <c r="G1" s="2464"/>
      <c r="H1" s="2464"/>
      <c r="I1" s="2464"/>
      <c r="J1" s="2464"/>
      <c r="K1" s="2464"/>
      <c r="L1" s="2464"/>
      <c r="M1" s="2464"/>
    </row>
    <row r="2" spans="2:14" ht="15" x14ac:dyDescent="0.2">
      <c r="B2" s="2461" t="str">
        <f>'Single Audit Cover'!E7</f>
        <v>41-057-0120-26</v>
      </c>
      <c r="C2" s="2461"/>
      <c r="D2" s="2461"/>
      <c r="E2" s="2461"/>
      <c r="F2" s="2461"/>
      <c r="G2" s="2461"/>
      <c r="H2" s="2461"/>
      <c r="I2" s="2461"/>
      <c r="J2" s="2461"/>
      <c r="K2" s="2461"/>
      <c r="L2" s="2461"/>
      <c r="M2" s="2461"/>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2128</v>
      </c>
      <c r="C11" s="1338"/>
      <c r="D11" s="1339"/>
      <c r="E11" s="1340"/>
      <c r="F11" s="1340"/>
      <c r="G11" s="1340"/>
      <c r="H11" s="1340"/>
      <c r="I11" s="1340"/>
      <c r="J11" s="1340"/>
      <c r="K11" s="1340"/>
      <c r="L11" s="1340"/>
      <c r="M11" s="1340"/>
    </row>
    <row r="12" spans="2:14" ht="20.100000000000001" customHeight="1" x14ac:dyDescent="0.2">
      <c r="B12" s="1337" t="s">
        <v>2129</v>
      </c>
      <c r="C12" s="1341"/>
      <c r="D12" s="1342"/>
      <c r="E12" s="1343"/>
      <c r="F12" s="1343"/>
      <c r="G12" s="1343"/>
      <c r="H12" s="1343"/>
      <c r="I12" s="1343"/>
      <c r="J12" s="1343"/>
      <c r="K12" s="1343"/>
      <c r="L12" s="1340"/>
      <c r="M12" s="1343"/>
    </row>
    <row r="13" spans="2:14" ht="20.100000000000001" customHeight="1" x14ac:dyDescent="0.2">
      <c r="B13" s="1337" t="s">
        <v>2172</v>
      </c>
      <c r="C13" s="1341">
        <v>10.555</v>
      </c>
      <c r="D13" s="1342" t="s">
        <v>2130</v>
      </c>
      <c r="E13" s="1343">
        <v>265071</v>
      </c>
      <c r="F13" s="1343">
        <v>63688</v>
      </c>
      <c r="G13" s="1343">
        <v>265071</v>
      </c>
      <c r="H13" s="1343"/>
      <c r="I13" s="1343">
        <v>63688</v>
      </c>
      <c r="J13" s="1343"/>
      <c r="K13" s="1343"/>
      <c r="L13" s="1340">
        <f t="shared" ref="L13:L26" si="0">+G13+I13+K13</f>
        <v>328759</v>
      </c>
      <c r="M13" s="1343"/>
    </row>
    <row r="14" spans="2:14" ht="20.100000000000001" customHeight="1" x14ac:dyDescent="0.2">
      <c r="B14" s="1337" t="s">
        <v>2172</v>
      </c>
      <c r="C14" s="1341">
        <v>10.555</v>
      </c>
      <c r="D14" s="1342" t="s">
        <v>2167</v>
      </c>
      <c r="E14" s="1343"/>
      <c r="F14" s="1343">
        <v>229034</v>
      </c>
      <c r="G14" s="1343"/>
      <c r="H14" s="1343"/>
      <c r="I14" s="1343">
        <v>229034</v>
      </c>
      <c r="J14" s="1343"/>
      <c r="K14" s="1343"/>
      <c r="L14" s="1340">
        <f t="shared" si="0"/>
        <v>229034</v>
      </c>
      <c r="M14" s="1343"/>
    </row>
    <row r="15" spans="2:14" ht="20.100000000000001" customHeight="1" x14ac:dyDescent="0.2">
      <c r="B15" s="1337" t="s">
        <v>2173</v>
      </c>
      <c r="C15" s="1341">
        <v>10.553000000000001</v>
      </c>
      <c r="D15" s="1342" t="s">
        <v>2131</v>
      </c>
      <c r="E15" s="1343">
        <v>108479</v>
      </c>
      <c r="F15" s="1343">
        <v>41183</v>
      </c>
      <c r="G15" s="1343">
        <v>108479</v>
      </c>
      <c r="H15" s="1343"/>
      <c r="I15" s="1343">
        <v>41183</v>
      </c>
      <c r="J15" s="1343"/>
      <c r="K15" s="1343"/>
      <c r="L15" s="1340">
        <f t="shared" si="0"/>
        <v>149662</v>
      </c>
      <c r="M15" s="1343"/>
    </row>
    <row r="16" spans="2:14" ht="20.100000000000001" customHeight="1" x14ac:dyDescent="0.2">
      <c r="B16" s="1337" t="s">
        <v>2173</v>
      </c>
      <c r="C16" s="1341">
        <v>10.553000000000001</v>
      </c>
      <c r="D16" s="1342" t="s">
        <v>2132</v>
      </c>
      <c r="E16" s="1343"/>
      <c r="F16" s="1343">
        <v>145552</v>
      </c>
      <c r="G16" s="1343"/>
      <c r="H16" s="1343"/>
      <c r="I16" s="1343">
        <v>145552</v>
      </c>
      <c r="J16" s="1343"/>
      <c r="K16" s="1343"/>
      <c r="L16" s="1340">
        <f t="shared" si="0"/>
        <v>145552</v>
      </c>
      <c r="M16" s="1343"/>
    </row>
    <row r="17" spans="2:14" ht="20.100000000000001" customHeight="1" x14ac:dyDescent="0.2">
      <c r="B17" s="1337" t="s">
        <v>2174</v>
      </c>
      <c r="C17" s="1341">
        <v>10.582000000000001</v>
      </c>
      <c r="D17" s="1342" t="s">
        <v>2133</v>
      </c>
      <c r="E17" s="1343"/>
      <c r="F17" s="1343">
        <v>17426</v>
      </c>
      <c r="G17" s="1343"/>
      <c r="H17" s="1343"/>
      <c r="I17" s="1343">
        <v>17426</v>
      </c>
      <c r="J17" s="1343"/>
      <c r="K17" s="1343"/>
      <c r="L17" s="1340">
        <f t="shared" si="0"/>
        <v>17426</v>
      </c>
      <c r="M17" s="1343"/>
    </row>
    <row r="18" spans="2:14" ht="20.100000000000001" customHeight="1" x14ac:dyDescent="0.2">
      <c r="B18" s="1337" t="s">
        <v>2174</v>
      </c>
      <c r="C18" s="1341">
        <v>10.582000000000001</v>
      </c>
      <c r="D18" s="1342" t="s">
        <v>2197</v>
      </c>
      <c r="E18" s="1343">
        <v>10804</v>
      </c>
      <c r="F18" s="1343">
        <v>1048</v>
      </c>
      <c r="G18" s="1343">
        <v>10804</v>
      </c>
      <c r="H18" s="1343"/>
      <c r="I18" s="1343">
        <v>1048</v>
      </c>
      <c r="J18" s="1343"/>
      <c r="K18" s="1343"/>
      <c r="L18" s="1340">
        <f t="shared" si="0"/>
        <v>11852</v>
      </c>
      <c r="M18" s="1343"/>
    </row>
    <row r="19" spans="2:14" ht="20.100000000000001" customHeight="1" x14ac:dyDescent="0.2">
      <c r="B19" s="1337" t="s">
        <v>2175</v>
      </c>
      <c r="C19" s="1341">
        <v>10.555</v>
      </c>
      <c r="D19" s="1342"/>
      <c r="E19" s="1343"/>
      <c r="F19" s="1343">
        <v>25915</v>
      </c>
      <c r="G19" s="1343"/>
      <c r="H19" s="1343"/>
      <c r="I19" s="1343">
        <v>25915</v>
      </c>
      <c r="J19" s="1343"/>
      <c r="K19" s="1343"/>
      <c r="L19" s="1340">
        <f>+G19+I19+K19</f>
        <v>25915</v>
      </c>
      <c r="M19" s="1343"/>
    </row>
    <row r="20" spans="2:14" ht="20.100000000000001" customHeight="1" x14ac:dyDescent="0.2">
      <c r="B20" s="1337" t="s">
        <v>2134</v>
      </c>
      <c r="C20" s="1341"/>
      <c r="D20" s="1342"/>
      <c r="E20" s="1343">
        <f>SUM(E13:E19)</f>
        <v>384354</v>
      </c>
      <c r="F20" s="1343">
        <f>SUM(F13:F19)</f>
        <v>523846</v>
      </c>
      <c r="G20" s="1343">
        <f>SUM(G13:G19)</f>
        <v>384354</v>
      </c>
      <c r="H20" s="1343"/>
      <c r="I20" s="1343">
        <f>SUM(I13:I19)</f>
        <v>523846</v>
      </c>
      <c r="J20" s="1343"/>
      <c r="K20" s="1343"/>
      <c r="L20" s="1340">
        <f>+G20+I20+K20</f>
        <v>908200</v>
      </c>
      <c r="M20" s="1343"/>
    </row>
    <row r="21" spans="2:14" ht="20.100000000000001" customHeight="1" x14ac:dyDescent="0.2">
      <c r="B21" s="1337" t="s">
        <v>2135</v>
      </c>
      <c r="C21" s="1341"/>
      <c r="D21" s="1342"/>
      <c r="E21" s="1343">
        <f>E20</f>
        <v>384354</v>
      </c>
      <c r="F21" s="1343">
        <f t="shared" ref="F21:I21" si="1">F20</f>
        <v>523846</v>
      </c>
      <c r="G21" s="1343">
        <f t="shared" si="1"/>
        <v>384354</v>
      </c>
      <c r="H21" s="1343"/>
      <c r="I21" s="1343">
        <f t="shared" si="1"/>
        <v>523846</v>
      </c>
      <c r="J21" s="1343"/>
      <c r="K21" s="1343"/>
      <c r="L21" s="1340">
        <f>+G21+I21+K21</f>
        <v>908200</v>
      </c>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t="s">
        <v>2148</v>
      </c>
      <c r="C26" s="1341"/>
      <c r="D26" s="1342"/>
      <c r="E26" s="1343">
        <f>+E21+' SEFA (3)'!E16+' SEFA (2)'!E27+' SEFA (2)'!E21</f>
        <v>1350317</v>
      </c>
      <c r="F26" s="1343">
        <f>+F21+' SEFA (3)'!F16+' SEFA (2)'!F27+' SEFA (2)'!F21</f>
        <v>1685528</v>
      </c>
      <c r="G26" s="1343">
        <f>+G21+' SEFA (3)'!G16+' SEFA (2)'!G27+' SEFA (2)'!G21</f>
        <v>1580416</v>
      </c>
      <c r="H26" s="1343">
        <f>+H21+' SEFA (3)'!H16+' SEFA (2)'!H27+' SEFA (2)'!H21</f>
        <v>0</v>
      </c>
      <c r="I26" s="1343">
        <f>+I21+' SEFA (3)'!I16+' SEFA (2)'!I27+' SEFA (2)'!I21</f>
        <v>1935601</v>
      </c>
      <c r="J26" s="1343">
        <f>+J21+' SEFA (3)'!J16+' SEFA (2)'!J27+' SEFA (2)'!J21</f>
        <v>0</v>
      </c>
      <c r="K26" s="1343">
        <f>+K21+' SEFA (3)'!K16+' SEFA (2)'!K27+' SEFA (2)'!K21</f>
        <v>0</v>
      </c>
      <c r="L26" s="1340">
        <f t="shared" si="0"/>
        <v>3516017</v>
      </c>
      <c r="M26" s="1343">
        <f>+M20+' SEFA (3)'!M16+' SEFA (2)'!M27+' SEFA (2)'!M21</f>
        <v>2690387</v>
      </c>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6" sqref="I2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MADISON COMMUNITY UNIT SCHOOL DISTRICT NO. 12</v>
      </c>
      <c r="C1" s="2464"/>
      <c r="D1" s="2464"/>
      <c r="E1" s="2464"/>
      <c r="F1" s="2464"/>
      <c r="G1" s="2464"/>
      <c r="H1" s="2464"/>
      <c r="I1" s="2464"/>
      <c r="J1" s="2464"/>
      <c r="K1" s="2464"/>
      <c r="L1" s="2464"/>
      <c r="M1" s="2464"/>
    </row>
    <row r="2" spans="2:14" ht="15" x14ac:dyDescent="0.2">
      <c r="B2" s="2461" t="str">
        <f>'Single Audit Cover'!E7</f>
        <v>41-057-0120-26</v>
      </c>
      <c r="C2" s="2461"/>
      <c r="D2" s="2461"/>
      <c r="E2" s="2461"/>
      <c r="F2" s="2461"/>
      <c r="G2" s="2461"/>
      <c r="H2" s="2461"/>
      <c r="I2" s="2461"/>
      <c r="J2" s="2461"/>
      <c r="K2" s="2461"/>
      <c r="L2" s="2461"/>
      <c r="M2" s="2461"/>
      <c r="N2" s="1302"/>
    </row>
    <row r="3" spans="2:14" ht="15" x14ac:dyDescent="0.2">
      <c r="B3" s="2465" t="s">
        <v>1280</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2136</v>
      </c>
      <c r="C11" s="1338"/>
      <c r="D11" s="1339"/>
      <c r="E11" s="1340"/>
      <c r="F11" s="1340"/>
      <c r="G11" s="1340"/>
      <c r="H11" s="1340"/>
      <c r="I11" s="1340"/>
      <c r="J11" s="1340"/>
      <c r="K11" s="1340"/>
      <c r="L11" s="1340"/>
      <c r="M11" s="1340"/>
    </row>
    <row r="12" spans="2:14" ht="20.100000000000001" customHeight="1" x14ac:dyDescent="0.2">
      <c r="B12" s="1337" t="s">
        <v>2137</v>
      </c>
      <c r="C12" s="1341"/>
      <c r="D12" s="1342"/>
      <c r="E12" s="1343">
        <f>+' SEFA'!E13+' SEFA'!E14</f>
        <v>581069</v>
      </c>
      <c r="F12" s="1343">
        <f>+' SEFA'!F13+' SEFA'!F14</f>
        <v>788730</v>
      </c>
      <c r="G12" s="1343">
        <f>+' SEFA'!G13+' SEFA'!G14</f>
        <v>687351</v>
      </c>
      <c r="H12" s="1343">
        <f>+' SEFA'!H13+' SEFA'!H14</f>
        <v>0</v>
      </c>
      <c r="I12" s="1343">
        <f>+' SEFA'!I13+' SEFA'!I14</f>
        <v>912549</v>
      </c>
      <c r="J12" s="1343">
        <f>+' SEFA'!J13+' SEFA'!J14</f>
        <v>0</v>
      </c>
      <c r="K12" s="1343">
        <f>+' SEFA'!K13+' SEFA'!K14</f>
        <v>0</v>
      </c>
      <c r="L12" s="1343">
        <f>+' SEFA'!L13+' SEFA'!L14</f>
        <v>1599900</v>
      </c>
      <c r="M12" s="1343">
        <f>+' SEFA'!M13+' SEFA'!M14</f>
        <v>1709031</v>
      </c>
    </row>
    <row r="13" spans="2:14" ht="20.100000000000001" customHeight="1" x14ac:dyDescent="0.2">
      <c r="B13" s="1337" t="s">
        <v>2138</v>
      </c>
      <c r="C13" s="1341"/>
      <c r="D13" s="1342"/>
      <c r="E13" s="1343">
        <f>+' SEFA'!E15+' SEFA'!E16</f>
        <v>129414</v>
      </c>
      <c r="F13" s="1343">
        <f>+' SEFA'!F15+' SEFA'!F16</f>
        <v>84175</v>
      </c>
      <c r="G13" s="1343">
        <f>+' SEFA'!G15+' SEFA'!G16</f>
        <v>153131</v>
      </c>
      <c r="H13" s="1343">
        <f>+' SEFA'!H15+' SEFA'!H16</f>
        <v>0</v>
      </c>
      <c r="I13" s="1343">
        <f>+' SEFA'!I15+' SEFA'!I16</f>
        <v>60458</v>
      </c>
      <c r="J13" s="1343">
        <f>+' SEFA'!J15+' SEFA'!J16</f>
        <v>0</v>
      </c>
      <c r="K13" s="1343">
        <f>+' SEFA'!K15+' SEFA'!K16</f>
        <v>0</v>
      </c>
      <c r="L13" s="1343">
        <f>+' SEFA'!L15+' SEFA'!L16</f>
        <v>213589</v>
      </c>
      <c r="M13" s="1343">
        <f>+' SEFA'!M15+' SEFA'!M16</f>
        <v>215370</v>
      </c>
    </row>
    <row r="14" spans="2:14" ht="20.100000000000001" customHeight="1" x14ac:dyDescent="0.2">
      <c r="B14" s="1337" t="s">
        <v>2139</v>
      </c>
      <c r="C14" s="1341"/>
      <c r="D14" s="1342"/>
      <c r="E14" s="1343">
        <f>+' SEFA'!E17+' SEFA'!E18</f>
        <v>83396</v>
      </c>
      <c r="F14" s="1343">
        <f>+' SEFA'!F17+' SEFA'!F18</f>
        <v>82938</v>
      </c>
      <c r="G14" s="1343">
        <f>+' SEFA'!G17+' SEFA'!G18</f>
        <v>116804</v>
      </c>
      <c r="H14" s="1343">
        <f>+' SEFA'!H17+' SEFA'!H18</f>
        <v>0</v>
      </c>
      <c r="I14" s="1343">
        <f>+' SEFA'!I17+' SEFA'!I18</f>
        <v>95874</v>
      </c>
      <c r="J14" s="1343">
        <f>+' SEFA'!J17+' SEFA'!J18</f>
        <v>0</v>
      </c>
      <c r="K14" s="1343">
        <f>+' SEFA'!K17+' SEFA'!K18</f>
        <v>0</v>
      </c>
      <c r="L14" s="1343">
        <f>+' SEFA'!L17+' SEFA'!L18</f>
        <v>212678</v>
      </c>
      <c r="M14" s="1343">
        <f>+' SEFA'!M17+' SEFA'!M18</f>
        <v>246682</v>
      </c>
    </row>
    <row r="15" spans="2:14" ht="20.100000000000001" customHeight="1" x14ac:dyDescent="0.2">
      <c r="B15" s="1337" t="s">
        <v>2140</v>
      </c>
      <c r="C15" s="1341"/>
      <c r="D15" s="1342"/>
      <c r="E15" s="1343">
        <f>+' SEFA (2)'!E12+' SEFA (2)'!E13+' SEFA (2)'!E14+' SEFA (2)'!E15</f>
        <v>115250</v>
      </c>
      <c r="F15" s="1343">
        <f>+' SEFA (2)'!F12+' SEFA (2)'!F13+' SEFA (2)'!F14+' SEFA (2)'!F15</f>
        <v>116441</v>
      </c>
      <c r="G15" s="1343">
        <f>+' SEFA (2)'!G12+' SEFA (2)'!G13+' SEFA (2)'!G14+' SEFA (2)'!G15</f>
        <v>177488</v>
      </c>
      <c r="H15" s="1343">
        <f>+' SEFA (2)'!H12+' SEFA (2)'!H13+' SEFA (2)'!H14+' SEFA (2)'!H15</f>
        <v>0</v>
      </c>
      <c r="I15" s="1343">
        <f>+' SEFA (2)'!I12+' SEFA (2)'!I13+' SEFA (2)'!I14+' SEFA (2)'!I15</f>
        <v>238196</v>
      </c>
      <c r="J15" s="1343">
        <f>+' SEFA (2)'!J12+' SEFA (2)'!J13+' SEFA (2)'!J14+' SEFA (2)'!J15</f>
        <v>0</v>
      </c>
      <c r="K15" s="1343">
        <f>+' SEFA (2)'!K12+' SEFA (2)'!K13+' SEFA (2)'!K14+' SEFA (2)'!K15</f>
        <v>0</v>
      </c>
      <c r="L15" s="1343">
        <f>+' SEFA (2)'!L12+' SEFA (2)'!L13+' SEFA (2)'!L14+' SEFA (2)'!L15</f>
        <v>415684</v>
      </c>
      <c r="M15" s="1343">
        <f>+' SEFA (2)'!M12+' SEFA (2)'!M13+' SEFA (2)'!M14+' SEFA (2)'!M15</f>
        <v>478721</v>
      </c>
    </row>
    <row r="16" spans="2:14" ht="20.100000000000001" customHeight="1" x14ac:dyDescent="0.2">
      <c r="B16" s="1337" t="s">
        <v>2141</v>
      </c>
      <c r="C16" s="1341"/>
      <c r="D16" s="1342"/>
      <c r="E16" s="1343">
        <f>+' SEFA (2)'!E19</f>
        <v>0</v>
      </c>
      <c r="F16" s="1343">
        <f>+' SEFA (2)'!F19</f>
        <v>18171</v>
      </c>
      <c r="G16" s="1343">
        <f>+' SEFA (2)'!G19</f>
        <v>0</v>
      </c>
      <c r="H16" s="1343">
        <f>+' SEFA (2)'!H19</f>
        <v>0</v>
      </c>
      <c r="I16" s="1343">
        <f>+' SEFA (2)'!I19</f>
        <v>18171</v>
      </c>
      <c r="J16" s="1343">
        <f>+' SEFA (2)'!J19</f>
        <v>0</v>
      </c>
      <c r="K16" s="1343">
        <f>+' SEFA (2)'!K19</f>
        <v>0</v>
      </c>
      <c r="L16" s="1343">
        <f>+' SEFA (2)'!L19</f>
        <v>18171</v>
      </c>
      <c r="M16" s="1343">
        <f>+' SEFA (2)'!M19</f>
        <v>18171</v>
      </c>
    </row>
    <row r="17" spans="2:14" ht="20.100000000000001" customHeight="1" x14ac:dyDescent="0.2">
      <c r="B17" s="1337" t="s">
        <v>2142</v>
      </c>
      <c r="C17" s="1341"/>
      <c r="D17" s="1342"/>
      <c r="E17" s="1343">
        <f>+' SEFA (2)'!E25+' SEFA (2)'!E26</f>
        <v>15593</v>
      </c>
      <c r="F17" s="1343">
        <f>+' SEFA (2)'!F25+' SEFA (2)'!F26</f>
        <v>26302</v>
      </c>
      <c r="G17" s="1343">
        <f>+' SEFA (2)'!G25+' SEFA (2)'!G26</f>
        <v>15593</v>
      </c>
      <c r="H17" s="1343">
        <f>+' SEFA (2)'!H25+' SEFA (2)'!H26</f>
        <v>0</v>
      </c>
      <c r="I17" s="1343">
        <f>+' SEFA (2)'!I25+' SEFA (2)'!I26</f>
        <v>26302</v>
      </c>
      <c r="J17" s="1343">
        <f>+' SEFA (2)'!J25+' SEFA (2)'!J26</f>
        <v>0</v>
      </c>
      <c r="K17" s="1343">
        <f>+' SEFA (2)'!K25+' SEFA (2)'!K26</f>
        <v>0</v>
      </c>
      <c r="L17" s="1343">
        <f>+' SEFA (2)'!L25+' SEFA (2)'!L26</f>
        <v>41895</v>
      </c>
      <c r="M17" s="1343">
        <f>+' SEFA (2)'!M25+' SEFA (2)'!M26</f>
        <v>0</v>
      </c>
    </row>
    <row r="18" spans="2:14" ht="20.100000000000001" customHeight="1" x14ac:dyDescent="0.2">
      <c r="B18" s="1337" t="s">
        <v>2143</v>
      </c>
      <c r="C18" s="1341"/>
      <c r="D18" s="1342"/>
      <c r="E18" s="1343">
        <f>+' SEFA (3)'!E13+' SEFA (3)'!E14</f>
        <v>41241</v>
      </c>
      <c r="F18" s="1343">
        <f>+' SEFA (3)'!F13+' SEFA (3)'!F14</f>
        <v>36525</v>
      </c>
      <c r="G18" s="1343">
        <f>+' SEFA (3)'!G13+' SEFA (3)'!G14</f>
        <v>45695</v>
      </c>
      <c r="H18" s="1343">
        <f>+' SEFA (3)'!H13+' SEFA (3)'!H14</f>
        <v>0</v>
      </c>
      <c r="I18" s="1343">
        <f>+' SEFA (3)'!I13+' SEFA (3)'!I14</f>
        <v>45005</v>
      </c>
      <c r="J18" s="1343">
        <f>+' SEFA (3)'!J13+' SEFA (3)'!J14</f>
        <v>0</v>
      </c>
      <c r="K18" s="1343">
        <f>+' SEFA (3)'!K13+' SEFA (3)'!K14</f>
        <v>0</v>
      </c>
      <c r="L18" s="1343">
        <f>+' SEFA (3)'!L13+' SEFA (3)'!L14</f>
        <v>90700</v>
      </c>
      <c r="M18" s="1343">
        <f>+' SEFA (3)'!M13+' SEFA (3)'!M14</f>
        <v>0</v>
      </c>
    </row>
    <row r="19" spans="2:14" ht="20.100000000000001" customHeight="1" x14ac:dyDescent="0.2">
      <c r="B19" s="1337" t="s">
        <v>2144</v>
      </c>
      <c r="C19" s="1341"/>
      <c r="D19" s="1342"/>
      <c r="E19" s="1343">
        <f>+' SEFA (4)'!E13+' SEFA (4)'!E14+' SEFA (4)'!E19</f>
        <v>265071</v>
      </c>
      <c r="F19" s="1343">
        <f>+' SEFA (4)'!F13+' SEFA (4)'!F14+' SEFA (4)'!F19</f>
        <v>318637</v>
      </c>
      <c r="G19" s="1343">
        <f>+' SEFA (4)'!G13+' SEFA (4)'!G14+' SEFA (4)'!G19</f>
        <v>265071</v>
      </c>
      <c r="H19" s="1343">
        <f>+' SEFA (4)'!H13+' SEFA (4)'!H14+' SEFA (4)'!H19</f>
        <v>0</v>
      </c>
      <c r="I19" s="1343">
        <f>+' SEFA (4)'!I13+' SEFA (4)'!I14+' SEFA (4)'!I19</f>
        <v>318637</v>
      </c>
      <c r="J19" s="1343">
        <f>+' SEFA (4)'!J13+' SEFA (4)'!J14+' SEFA (4)'!J19</f>
        <v>0</v>
      </c>
      <c r="K19" s="1343">
        <f>+' SEFA (4)'!K13+' SEFA (4)'!K14+' SEFA (4)'!K19</f>
        <v>0</v>
      </c>
      <c r="L19" s="1343">
        <f>+' SEFA (4)'!L13+' SEFA (4)'!L14+' SEFA (4)'!L19</f>
        <v>583708</v>
      </c>
      <c r="M19" s="1343">
        <f>+' SEFA (4)'!M13+' SEFA (4)'!M14+' SEFA (4)'!M18</f>
        <v>0</v>
      </c>
    </row>
    <row r="20" spans="2:14" ht="20.100000000000001" customHeight="1" x14ac:dyDescent="0.2">
      <c r="B20" s="1337" t="s">
        <v>2145</v>
      </c>
      <c r="C20" s="1341"/>
      <c r="D20" s="1342"/>
      <c r="E20" s="1343">
        <f>+' SEFA (4)'!E15+' SEFA (4)'!E16</f>
        <v>108479</v>
      </c>
      <c r="F20" s="1343">
        <f>+' SEFA (4)'!F15+' SEFA (4)'!F16</f>
        <v>186735</v>
      </c>
      <c r="G20" s="1343">
        <f>+' SEFA (4)'!G15+' SEFA (4)'!G16</f>
        <v>108479</v>
      </c>
      <c r="H20" s="1343">
        <f>+' SEFA (4)'!H15+' SEFA (4)'!H16</f>
        <v>0</v>
      </c>
      <c r="I20" s="1343">
        <f>+' SEFA (4)'!I15+' SEFA (4)'!I16</f>
        <v>186735</v>
      </c>
      <c r="J20" s="1343">
        <f>+' SEFA (4)'!J15+' SEFA (4)'!J16</f>
        <v>0</v>
      </c>
      <c r="K20" s="1343">
        <f>+' SEFA (4)'!K15+' SEFA (4)'!K16</f>
        <v>0</v>
      </c>
      <c r="L20" s="1343">
        <f>+' SEFA (4)'!L15+' SEFA (4)'!L16</f>
        <v>295214</v>
      </c>
      <c r="M20" s="1343">
        <f>+' SEFA (4)'!M15+' SEFA (4)'!M16</f>
        <v>0</v>
      </c>
    </row>
    <row r="21" spans="2:14" ht="20.100000000000001" customHeight="1" x14ac:dyDescent="0.2">
      <c r="B21" s="1337" t="s">
        <v>2146</v>
      </c>
      <c r="C21" s="1341"/>
      <c r="D21" s="1342"/>
      <c r="E21" s="1343">
        <f>+' SEFA (4)'!E17</f>
        <v>0</v>
      </c>
      <c r="F21" s="1343">
        <f>+' SEFA (4)'!F17+' SEFA (4)'!F18</f>
        <v>18474</v>
      </c>
      <c r="G21" s="1343">
        <f>+' SEFA (4)'!G17</f>
        <v>0</v>
      </c>
      <c r="H21" s="1343">
        <f>+' SEFA (4)'!H17</f>
        <v>0</v>
      </c>
      <c r="I21" s="1343">
        <f>+' SEFA (4)'!I17+' SEFA (4)'!I18</f>
        <v>18474</v>
      </c>
      <c r="J21" s="1343">
        <f>+' SEFA (4)'!J17</f>
        <v>0</v>
      </c>
      <c r="K21" s="1343">
        <f>+' SEFA (4)'!K17</f>
        <v>0</v>
      </c>
      <c r="L21" s="1343">
        <f>+' SEFA (4)'!L17</f>
        <v>17426</v>
      </c>
      <c r="M21" s="1343">
        <f>+' SEFA (4)'!M17</f>
        <v>0</v>
      </c>
    </row>
    <row r="22" spans="2:14" ht="20.100000000000001" customHeight="1" x14ac:dyDescent="0.2">
      <c r="B22" s="1337" t="s">
        <v>2164</v>
      </c>
      <c r="C22" s="1341"/>
      <c r="D22" s="1342"/>
      <c r="E22" s="1343">
        <f>+' SEFA'!E19</f>
        <v>0</v>
      </c>
      <c r="F22" s="1343">
        <f>+' SEFA'!F19</f>
        <v>8400</v>
      </c>
      <c r="G22" s="1343">
        <f>+' SEFA'!G19</f>
        <v>0</v>
      </c>
      <c r="H22" s="1343">
        <f>+' SEFA'!H19</f>
        <v>0</v>
      </c>
      <c r="I22" s="1343">
        <f>+' SEFA'!I19</f>
        <v>15200</v>
      </c>
      <c r="J22" s="1343">
        <f>+' SEFA'!J19</f>
        <v>0</v>
      </c>
      <c r="K22" s="1343">
        <f>+' SEFA'!K19</f>
        <v>0</v>
      </c>
      <c r="L22" s="1343">
        <f>+' SEFA'!L19</f>
        <v>15200</v>
      </c>
      <c r="M22" s="1343">
        <f>+' SEFA'!M19</f>
        <v>22412</v>
      </c>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t="s">
        <v>2147</v>
      </c>
      <c r="C24" s="1341"/>
      <c r="D24" s="1342"/>
      <c r="E24" s="1343">
        <f>SUM(E11:E23)</f>
        <v>1339513</v>
      </c>
      <c r="F24" s="1343">
        <f t="shared" ref="F24:M24" si="0">SUM(F11:F23)</f>
        <v>1685528</v>
      </c>
      <c r="G24" s="1343">
        <f t="shared" si="0"/>
        <v>1569612</v>
      </c>
      <c r="H24" s="1343">
        <f t="shared" si="0"/>
        <v>0</v>
      </c>
      <c r="I24" s="1343">
        <f t="shared" si="0"/>
        <v>1935601</v>
      </c>
      <c r="J24" s="1343">
        <f t="shared" si="0"/>
        <v>0</v>
      </c>
      <c r="K24" s="1343">
        <f t="shared" si="0"/>
        <v>0</v>
      </c>
      <c r="L24" s="1343">
        <f t="shared" si="0"/>
        <v>3504165</v>
      </c>
      <c r="M24" s="1343">
        <f t="shared" si="0"/>
        <v>2690387</v>
      </c>
    </row>
    <row r="25" spans="2:14" ht="20.100000000000001" customHeight="1" x14ac:dyDescent="0.2">
      <c r="B25" s="1337" t="s">
        <v>2165</v>
      </c>
      <c r="C25" s="1341"/>
      <c r="D25" s="1342"/>
      <c r="E25" s="1343"/>
      <c r="F25" s="1343"/>
      <c r="G25" s="1343"/>
      <c r="H25" s="1343"/>
      <c r="I25" s="1343"/>
      <c r="J25" s="1343"/>
      <c r="K25" s="1343"/>
      <c r="L25" s="1340"/>
      <c r="M25" s="1343"/>
    </row>
    <row r="26" spans="2:14" ht="20.100000000000001" customHeight="1" x14ac:dyDescent="0.2">
      <c r="B26" s="1337" t="s">
        <v>2166</v>
      </c>
      <c r="C26" s="1341"/>
      <c r="D26" s="1342"/>
      <c r="E26" s="1343">
        <f>SUM(E19:E21)</f>
        <v>373550</v>
      </c>
      <c r="F26" s="1343">
        <f t="shared" ref="F26:M26" si="1">SUM(F19:F21)</f>
        <v>523846</v>
      </c>
      <c r="G26" s="1343">
        <f t="shared" si="1"/>
        <v>373550</v>
      </c>
      <c r="H26" s="1343">
        <f t="shared" si="1"/>
        <v>0</v>
      </c>
      <c r="I26" s="1343">
        <f t="shared" si="1"/>
        <v>523846</v>
      </c>
      <c r="J26" s="1343">
        <f t="shared" si="1"/>
        <v>0</v>
      </c>
      <c r="K26" s="1343">
        <f t="shared" si="1"/>
        <v>0</v>
      </c>
      <c r="L26" s="1343">
        <f t="shared" si="1"/>
        <v>896348</v>
      </c>
      <c r="M26" s="1343">
        <f t="shared" si="1"/>
        <v>0</v>
      </c>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9" zoomScale="110" zoomScaleNormal="110" workbookViewId="0">
      <selection activeCell="L34" sqref="L34"/>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MADISON COMMUNITY UNIT SCHOOL DISTRICT NO. 12</v>
      </c>
      <c r="C1" s="2482"/>
      <c r="D1" s="2482"/>
      <c r="E1" s="2482"/>
      <c r="F1" s="2482"/>
      <c r="G1" s="2482"/>
      <c r="H1" s="2482"/>
      <c r="I1" s="2482"/>
      <c r="J1" s="1422"/>
    </row>
    <row r="2" spans="2:10" s="317" customFormat="1" ht="12.75" customHeight="1" x14ac:dyDescent="0.2">
      <c r="B2" s="2483" t="str">
        <f>'Single Audit Cover'!E7</f>
        <v>41-057-0120-26</v>
      </c>
      <c r="C2" s="2484"/>
      <c r="D2" s="2484"/>
      <c r="E2" s="2484"/>
      <c r="F2" s="2484"/>
      <c r="G2" s="2484"/>
      <c r="H2" s="2484"/>
      <c r="I2" s="2484"/>
      <c r="J2" s="1422"/>
    </row>
    <row r="3" spans="2:10" s="317" customFormat="1" ht="12.75" customHeight="1" x14ac:dyDescent="0.2">
      <c r="B3" s="2485" t="s">
        <v>1346</v>
      </c>
      <c r="C3" s="2486"/>
      <c r="D3" s="2486"/>
      <c r="E3" s="2486"/>
      <c r="F3" s="2486"/>
      <c r="G3" s="2486"/>
      <c r="H3" s="2486"/>
      <c r="I3" s="2486"/>
      <c r="J3" s="1423"/>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5" t="s">
        <v>1345</v>
      </c>
      <c r="C7" s="2486"/>
      <c r="D7" s="2486"/>
      <c r="E7" s="2486"/>
      <c r="F7" s="2486"/>
      <c r="G7" s="2486"/>
      <c r="H7" s="2486"/>
      <c r="I7" s="2486"/>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7" t="s">
        <v>2161</v>
      </c>
      <c r="D11" s="2487"/>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t="s">
        <v>2073</v>
      </c>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2073</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t="s">
        <v>2073</v>
      </c>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t="s">
        <v>2073</v>
      </c>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2073</v>
      </c>
      <c r="H27" s="1300" t="s">
        <v>1337</v>
      </c>
      <c r="I27" s="1300"/>
    </row>
    <row r="28" spans="2:9" s="317" customFormat="1" ht="12.75" customHeight="1" x14ac:dyDescent="0.2">
      <c r="B28" s="1368"/>
      <c r="C28" s="1282"/>
      <c r="E28" s="1258"/>
    </row>
    <row r="29" spans="2:9" s="317" customFormat="1" ht="24" customHeight="1" x14ac:dyDescent="0.2">
      <c r="B29" s="1368" t="s">
        <v>1336</v>
      </c>
      <c r="C29" s="1282"/>
      <c r="D29" s="2488" t="s">
        <v>2211</v>
      </c>
      <c r="E29" s="2488"/>
      <c r="F29" s="2488"/>
      <c r="G29" s="2488"/>
      <c r="H29" s="2488"/>
      <c r="I29" s="2488"/>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89" t="s">
        <v>1850</v>
      </c>
      <c r="D37" s="2490"/>
      <c r="E37" s="2490"/>
      <c r="F37" s="2491"/>
      <c r="G37" s="2489" t="s">
        <v>1673</v>
      </c>
      <c r="H37" s="2490"/>
      <c r="I37" s="2491"/>
    </row>
    <row r="38" spans="2:9" ht="16.5" customHeight="1" x14ac:dyDescent="0.2">
      <c r="B38" s="1444" t="s">
        <v>2091</v>
      </c>
      <c r="C38" s="2474" t="s">
        <v>2176</v>
      </c>
      <c r="D38" s="2475"/>
      <c r="E38" s="2475"/>
      <c r="F38" s="2476"/>
      <c r="G38" s="2492">
        <f>+' SEFA'!I14+' SEFA'!I13</f>
        <v>912549</v>
      </c>
      <c r="H38" s="2493"/>
      <c r="I38" s="2494"/>
    </row>
    <row r="39" spans="2:9" ht="24.75" customHeight="1" x14ac:dyDescent="0.2">
      <c r="B39" s="1444" t="s">
        <v>2166</v>
      </c>
      <c r="C39" s="2478" t="s">
        <v>2177</v>
      </c>
      <c r="D39" s="2479"/>
      <c r="E39" s="2479"/>
      <c r="F39" s="2480"/>
      <c r="G39" s="2477">
        <f>+' SEFA (4)'!I20</f>
        <v>523846</v>
      </c>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1674</v>
      </c>
      <c r="D43" s="2468"/>
      <c r="E43" s="2468"/>
      <c r="F43" s="2469"/>
      <c r="G43" s="2470">
        <f>SUM(G38:I42)</f>
        <v>1436395</v>
      </c>
      <c r="H43" s="2470"/>
      <c r="I43" s="2470"/>
    </row>
    <row r="44" spans="2:9" ht="12.75" customHeight="1" x14ac:dyDescent="0.2"/>
    <row r="45" spans="2:9" ht="12.75" customHeight="1" x14ac:dyDescent="0.2">
      <c r="B45" s="1435" t="s">
        <v>1948</v>
      </c>
      <c r="D45" s="2471">
        <f>+' SEFA (4)'!I26</f>
        <v>1935601</v>
      </c>
      <c r="E45" s="2472"/>
    </row>
    <row r="46" spans="2:9" ht="5.25" customHeight="1" x14ac:dyDescent="0.2">
      <c r="B46" s="1445"/>
      <c r="D46" s="1446"/>
      <c r="E46" s="1447"/>
    </row>
    <row r="47" spans="2:9" ht="12.75" customHeight="1" x14ac:dyDescent="0.2">
      <c r="B47" s="1300" t="s">
        <v>1675</v>
      </c>
      <c r="C47" s="1300"/>
      <c r="D47" s="1448">
        <f>+G43/D45</f>
        <v>0.74209250770174229</v>
      </c>
      <c r="E47" s="1449"/>
      <c r="F47" s="1450"/>
      <c r="I47" s="1451"/>
    </row>
    <row r="48" spans="2:9" ht="9.9499999999999993" customHeight="1" x14ac:dyDescent="0.2"/>
    <row r="49" spans="1:9" x14ac:dyDescent="0.2">
      <c r="B49" s="1368" t="s">
        <v>1334</v>
      </c>
      <c r="C49" s="1282"/>
      <c r="D49" s="1282"/>
      <c r="E49" s="2473">
        <v>750000</v>
      </c>
      <c r="F49" s="2473"/>
      <c r="G49" s="2473"/>
      <c r="H49" s="322"/>
    </row>
    <row r="51" spans="1:9" ht="13.5" customHeight="1" x14ac:dyDescent="0.2">
      <c r="B51" s="1368" t="s">
        <v>1333</v>
      </c>
      <c r="C51" s="1282"/>
      <c r="E51" s="1438"/>
      <c r="F51" s="1300" t="s">
        <v>939</v>
      </c>
      <c r="G51" s="1438" t="s">
        <v>2073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9" firstPageNumber="40" orientation="portrait" r:id="rId1"/>
  <headerFooter>
    <oddFooter>&amp;C&amp;"Times New Roman,Regular"See Independent Auditor's Reports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1"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MADISON COMMUNITY UNIT SCHOOL DISTRICT NO. 12</v>
      </c>
      <c r="C1" s="2481"/>
      <c r="D1" s="2481"/>
      <c r="E1" s="2481"/>
      <c r="F1" s="2481"/>
      <c r="G1" s="2481"/>
      <c r="H1" s="2481"/>
      <c r="I1" s="2481"/>
      <c r="J1" s="2481"/>
      <c r="K1" s="2481"/>
      <c r="L1" s="1374"/>
      <c r="M1" s="1374"/>
    </row>
    <row r="2" spans="1:13" ht="12" customHeight="1" x14ac:dyDescent="0.2">
      <c r="B2" s="2483" t="str">
        <f>'Single Audit Cover'!E7</f>
        <v>41-057-0120-26</v>
      </c>
      <c r="C2" s="2483"/>
      <c r="D2" s="2483"/>
      <c r="E2" s="2483"/>
      <c r="F2" s="2483"/>
      <c r="G2" s="2483"/>
      <c r="H2" s="2483"/>
      <c r="I2" s="2483"/>
      <c r="J2" s="2483"/>
      <c r="K2" s="2483"/>
      <c r="L2" s="1375"/>
      <c r="M2" s="1376"/>
    </row>
    <row r="3" spans="1:13" ht="10.35" customHeight="1" x14ac:dyDescent="0.2">
      <c r="B3" s="2497" t="s">
        <v>1346</v>
      </c>
      <c r="C3" s="2497"/>
      <c r="D3" s="2497"/>
      <c r="E3" s="2497"/>
      <c r="F3" s="2497"/>
      <c r="G3" s="2497"/>
      <c r="H3" s="2497"/>
      <c r="I3" s="2497"/>
      <c r="J3" s="2497"/>
      <c r="K3" s="2497"/>
      <c r="L3" s="1377"/>
      <c r="M3" s="137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8" t="s">
        <v>1362</v>
      </c>
      <c r="C7" s="2498"/>
      <c r="D7" s="2499"/>
      <c r="E7" s="2499"/>
      <c r="F7" s="2499"/>
      <c r="G7" s="2499"/>
      <c r="H7" s="2499"/>
      <c r="I7" s="2499"/>
      <c r="J7" s="2499"/>
      <c r="K7" s="249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v>1</v>
      </c>
      <c r="E10" s="322"/>
      <c r="F10" s="1387" t="s">
        <v>1361</v>
      </c>
      <c r="G10" s="1388" t="s">
        <v>2073</v>
      </c>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6" t="s">
        <v>2187</v>
      </c>
      <c r="C14" s="2496"/>
      <c r="D14" s="2496"/>
      <c r="E14" s="2496"/>
      <c r="F14" s="2496"/>
      <c r="G14" s="2496"/>
      <c r="H14" s="2496"/>
      <c r="I14" s="2496"/>
      <c r="J14" s="2496"/>
      <c r="K14" s="249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6" t="s">
        <v>2198</v>
      </c>
      <c r="C17" s="2496"/>
      <c r="D17" s="2496"/>
      <c r="E17" s="2496"/>
      <c r="F17" s="2496"/>
      <c r="G17" s="2496"/>
      <c r="H17" s="2496"/>
      <c r="I17" s="2496"/>
      <c r="J17" s="2496"/>
      <c r="K17" s="2496"/>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0" t="s">
        <v>2188</v>
      </c>
      <c r="C20" s="2500"/>
      <c r="D20" s="2496"/>
      <c r="E20" s="2496"/>
      <c r="F20" s="2496"/>
      <c r="G20" s="2496"/>
      <c r="H20" s="2496"/>
      <c r="I20" s="2496"/>
      <c r="J20" s="2496"/>
      <c r="K20" s="2496"/>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6" t="s">
        <v>2206</v>
      </c>
      <c r="C23" s="2496"/>
      <c r="D23" s="2496"/>
      <c r="E23" s="2496"/>
      <c r="F23" s="2496"/>
      <c r="G23" s="2496"/>
      <c r="H23" s="2496"/>
      <c r="I23" s="2496"/>
      <c r="J23" s="2496"/>
      <c r="K23" s="2496"/>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6" t="s">
        <v>2198</v>
      </c>
      <c r="C26" s="2496"/>
      <c r="D26" s="2496"/>
      <c r="E26" s="2496"/>
      <c r="F26" s="2496"/>
      <c r="G26" s="2496"/>
      <c r="H26" s="2496"/>
      <c r="I26" s="2496"/>
      <c r="J26" s="2496"/>
      <c r="K26" s="2496"/>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5" t="s">
        <v>2199</v>
      </c>
      <c r="C29" s="2495"/>
      <c r="D29" s="2496"/>
      <c r="E29" s="2496"/>
      <c r="F29" s="2496"/>
      <c r="G29" s="2496"/>
      <c r="H29" s="2496"/>
      <c r="I29" s="2496"/>
      <c r="J29" s="2496"/>
      <c r="K29" s="249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5" t="s">
        <v>2218</v>
      </c>
      <c r="C32" s="2495"/>
      <c r="D32" s="2496"/>
      <c r="E32" s="2496"/>
      <c r="F32" s="2496"/>
      <c r="G32" s="2496"/>
      <c r="H32" s="2496"/>
      <c r="I32" s="2496"/>
      <c r="J32" s="2496"/>
      <c r="K32" s="249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63" orientation="portrait" useFirstPageNumber="1" r:id="rId1"/>
  <headerFooter>
    <oddFooter>&amp;C&amp;"Times New Roman,Regular"See Independent Auditor's Reports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8"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MADISON COMMUNITY UNIT SCHOOL DISTRICT NO. 12</v>
      </c>
      <c r="C1" s="2481"/>
      <c r="D1" s="2481"/>
      <c r="E1" s="2481"/>
      <c r="F1" s="2481"/>
      <c r="G1" s="2481"/>
      <c r="H1" s="2481"/>
      <c r="I1" s="2481"/>
      <c r="J1" s="2481"/>
      <c r="K1" s="2481"/>
      <c r="L1" s="1374"/>
      <c r="M1" s="1374"/>
    </row>
    <row r="2" spans="1:13" ht="12" customHeight="1" x14ac:dyDescent="0.2">
      <c r="B2" s="2483" t="str">
        <f>'Single Audit Cover'!E7</f>
        <v>41-057-0120-26</v>
      </c>
      <c r="C2" s="2483"/>
      <c r="D2" s="2483"/>
      <c r="E2" s="2483"/>
      <c r="F2" s="2483"/>
      <c r="G2" s="2483"/>
      <c r="H2" s="2483"/>
      <c r="I2" s="2483"/>
      <c r="J2" s="2483"/>
      <c r="K2" s="2483"/>
      <c r="L2" s="1375"/>
      <c r="M2" s="1376"/>
    </row>
    <row r="3" spans="1:13" ht="10.35" customHeight="1" x14ac:dyDescent="0.2">
      <c r="B3" s="2497" t="s">
        <v>1346</v>
      </c>
      <c r="C3" s="2497"/>
      <c r="D3" s="2497"/>
      <c r="E3" s="2497"/>
      <c r="F3" s="2497"/>
      <c r="G3" s="2497"/>
      <c r="H3" s="2497"/>
      <c r="I3" s="2497"/>
      <c r="J3" s="2497"/>
      <c r="K3" s="2497"/>
      <c r="L3" s="1956"/>
      <c r="M3" s="1956"/>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8" t="s">
        <v>1362</v>
      </c>
      <c r="C7" s="2498"/>
      <c r="D7" s="2499"/>
      <c r="E7" s="2499"/>
      <c r="F7" s="2499"/>
      <c r="G7" s="2499"/>
      <c r="H7" s="2499"/>
      <c r="I7" s="2499"/>
      <c r="J7" s="2499"/>
      <c r="K7" s="249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v>2</v>
      </c>
      <c r="E10" s="322"/>
      <c r="F10" s="1387" t="s">
        <v>1361</v>
      </c>
      <c r="G10" s="1388" t="s">
        <v>2073</v>
      </c>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6" t="s">
        <v>2207</v>
      </c>
      <c r="C14" s="2496"/>
      <c r="D14" s="2496"/>
      <c r="E14" s="2496"/>
      <c r="F14" s="2496"/>
      <c r="G14" s="2496"/>
      <c r="H14" s="2496"/>
      <c r="I14" s="2496"/>
      <c r="J14" s="2496"/>
      <c r="K14" s="249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6" t="s">
        <v>2201</v>
      </c>
      <c r="C17" s="2496"/>
      <c r="D17" s="2496"/>
      <c r="E17" s="2496"/>
      <c r="F17" s="2496"/>
      <c r="G17" s="2496"/>
      <c r="H17" s="2496"/>
      <c r="I17" s="2496"/>
      <c r="J17" s="2496"/>
      <c r="K17" s="2496"/>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0" t="s">
        <v>2188</v>
      </c>
      <c r="C20" s="2500"/>
      <c r="D20" s="2496"/>
      <c r="E20" s="2496"/>
      <c r="F20" s="2496"/>
      <c r="G20" s="2496"/>
      <c r="H20" s="2496"/>
      <c r="I20" s="2496"/>
      <c r="J20" s="2496"/>
      <c r="K20" s="2496"/>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6" t="s">
        <v>2200</v>
      </c>
      <c r="C23" s="2496"/>
      <c r="D23" s="2496"/>
      <c r="E23" s="2496"/>
      <c r="F23" s="2496"/>
      <c r="G23" s="2496"/>
      <c r="H23" s="2496"/>
      <c r="I23" s="2496"/>
      <c r="J23" s="2496"/>
      <c r="K23" s="2496"/>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6" t="s">
        <v>2201</v>
      </c>
      <c r="C26" s="2496"/>
      <c r="D26" s="2496"/>
      <c r="E26" s="2496"/>
      <c r="F26" s="2496"/>
      <c r="G26" s="2496"/>
      <c r="H26" s="2496"/>
      <c r="I26" s="2496"/>
      <c r="J26" s="2496"/>
      <c r="K26" s="2496"/>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5" t="s">
        <v>2202</v>
      </c>
      <c r="C29" s="2495"/>
      <c r="D29" s="2496"/>
      <c r="E29" s="2496"/>
      <c r="F29" s="2496"/>
      <c r="G29" s="2496"/>
      <c r="H29" s="2496"/>
      <c r="I29" s="2496"/>
      <c r="J29" s="2496"/>
      <c r="K29" s="249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5" t="s">
        <v>2219</v>
      </c>
      <c r="C32" s="2495"/>
      <c r="D32" s="2496"/>
      <c r="E32" s="2496"/>
      <c r="F32" s="2496"/>
      <c r="G32" s="2496"/>
      <c r="H32" s="2496"/>
      <c r="I32" s="2496"/>
      <c r="J32" s="2496"/>
      <c r="K32" s="249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1"/>
  <headerFooter>
    <oddFooter>&amp;C&amp;"Times New Roman,Regular"See Independent Auditor's Reports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4" zoomScale="110" zoomScaleNormal="110" workbookViewId="0">
      <selection activeCell="N54" sqref="N5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MADISON COMMUNITY UNIT SCHOOL DISTRICT NO. 12</v>
      </c>
      <c r="C1" s="2505"/>
      <c r="D1" s="2505"/>
      <c r="E1" s="2505"/>
      <c r="F1" s="2505"/>
      <c r="G1" s="2505"/>
      <c r="H1" s="2505"/>
      <c r="I1" s="2505"/>
      <c r="J1" s="2505"/>
      <c r="K1" s="2505"/>
      <c r="L1" s="1465"/>
    </row>
    <row r="2" spans="1:12" ht="12.75" customHeight="1" x14ac:dyDescent="0.2">
      <c r="B2" s="2506" t="str">
        <f>'Single Audit Cover'!E7</f>
        <v>41-057-0120-26</v>
      </c>
      <c r="C2" s="2506"/>
      <c r="D2" s="2506"/>
      <c r="E2" s="2506"/>
      <c r="F2" s="2506"/>
      <c r="G2" s="2506"/>
      <c r="H2" s="2506"/>
      <c r="I2" s="2506"/>
      <c r="J2" s="2506"/>
      <c r="K2" s="2506"/>
      <c r="L2" s="1466"/>
    </row>
    <row r="3" spans="1:12" ht="12.75" customHeight="1" x14ac:dyDescent="0.2">
      <c r="B3" s="2497" t="s">
        <v>1346</v>
      </c>
      <c r="C3" s="2497"/>
      <c r="D3" s="2497"/>
      <c r="E3" s="2497"/>
      <c r="F3" s="2497"/>
      <c r="G3" s="2497"/>
      <c r="H3" s="2497"/>
      <c r="I3" s="2497"/>
      <c r="J3" s="2497"/>
      <c r="K3" s="2497"/>
      <c r="L3" s="1377"/>
    </row>
    <row r="4" spans="1:12" ht="12.75" customHeight="1" x14ac:dyDescent="0.2">
      <c r="B4" s="2497" t="str">
        <f>'Single Audit Cover'!A4</f>
        <v>Year Ending June 30, 2018</v>
      </c>
      <c r="C4" s="2497"/>
      <c r="D4" s="2497"/>
      <c r="E4" s="2497"/>
      <c r="F4" s="2497"/>
      <c r="G4" s="2497"/>
      <c r="H4" s="2497"/>
      <c r="I4" s="2497"/>
      <c r="J4" s="2497"/>
      <c r="K4" s="2497"/>
      <c r="L4" s="1377"/>
    </row>
    <row r="5" spans="1:12" ht="5.25" customHeight="1" x14ac:dyDescent="0.2">
      <c r="B5" s="1260" t="s">
        <v>1230</v>
      </c>
      <c r="C5" s="1260"/>
      <c r="L5" s="322"/>
    </row>
    <row r="6" spans="1:12" ht="30.75" customHeight="1" x14ac:dyDescent="0.2">
      <c r="A6" s="322"/>
      <c r="B6" s="2507" t="s">
        <v>1374</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v>3</v>
      </c>
      <c r="E8" s="322"/>
      <c r="F8" s="1384" t="s">
        <v>1361</v>
      </c>
      <c r="G8" s="1469" t="s">
        <v>2073</v>
      </c>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04" t="s">
        <v>2176</v>
      </c>
      <c r="G12" s="2504"/>
      <c r="H12" s="2504"/>
      <c r="I12" s="2504"/>
      <c r="J12" s="2504"/>
      <c r="K12" s="250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1" t="s">
        <v>2189</v>
      </c>
      <c r="E14" s="2501"/>
      <c r="F14" s="2501"/>
      <c r="H14" s="1475" t="s">
        <v>1369</v>
      </c>
      <c r="I14" s="2502" t="s">
        <v>2091</v>
      </c>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2" t="s">
        <v>424</v>
      </c>
      <c r="E16" s="2502"/>
      <c r="F16" s="2502"/>
      <c r="G16" s="2502"/>
      <c r="H16" s="2502"/>
      <c r="I16" s="2502"/>
      <c r="J16" s="2502"/>
      <c r="K16" s="2502"/>
      <c r="L16" s="322"/>
    </row>
    <row r="17" spans="2:12" ht="13.5" customHeight="1" x14ac:dyDescent="0.2">
      <c r="B17" s="1387" t="s">
        <v>1367</v>
      </c>
      <c r="C17" s="1387"/>
      <c r="D17" s="2503" t="s">
        <v>2190</v>
      </c>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6" t="s">
        <v>2191</v>
      </c>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6" t="s">
        <v>2192</v>
      </c>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41.25" customHeight="1" x14ac:dyDescent="0.2">
      <c r="B26" s="2496" t="s">
        <v>2214</v>
      </c>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6" t="s">
        <v>2212</v>
      </c>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6" t="s">
        <v>2193</v>
      </c>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6" t="s">
        <v>2215</v>
      </c>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9" customHeight="1" x14ac:dyDescent="0.2">
      <c r="B38" s="2495" t="s">
        <v>2208</v>
      </c>
      <c r="C38" s="2495"/>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8.1" customHeight="1" x14ac:dyDescent="0.2">
      <c r="B41" s="2496" t="s">
        <v>2220</v>
      </c>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5" firstPageNumber="42" orientation="portrait" r:id="rId1"/>
  <headerFooter>
    <oddFooter>&amp;C&amp;"Times New Roman,Regular"See Independent Auditor's Reports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3"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MADISON COMMUNITY UNIT SCHOOL DISTRICT NO. 12</v>
      </c>
      <c r="C1" s="2505"/>
      <c r="D1" s="2505"/>
      <c r="E1" s="2505"/>
      <c r="F1" s="2505"/>
      <c r="G1" s="2505"/>
      <c r="H1" s="2505"/>
      <c r="I1" s="2505"/>
      <c r="J1" s="2505"/>
      <c r="K1" s="2505"/>
      <c r="L1" s="1465"/>
    </row>
    <row r="2" spans="1:12" ht="12.75" customHeight="1" x14ac:dyDescent="0.2">
      <c r="B2" s="2506" t="str">
        <f>'Single Audit Cover'!E7</f>
        <v>41-057-0120-26</v>
      </c>
      <c r="C2" s="2506"/>
      <c r="D2" s="2506"/>
      <c r="E2" s="2506"/>
      <c r="F2" s="2506"/>
      <c r="G2" s="2506"/>
      <c r="H2" s="2506"/>
      <c r="I2" s="2506"/>
      <c r="J2" s="2506"/>
      <c r="K2" s="2506"/>
      <c r="L2" s="1466"/>
    </row>
    <row r="3" spans="1:12" ht="12.75" customHeight="1" x14ac:dyDescent="0.2">
      <c r="B3" s="2497" t="s">
        <v>1346</v>
      </c>
      <c r="C3" s="2497"/>
      <c r="D3" s="2497"/>
      <c r="E3" s="2497"/>
      <c r="F3" s="2497"/>
      <c r="G3" s="2497"/>
      <c r="H3" s="2497"/>
      <c r="I3" s="2497"/>
      <c r="J3" s="2497"/>
      <c r="K3" s="2497"/>
      <c r="L3" s="1956"/>
    </row>
    <row r="4" spans="1:12" ht="12.75" customHeight="1" x14ac:dyDescent="0.2">
      <c r="B4" s="2497" t="str">
        <f>'Single Audit Cover'!A4</f>
        <v>Year Ending June 30, 2018</v>
      </c>
      <c r="C4" s="2497"/>
      <c r="D4" s="2497"/>
      <c r="E4" s="2497"/>
      <c r="F4" s="2497"/>
      <c r="G4" s="2497"/>
      <c r="H4" s="2497"/>
      <c r="I4" s="2497"/>
      <c r="J4" s="2497"/>
      <c r="K4" s="2497"/>
      <c r="L4" s="1956"/>
    </row>
    <row r="5" spans="1:12" ht="5.25" customHeight="1" x14ac:dyDescent="0.2">
      <c r="B5" s="1260" t="s">
        <v>1230</v>
      </c>
      <c r="C5" s="1260"/>
      <c r="L5" s="322"/>
    </row>
    <row r="6" spans="1:12" ht="30.75" customHeight="1" x14ac:dyDescent="0.2">
      <c r="A6" s="322"/>
      <c r="B6" s="2507" t="s">
        <v>1374</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v>4</v>
      </c>
      <c r="E8" s="322"/>
      <c r="F8" s="1384" t="s">
        <v>1361</v>
      </c>
      <c r="G8" s="1469" t="s">
        <v>2073</v>
      </c>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04" t="s">
        <v>2176</v>
      </c>
      <c r="G12" s="2504"/>
      <c r="H12" s="2504"/>
      <c r="I12" s="2504"/>
      <c r="J12" s="2504"/>
      <c r="K12" s="250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1" t="s">
        <v>2189</v>
      </c>
      <c r="E14" s="2501"/>
      <c r="F14" s="2501"/>
      <c r="H14" s="1475" t="s">
        <v>1369</v>
      </c>
      <c r="I14" s="2502" t="s">
        <v>2091</v>
      </c>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2" t="s">
        <v>424</v>
      </c>
      <c r="E16" s="2502"/>
      <c r="F16" s="2502"/>
      <c r="G16" s="2502"/>
      <c r="H16" s="2502"/>
      <c r="I16" s="2502"/>
      <c r="J16" s="2502"/>
      <c r="K16" s="2502"/>
      <c r="L16" s="322"/>
    </row>
    <row r="17" spans="2:12" ht="13.5" customHeight="1" x14ac:dyDescent="0.2">
      <c r="B17" s="1387" t="s">
        <v>1367</v>
      </c>
      <c r="C17" s="1387"/>
      <c r="D17" s="2503" t="s">
        <v>2190</v>
      </c>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6" t="s">
        <v>2203</v>
      </c>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6" t="s">
        <v>2209</v>
      </c>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6" t="s">
        <v>2188</v>
      </c>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6" t="s">
        <v>2210</v>
      </c>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6" t="s">
        <v>2204</v>
      </c>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6" t="s">
        <v>2195</v>
      </c>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8.25" customHeight="1" x14ac:dyDescent="0.2">
      <c r="B38" s="2495" t="s">
        <v>2205</v>
      </c>
      <c r="C38" s="2495"/>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8.1" customHeight="1" x14ac:dyDescent="0.2">
      <c r="B41" s="2496" t="s">
        <v>2221</v>
      </c>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5" firstPageNumber="42" orientation="portrait" r:id="rId1"/>
  <headerFooter>
    <oddFooter>&amp;C&amp;"Times New Roman,Regular"See Independent Auditor's Reports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41" zoomScale="110" zoomScaleNormal="110" workbookViewId="0">
      <selection activeCell="N46" sqref="N4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MADISON COMMUNITY UNIT SCHOOL DISTRICT NO. 12</v>
      </c>
      <c r="C1" s="2505"/>
      <c r="D1" s="2505"/>
      <c r="E1" s="2505"/>
      <c r="F1" s="2505"/>
      <c r="G1" s="2505"/>
      <c r="H1" s="2505"/>
      <c r="I1" s="2505"/>
      <c r="J1" s="2505"/>
      <c r="K1" s="2505"/>
      <c r="L1" s="1465"/>
    </row>
    <row r="2" spans="1:12" ht="12.75" customHeight="1" x14ac:dyDescent="0.2">
      <c r="B2" s="2506" t="str">
        <f>'Single Audit Cover'!E7</f>
        <v>41-057-0120-26</v>
      </c>
      <c r="C2" s="2506"/>
      <c r="D2" s="2506"/>
      <c r="E2" s="2506"/>
      <c r="F2" s="2506"/>
      <c r="G2" s="2506"/>
      <c r="H2" s="2506"/>
      <c r="I2" s="2506"/>
      <c r="J2" s="2506"/>
      <c r="K2" s="2506"/>
      <c r="L2" s="1466"/>
    </row>
    <row r="3" spans="1:12" ht="12.75" customHeight="1" x14ac:dyDescent="0.2">
      <c r="B3" s="2497" t="s">
        <v>1346</v>
      </c>
      <c r="C3" s="2497"/>
      <c r="D3" s="2497"/>
      <c r="E3" s="2497"/>
      <c r="F3" s="2497"/>
      <c r="G3" s="2497"/>
      <c r="H3" s="2497"/>
      <c r="I3" s="2497"/>
      <c r="J3" s="2497"/>
      <c r="K3" s="2497"/>
      <c r="L3" s="1957"/>
    </row>
    <row r="4" spans="1:12" ht="12.75" customHeight="1" x14ac:dyDescent="0.2">
      <c r="B4" s="2497" t="str">
        <f>'Single Audit Cover'!A4</f>
        <v>Year Ending June 30, 2018</v>
      </c>
      <c r="C4" s="2497"/>
      <c r="D4" s="2497"/>
      <c r="E4" s="2497"/>
      <c r="F4" s="2497"/>
      <c r="G4" s="2497"/>
      <c r="H4" s="2497"/>
      <c r="I4" s="2497"/>
      <c r="J4" s="2497"/>
      <c r="K4" s="2497"/>
      <c r="L4" s="1957"/>
    </row>
    <row r="5" spans="1:12" ht="5.25" customHeight="1" x14ac:dyDescent="0.2">
      <c r="B5" s="1260" t="s">
        <v>1230</v>
      </c>
      <c r="C5" s="1260"/>
      <c r="L5" s="322"/>
    </row>
    <row r="6" spans="1:12" ht="30.75" customHeight="1" x14ac:dyDescent="0.2">
      <c r="A6" s="322"/>
      <c r="B6" s="2507" t="s">
        <v>1374</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v>5</v>
      </c>
      <c r="E8" s="322"/>
      <c r="F8" s="1384" t="s">
        <v>1361</v>
      </c>
      <c r="G8" s="1469" t="s">
        <v>2073</v>
      </c>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04" t="s">
        <v>2176</v>
      </c>
      <c r="G12" s="2504"/>
      <c r="H12" s="2504"/>
      <c r="I12" s="2504"/>
      <c r="J12" s="2504"/>
      <c r="K12" s="250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1" t="s">
        <v>2213</v>
      </c>
      <c r="E14" s="2501"/>
      <c r="F14" s="2501"/>
      <c r="H14" s="1475" t="s">
        <v>1369</v>
      </c>
      <c r="I14" s="2502" t="s">
        <v>2091</v>
      </c>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2" t="s">
        <v>424</v>
      </c>
      <c r="E16" s="2502"/>
      <c r="F16" s="2502"/>
      <c r="G16" s="2502"/>
      <c r="H16" s="2502"/>
      <c r="I16" s="2502"/>
      <c r="J16" s="2502"/>
      <c r="K16" s="2502"/>
      <c r="L16" s="322"/>
    </row>
    <row r="17" spans="2:12" ht="13.5" customHeight="1" x14ac:dyDescent="0.2">
      <c r="B17" s="1387" t="s">
        <v>1367</v>
      </c>
      <c r="C17" s="1387"/>
      <c r="D17" s="2503" t="s">
        <v>2190</v>
      </c>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6" t="s">
        <v>2191</v>
      </c>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6" t="s">
        <v>2192</v>
      </c>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6" t="s">
        <v>2216</v>
      </c>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9.75" customHeight="1" x14ac:dyDescent="0.2">
      <c r="B29" s="2496" t="s">
        <v>2217</v>
      </c>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6" t="s">
        <v>2193</v>
      </c>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6" t="s">
        <v>2194</v>
      </c>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8.25" customHeight="1" x14ac:dyDescent="0.2">
      <c r="B38" s="2495" t="s">
        <v>2208</v>
      </c>
      <c r="C38" s="2495"/>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8.1" customHeight="1" x14ac:dyDescent="0.2">
      <c r="B41" s="2496" t="s">
        <v>2222</v>
      </c>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75" right="0.75" top="1" bottom="0.5" header="0.5" footer="0.5"/>
  <pageSetup scale="85" firstPageNumber="42" orientation="portrait" r:id="rId1"/>
  <headerFooter>
    <oddFooter>&amp;C&amp;"Times New Roman,Regular"See Independent Auditor's Reports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1" t="str">
        <f>'Single Audit Cover'!A7</f>
        <v>MADISON COMMUNITY UNIT SCHOOL DISTRICT NO. 12</v>
      </c>
      <c r="C1" s="2481"/>
      <c r="D1" s="2481"/>
      <c r="E1" s="1491"/>
    </row>
    <row r="2" spans="2:5" s="1282" customFormat="1" ht="12.75" customHeight="1" x14ac:dyDescent="0.2">
      <c r="B2" s="2483" t="str">
        <f>'Single Audit Cover'!E7</f>
        <v>41-057-0120-26</v>
      </c>
      <c r="C2" s="2483"/>
      <c r="D2" s="2483"/>
      <c r="E2" s="1492"/>
    </row>
    <row r="3" spans="2:5" ht="12.75" customHeight="1" x14ac:dyDescent="0.2">
      <c r="B3" s="2497" t="s">
        <v>1865</v>
      </c>
      <c r="C3" s="2497"/>
      <c r="D3" s="2497"/>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t="s">
        <v>2088</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rintOptions horizontalCentered="1"/>
  <pageMargins left="0.75" right="0.75" top="1" bottom="0.5" header="0.5" footer="0.5"/>
  <pageSetup scale="90" firstPageNumber="43" orientation="portrait" r:id="rId1"/>
  <headerFooter>
    <oddFooter>&amp;C&amp;"Times New Roman,Regular"See Independent Auditor's Reports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http://purl.org/dc/elements/1.1/"/>
    <ds:schemaRef ds:uri="d21dc803-237d-4c68-8692-8d731fd29118"/>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27</vt:i4>
      </vt:variant>
    </vt:vector>
  </HeadingPairs>
  <TitlesOfParts>
    <vt:vector size="6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vt:lpstr>
      <vt:lpstr>SF&amp;QC Sec-2 (2)</vt:lpstr>
      <vt:lpstr>SF&amp;QC Sec-3</vt:lpstr>
      <vt:lpstr>SF&amp;QC Sec-3 (2)</vt:lpstr>
      <vt:lpstr>SF&amp;QC Sec-3 (3)</vt:lpstr>
      <vt:lpstr>SSPAF</vt:lpstr>
      <vt:lpstr>' SEFA'!Print_Area</vt:lpstr>
      <vt:lpstr>' SEFA (2)'!Print_Area</vt:lpstr>
      <vt:lpstr>' SEFA (3)'!Print_Area</vt:lpstr>
      <vt:lpstr>' SEFA (4)'!Print_Area</vt:lpstr>
      <vt:lpstr>' SEFA (5)'!Print_Area</vt:lpstr>
      <vt:lpstr>'Aud Quest 2'!Print_Area</vt:lpstr>
      <vt:lpstr>'ICR Computation 30'!Print_Area</vt:lpstr>
      <vt:lpstr>'Itemization 33'!Print_Area</vt:lpstr>
      <vt:lpstr>'PCTC-OEPP 27-28'!Print_Area</vt:lpstr>
      <vt:lpstr>'SEFA NOTES'!Print_Area</vt:lpstr>
      <vt:lpstr>'SEFA Reconcile'!Print_Area</vt:lpstr>
      <vt:lpstr>'SF&amp;QC Sec-1'!Print_Area</vt:lpstr>
      <vt:lpstr>'SF&amp;QC Sec-3'!Print_Area</vt:lpstr>
      <vt:lpstr>'SF&amp;QC Sec-3 (2)'!Print_Area</vt:lpstr>
      <vt:lpstr>'SF&amp;QC Sec-3 (3)'!Print_Area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2018-12-28T14:58:24Z</cp:lastPrinted>
  <dcterms:created xsi:type="dcterms:W3CDTF">2003-10-29T19:06:34Z</dcterms:created>
  <dcterms:modified xsi:type="dcterms:W3CDTF">2019-01-09T21:36:36Z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