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2990" windowHeight="89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7" l="1"/>
  <c r="J27" i="186" l="1"/>
  <c r="I27" i="186"/>
  <c r="H27" i="186"/>
  <c r="M18" i="186"/>
  <c r="L18" i="186"/>
  <c r="K18" i="186"/>
  <c r="J18" i="186"/>
  <c r="I18" i="186"/>
  <c r="H18" i="186"/>
  <c r="G18" i="186"/>
  <c r="F18" i="186"/>
  <c r="E18" i="186"/>
  <c r="M23" i="186"/>
  <c r="L23" i="186"/>
  <c r="K23" i="186"/>
  <c r="J23" i="186"/>
  <c r="I23" i="186"/>
  <c r="H23" i="186"/>
  <c r="G23" i="186"/>
  <c r="F23" i="186"/>
  <c r="E23" i="186"/>
  <c r="M17" i="186"/>
  <c r="K17" i="186"/>
  <c r="K27" i="186" s="1"/>
  <c r="J17" i="186"/>
  <c r="I17" i="186"/>
  <c r="H17" i="186"/>
  <c r="G17" i="186"/>
  <c r="F17" i="186"/>
  <c r="E17" i="186"/>
  <c r="M16" i="186"/>
  <c r="M27" i="186" s="1"/>
  <c r="K16" i="186"/>
  <c r="J16" i="186"/>
  <c r="I16" i="186"/>
  <c r="H16" i="186"/>
  <c r="G16" i="186"/>
  <c r="G27" i="186" s="1"/>
  <c r="F16" i="186"/>
  <c r="F27" i="186" s="1"/>
  <c r="E16" i="186"/>
  <c r="E27" i="186" s="1"/>
  <c r="K25" i="183"/>
  <c r="J25" i="183"/>
  <c r="H25" i="183"/>
  <c r="M16" i="183"/>
  <c r="I16" i="183"/>
  <c r="G16" i="183"/>
  <c r="F16" i="183"/>
  <c r="E16" i="183"/>
  <c r="L14" i="183"/>
  <c r="L18" i="183"/>
  <c r="L19" i="183"/>
  <c r="L21" i="183"/>
  <c r="L22" i="183"/>
  <c r="L23" i="183"/>
  <c r="M19" i="186" l="1"/>
  <c r="M26" i="186" s="1"/>
  <c r="K19" i="186"/>
  <c r="K26" i="186" s="1"/>
  <c r="J19" i="186"/>
  <c r="J26" i="186" s="1"/>
  <c r="I19" i="186"/>
  <c r="I26" i="186" s="1"/>
  <c r="H19" i="186"/>
  <c r="H26" i="186" s="1"/>
  <c r="G19" i="186"/>
  <c r="G26" i="186" s="1"/>
  <c r="F19" i="186"/>
  <c r="E19" i="186"/>
  <c r="E26" i="186" s="1"/>
  <c r="M22" i="186"/>
  <c r="K22" i="186"/>
  <c r="J22" i="186"/>
  <c r="I22" i="186"/>
  <c r="H22" i="186"/>
  <c r="G22" i="186"/>
  <c r="F22" i="186"/>
  <c r="E22" i="186"/>
  <c r="M21" i="186"/>
  <c r="K21" i="186"/>
  <c r="J21" i="186"/>
  <c r="I21" i="186"/>
  <c r="H21" i="186"/>
  <c r="G21" i="186"/>
  <c r="F21" i="186"/>
  <c r="E21" i="186"/>
  <c r="M20" i="186"/>
  <c r="K20" i="186"/>
  <c r="K24" i="186" s="1"/>
  <c r="J20" i="186"/>
  <c r="I20" i="186"/>
  <c r="H20" i="186"/>
  <c r="G20" i="186"/>
  <c r="F20" i="186"/>
  <c r="E20" i="186"/>
  <c r="M15" i="186"/>
  <c r="K15" i="186"/>
  <c r="J15" i="186"/>
  <c r="I15" i="186"/>
  <c r="H15" i="186"/>
  <c r="G15" i="186"/>
  <c r="F15" i="186"/>
  <c r="E15" i="186"/>
  <c r="M14" i="186"/>
  <c r="K14" i="186"/>
  <c r="J14" i="186"/>
  <c r="I14" i="186"/>
  <c r="H14" i="186"/>
  <c r="G14" i="186"/>
  <c r="F14" i="186"/>
  <c r="E14" i="186"/>
  <c r="M13" i="186"/>
  <c r="K13" i="186"/>
  <c r="J13" i="186"/>
  <c r="I13" i="186"/>
  <c r="H13" i="186"/>
  <c r="G13" i="186"/>
  <c r="F13" i="186"/>
  <c r="E13" i="186"/>
  <c r="M12" i="186"/>
  <c r="K12" i="186"/>
  <c r="J12" i="186"/>
  <c r="I12" i="186"/>
  <c r="H12" i="186"/>
  <c r="G12" i="186"/>
  <c r="F12" i="186"/>
  <c r="E12" i="186"/>
  <c r="M24" i="186" l="1"/>
  <c r="I24" i="186"/>
  <c r="G24" i="186"/>
  <c r="F24" i="186"/>
  <c r="H24" i="186"/>
  <c r="J24" i="186"/>
  <c r="E24" i="186"/>
  <c r="F26" i="186"/>
  <c r="J18" i="185"/>
  <c r="H18" i="185"/>
  <c r="M21" i="184"/>
  <c r="K21" i="184"/>
  <c r="K18" i="185" s="1"/>
  <c r="J21" i="184"/>
  <c r="I21" i="184"/>
  <c r="G39" i="174" s="1"/>
  <c r="H21" i="184"/>
  <c r="G21" i="184"/>
  <c r="F21" i="184"/>
  <c r="E21" i="184"/>
  <c r="G38" i="174"/>
  <c r="M18" i="179" l="1"/>
  <c r="M25" i="183" s="1"/>
  <c r="M18" i="185" s="1"/>
  <c r="I18" i="179"/>
  <c r="I25" i="183" s="1"/>
  <c r="I18" i="185" s="1"/>
  <c r="D45" i="174" s="1"/>
  <c r="G18" i="179"/>
  <c r="G25" i="183" s="1"/>
  <c r="G18" i="185" s="1"/>
  <c r="F18" i="179"/>
  <c r="F25" i="183" s="1"/>
  <c r="F18" i="185" s="1"/>
  <c r="D35" i="171" s="1"/>
  <c r="E18" i="179"/>
  <c r="E25" i="183" s="1"/>
  <c r="E18" i="185" s="1"/>
  <c r="L25" i="186" l="1"/>
  <c r="L11" i="186"/>
  <c r="B4" i="186"/>
  <c r="L27" i="185"/>
  <c r="L26" i="185"/>
  <c r="L25" i="185"/>
  <c r="L24" i="185"/>
  <c r="L23" i="185"/>
  <c r="L22" i="185"/>
  <c r="L21" i="185"/>
  <c r="L20" i="185"/>
  <c r="L19" i="185"/>
  <c r="L17" i="185"/>
  <c r="L16" i="185"/>
  <c r="L15" i="185"/>
  <c r="L14" i="185"/>
  <c r="L13" i="185"/>
  <c r="L22" i="186" s="1"/>
  <c r="L12" i="185"/>
  <c r="L11" i="185"/>
  <c r="B4" i="185"/>
  <c r="L27" i="184"/>
  <c r="L26" i="184"/>
  <c r="L25" i="184"/>
  <c r="L24" i="184"/>
  <c r="L23" i="184"/>
  <c r="L22" i="184"/>
  <c r="L20" i="184"/>
  <c r="L19" i="184"/>
  <c r="L18" i="184"/>
  <c r="L17" i="184"/>
  <c r="L21" i="186" s="1"/>
  <c r="L16" i="184"/>
  <c r="L15" i="184"/>
  <c r="L20" i="186" s="1"/>
  <c r="L14" i="184"/>
  <c r="L13" i="184"/>
  <c r="L12" i="184"/>
  <c r="L11" i="184"/>
  <c r="B4" i="184"/>
  <c r="L27" i="183"/>
  <c r="L26" i="183"/>
  <c r="L24" i="183"/>
  <c r="L20" i="183"/>
  <c r="L17" i="183"/>
  <c r="L15" i="183"/>
  <c r="L17" i="186" s="1"/>
  <c r="L13" i="183"/>
  <c r="L12" i="183"/>
  <c r="L11" i="183"/>
  <c r="B4" i="183"/>
  <c r="L16" i="186" l="1"/>
  <c r="L27" i="186" s="1"/>
  <c r="L16" i="183"/>
  <c r="L19" i="186"/>
  <c r="L26" i="186"/>
  <c r="L21" i="184"/>
  <c r="E11" i="7"/>
  <c r="E14" i="7"/>
  <c r="E12" i="7"/>
  <c r="E10" i="7"/>
  <c r="E7" i="7"/>
  <c r="E8" i="7"/>
  <c r="E5" i="7"/>
  <c r="E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15" i="186" s="1"/>
  <c r="L21" i="179"/>
  <c r="L20" i="179"/>
  <c r="L19" i="179"/>
  <c r="L17" i="179"/>
  <c r="L14" i="186" s="1"/>
  <c r="L16" i="179"/>
  <c r="L15" i="179"/>
  <c r="L13" i="186" s="1"/>
  <c r="L14" i="179"/>
  <c r="L13" i="179"/>
  <c r="L12" i="179"/>
  <c r="L11" i="179"/>
  <c r="L12" i="186" l="1"/>
  <c r="L24" i="186" s="1"/>
  <c r="L18" i="179"/>
  <c r="L25" i="183" s="1"/>
  <c r="L18" i="185"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6"/>
  <c r="B1" i="185"/>
  <c r="B2" i="179"/>
  <c r="B2" i="186"/>
  <c r="B2" i="184"/>
  <c r="B2" i="183"/>
  <c r="B2" i="185"/>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J23" i="12" s="1"/>
  <c r="B7729" i="106"/>
  <c r="B7734" i="106"/>
  <c r="D7734" i="106" s="1"/>
  <c r="B7726" i="106"/>
  <c r="D76" i="36"/>
  <c r="F162" i="34"/>
  <c r="B30" i="36"/>
  <c r="B33" i="36" s="1"/>
  <c r="B43" i="36" s="1"/>
  <c r="B56" i="36" s="1"/>
  <c r="B66" i="36" s="1"/>
  <c r="B70" i="36" s="1"/>
  <c r="B74" i="36" s="1"/>
  <c r="D73" i="36"/>
  <c r="C191" i="5"/>
  <c r="C201" i="5"/>
  <c r="C211" i="5"/>
  <c r="C216" i="5"/>
  <c r="C224" i="5"/>
  <c r="C228" i="5"/>
  <c r="C259" i="5"/>
  <c r="B7761" i="106"/>
  <c r="D7761" i="106" s="1"/>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4395" i="106"/>
  <c r="D4395" i="106" s="1"/>
  <c r="D191" i="5"/>
  <c r="B4396" i="106" s="1"/>
  <c r="D4396" i="106" s="1"/>
  <c r="F191" i="5"/>
  <c r="G191" i="5"/>
  <c r="B5246" i="106"/>
  <c r="D5246" i="106" s="1"/>
  <c r="G201" i="5"/>
  <c r="B6409" i="106" s="1"/>
  <c r="D6409" i="106" s="1"/>
  <c r="B5260" i="106"/>
  <c r="D5260" i="106" s="1"/>
  <c r="D211" i="5"/>
  <c r="B5444" i="106" s="1"/>
  <c r="D5444" i="106" s="1"/>
  <c r="F211" i="5"/>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D22" i="37"/>
  <c r="J22" i="37"/>
  <c r="L5" i="11"/>
  <c r="B2056" i="106" s="1"/>
  <c r="D2056" i="106" s="1"/>
  <c r="D9" i="7"/>
  <c r="B1767" i="106" s="1"/>
  <c r="D1767" i="106" s="1"/>
  <c r="D17" i="7"/>
  <c r="B4104" i="106" s="1"/>
  <c r="D4104" i="106" s="1"/>
  <c r="F111" i="34" l="1"/>
  <c r="F70" i="34"/>
  <c r="G35" i="108"/>
  <c r="E35" i="108"/>
  <c r="B3647" i="106"/>
  <c r="D3647" i="106" s="1"/>
  <c r="K76" i="4"/>
  <c r="B3586" i="106" s="1"/>
  <c r="D3586" i="106" s="1"/>
  <c r="H33" i="118"/>
  <c r="F50" i="34"/>
  <c r="J77" i="4"/>
  <c r="B6262" i="106" s="1"/>
  <c r="D6262" i="106" s="1"/>
  <c r="K184" i="29"/>
  <c r="F13" i="4" s="1"/>
  <c r="B2596" i="106" s="1"/>
  <c r="D2596" i="106" s="1"/>
  <c r="D15" i="7"/>
  <c r="B1772" i="106" s="1"/>
  <c r="D1772" i="106" s="1"/>
  <c r="D7" i="7"/>
  <c r="B1763" i="106" s="1"/>
  <c r="D1763" i="106" s="1"/>
  <c r="D5" i="4"/>
  <c r="B3406" i="106" s="1"/>
  <c r="D3406" i="106" s="1"/>
  <c r="F35" i="34"/>
  <c r="L342" i="29"/>
  <c r="F19" i="7"/>
  <c r="B1807" i="106" s="1"/>
  <c r="D1807" i="106" s="1"/>
  <c r="B1746" i="106"/>
  <c r="D1746" i="106" s="1"/>
  <c r="F172" i="5"/>
  <c r="B5644" i="106" s="1"/>
  <c r="D5644" i="106" s="1"/>
  <c r="J41" i="3"/>
  <c r="B6216" i="106" s="1"/>
  <c r="D6216" i="106" s="1"/>
  <c r="H109" i="5"/>
  <c r="B6025" i="106" s="1"/>
  <c r="D6025" i="106" s="1"/>
  <c r="E109" i="5"/>
  <c r="E4" i="4" s="1"/>
  <c r="B2630" i="106" s="1"/>
  <c r="D2630" i="106" s="1"/>
  <c r="F46" i="34"/>
  <c r="B6261" i="106"/>
  <c r="D6261" i="106" s="1"/>
  <c r="C129" i="29"/>
  <c r="G39" i="108"/>
  <c r="J352" i="29"/>
  <c r="J367" i="29" s="1"/>
  <c r="B7245" i="106" s="1"/>
  <c r="D7245" i="106" s="1"/>
  <c r="F131" i="34"/>
  <c r="H76" i="4"/>
  <c r="B3298" i="106" s="1"/>
  <c r="D3298" i="106" s="1"/>
  <c r="I24" i="12"/>
  <c r="I26" i="12" s="1"/>
  <c r="B7741" i="106" s="1"/>
  <c r="D7741" i="106" s="1"/>
  <c r="G15" i="145"/>
  <c r="D12" i="7"/>
  <c r="B1769" i="106" s="1"/>
  <c r="D1769" i="106" s="1"/>
  <c r="J274" i="5"/>
  <c r="B7054" i="106" s="1"/>
  <c r="D7054" i="106" s="1"/>
  <c r="F41" i="34"/>
  <c r="D31" i="36"/>
  <c r="G5" i="4"/>
  <c r="B3409" i="106" s="1"/>
  <c r="D3409" i="106" s="1"/>
  <c r="F94" i="34"/>
  <c r="F49" i="34"/>
  <c r="B4109" i="106"/>
  <c r="D4109" i="106" s="1"/>
  <c r="B1274" i="106"/>
  <c r="D1274" i="106" s="1"/>
  <c r="D11" i="37"/>
  <c r="F128" i="34"/>
  <c r="N22" i="3"/>
  <c r="B283" i="106" s="1"/>
  <c r="D283" i="106" s="1"/>
  <c r="F45" i="34"/>
  <c r="F42" i="34"/>
  <c r="I342" i="29"/>
  <c r="B7222" i="106" s="1"/>
  <c r="D7222" i="106" s="1"/>
  <c r="H29" i="118"/>
  <c r="C342" i="29"/>
  <c r="B7216" i="106" s="1"/>
  <c r="D7216" i="106" s="1"/>
  <c r="J129" i="29"/>
  <c r="B7038" i="106" s="1"/>
  <c r="D7038" i="106" s="1"/>
  <c r="E174" i="29"/>
  <c r="B1309" i="106" s="1"/>
  <c r="D1309" i="106" s="1"/>
  <c r="K24" i="12"/>
  <c r="F66" i="34"/>
  <c r="D109" i="5"/>
  <c r="D4" i="7"/>
  <c r="B1760" i="106" s="1"/>
  <c r="D1760" i="106" s="1"/>
  <c r="B4413" i="106"/>
  <c r="D4413" i="106" s="1"/>
  <c r="L367" i="29"/>
  <c r="H365" i="29"/>
  <c r="B7242" i="106" s="1"/>
  <c r="D7242" i="106" s="1"/>
  <c r="B3619" i="106"/>
  <c r="D3619" i="106" s="1"/>
  <c r="H173" i="5"/>
  <c r="B5906" i="106" s="1"/>
  <c r="D5906" i="106" s="1"/>
  <c r="D24" i="37"/>
  <c r="B4270" i="106" s="1"/>
  <c r="D4270" i="106" s="1"/>
  <c r="I173" i="5"/>
  <c r="B4216" i="106" s="1"/>
  <c r="D4216" i="106" s="1"/>
  <c r="D6103" i="106"/>
  <c r="K41" i="3"/>
  <c r="B1996" i="106"/>
  <c r="D1996" i="106" s="1"/>
  <c r="B1128" i="106"/>
  <c r="D1128" i="106" s="1"/>
  <c r="E28" i="108"/>
  <c r="F28" i="108"/>
  <c r="F41" i="108" s="1"/>
  <c r="G43" i="108" s="1"/>
  <c r="D13" i="7"/>
  <c r="B3726" i="106" s="1"/>
  <c r="D3726" i="106" s="1"/>
  <c r="B5425" i="106"/>
  <c r="D5425" i="106" s="1"/>
  <c r="F127" i="34"/>
  <c r="B2054" i="106"/>
  <c r="D2054" i="106" s="1"/>
  <c r="L13" i="11"/>
  <c r="B2060" i="106" s="1"/>
  <c r="D2060" i="106" s="1"/>
  <c r="B5677" i="106"/>
  <c r="D5677" i="106" s="1"/>
  <c r="F130" i="34"/>
  <c r="L22" i="37"/>
  <c r="B2734" i="106"/>
  <c r="D2734" i="106" s="1"/>
  <c r="B1511" i="106"/>
  <c r="D1511" i="106" s="1"/>
  <c r="G14" i="4"/>
  <c r="B2609" i="106" s="1"/>
  <c r="D2609" i="106" s="1"/>
  <c r="C109" i="5"/>
  <c r="B5121" i="106" s="1"/>
  <c r="D5121" i="106" s="1"/>
  <c r="B5066" i="106"/>
  <c r="D5066" i="106" s="1"/>
  <c r="B1745" i="106"/>
  <c r="D1745" i="106" s="1"/>
  <c r="D5" i="7"/>
  <c r="B1761" i="106" s="1"/>
  <c r="D1761" i="106" s="1"/>
  <c r="B6848" i="106"/>
  <c r="D6848" i="106" s="1"/>
  <c r="F34" i="34"/>
  <c r="H28" i="118"/>
  <c r="B1868" i="106"/>
  <c r="D1868" i="106" s="1"/>
  <c r="B6006" i="106"/>
  <c r="D6006" i="106" s="1"/>
  <c r="K173" i="5"/>
  <c r="K6" i="4" s="1"/>
  <c r="B3570" i="106" s="1"/>
  <c r="D3570" i="106" s="1"/>
  <c r="G172" i="5"/>
  <c r="B5752" i="106"/>
  <c r="D5752" i="106" s="1"/>
  <c r="B1752" i="106"/>
  <c r="D1752" i="106" s="1"/>
  <c r="D11" i="7"/>
  <c r="B1768" i="106" s="1"/>
  <c r="D1768" i="106" s="1"/>
  <c r="B5488" i="106"/>
  <c r="D5488" i="106" s="1"/>
  <c r="F136" i="34"/>
  <c r="B5383" i="106"/>
  <c r="D5383" i="106" s="1"/>
  <c r="F106" i="34"/>
  <c r="B3668" i="106"/>
  <c r="D3668" i="106" s="1"/>
  <c r="K350" i="29"/>
  <c r="B6016" i="106"/>
  <c r="D6016" i="106" s="1"/>
  <c r="K274" i="5"/>
  <c r="K7" i="4" s="1"/>
  <c r="B3718" i="106" s="1"/>
  <c r="D3718" i="106" s="1"/>
  <c r="B5178" i="106"/>
  <c r="D5178" i="106" s="1"/>
  <c r="C172" i="5"/>
  <c r="B5214" i="106" s="1"/>
  <c r="D5214" i="106" s="1"/>
  <c r="B3621" i="106"/>
  <c r="D3621" i="106" s="1"/>
  <c r="C367" i="29"/>
  <c r="B4373" i="106"/>
  <c r="D4373" i="106" s="1"/>
  <c r="I274" i="5"/>
  <c r="B3254" i="106"/>
  <c r="D3254" i="106" s="1"/>
  <c r="F77" i="4"/>
  <c r="B3255" i="106" s="1"/>
  <c r="D3255" i="106" s="1"/>
  <c r="F21" i="8"/>
  <c r="G109" i="5"/>
  <c r="L15" i="11"/>
  <c r="B3459" i="106" s="1"/>
  <c r="D3459" i="106" s="1"/>
  <c r="B3649" i="106"/>
  <c r="D3649" i="106" s="1"/>
  <c r="G367" i="29"/>
  <c r="B3650" i="106" s="1"/>
  <c r="D3650" i="106" s="1"/>
  <c r="K285" i="29"/>
  <c r="B3724" i="106" s="1"/>
  <c r="D3724" i="106" s="1"/>
  <c r="B1329" i="106"/>
  <c r="D1329" i="106" s="1"/>
  <c r="F61" i="34"/>
  <c r="G210" i="29"/>
  <c r="B1124" i="106"/>
  <c r="D1124" i="106" s="1"/>
  <c r="H342" i="29"/>
  <c r="L312" i="29"/>
  <c r="B1410" i="106"/>
  <c r="D1410"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7235" i="106" l="1"/>
  <c r="D7235" i="106" s="1"/>
  <c r="I6" i="4"/>
  <c r="B5011" i="106" s="1"/>
  <c r="D5011" i="106" s="1"/>
  <c r="H77" i="4"/>
  <c r="B3299" i="106" s="1"/>
  <c r="D3299" i="106" s="1"/>
  <c r="B1381" i="106"/>
  <c r="D1381" i="106" s="1"/>
  <c r="H4" i="4"/>
  <c r="B2655" i="106" s="1"/>
  <c r="D2655" i="106" s="1"/>
  <c r="C4" i="4"/>
  <c r="B2551" i="106" s="1"/>
  <c r="D2551" i="106" s="1"/>
  <c r="B5527" i="106"/>
  <c r="D5527" i="106" s="1"/>
  <c r="D51" i="36"/>
  <c r="H6" i="4"/>
  <c r="L114" i="29"/>
  <c r="K28" i="118"/>
  <c r="O27" i="118" s="1"/>
  <c r="O29" i="118" s="1"/>
  <c r="H275" i="5"/>
  <c r="B5915" i="106" s="1"/>
  <c r="D5915" i="106" s="1"/>
  <c r="D7255" i="106"/>
  <c r="D7253" i="106"/>
  <c r="K365" i="29"/>
  <c r="K16" i="4" s="1"/>
  <c r="D7250" i="106"/>
  <c r="N23" i="3"/>
  <c r="B284" i="106" s="1"/>
  <c r="D284" i="106" s="1"/>
  <c r="D7254" i="106"/>
  <c r="D7252" i="106"/>
  <c r="B3568" i="106"/>
  <c r="D3568" i="106" s="1"/>
  <c r="D52" i="36"/>
  <c r="D44" i="36"/>
  <c r="F6" i="4"/>
  <c r="B2593" i="106" s="1"/>
  <c r="D2593" i="106" s="1"/>
  <c r="B5356" i="106"/>
  <c r="D5356" i="106" s="1"/>
  <c r="D4" i="4"/>
  <c r="B2564" i="106" s="1"/>
  <c r="D2564" i="106" s="1"/>
  <c r="L16" i="11"/>
  <c r="B2061" i="106" s="1"/>
  <c r="D2061" i="106" s="1"/>
  <c r="B6014" i="106"/>
  <c r="D6014" i="106" s="1"/>
  <c r="B7733" i="106"/>
  <c r="D7733" i="106" s="1"/>
  <c r="K26" i="12"/>
  <c r="B7743" i="106" s="1"/>
  <c r="D7743" i="106" s="1"/>
  <c r="F274" i="5"/>
  <c r="F275" i="5" s="1"/>
  <c r="B5720" i="106" s="1"/>
  <c r="D5720" i="106" s="1"/>
  <c r="G173" i="5"/>
  <c r="B5770" i="106"/>
  <c r="D5770" i="106" s="1"/>
  <c r="C173" i="5"/>
  <c r="F73" i="34"/>
  <c r="G15" i="4"/>
  <c r="B6032" i="106" s="1"/>
  <c r="D6032" i="106" s="1"/>
  <c r="B1365" i="106"/>
  <c r="D1365" i="106" s="1"/>
  <c r="F65" i="34"/>
  <c r="B3670" i="106"/>
  <c r="D3670" i="106" s="1"/>
  <c r="K352" i="29"/>
  <c r="K367" i="29" s="1"/>
  <c r="D7256" i="106"/>
  <c r="D7251" i="106"/>
  <c r="C114" i="29"/>
  <c r="B757" i="106" s="1"/>
  <c r="D757" i="106" s="1"/>
  <c r="B1879" i="106"/>
  <c r="D1879" i="106" s="1"/>
  <c r="H22" i="37"/>
  <c r="D19" i="7"/>
  <c r="B1775" i="106" s="1"/>
  <c r="D1775" i="106" s="1"/>
  <c r="K342" i="29"/>
  <c r="F13" i="34" s="1"/>
  <c r="B6024" i="106"/>
  <c r="D6024" i="106" s="1"/>
  <c r="G4" i="4"/>
  <c r="B2603" i="106" s="1"/>
  <c r="D2603"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J17" i="4" l="1"/>
  <c r="B2656" i="106"/>
  <c r="D2656" i="106" s="1"/>
  <c r="H8" i="4"/>
  <c r="F8" i="4"/>
  <c r="B5223" i="106"/>
  <c r="D5223" i="106" s="1"/>
  <c r="C6" i="4"/>
  <c r="B2553" i="106" s="1"/>
  <c r="D2553" i="106" s="1"/>
  <c r="K13" i="4"/>
  <c r="B3572" i="106" s="1"/>
  <c r="D3572" i="106" s="1"/>
  <c r="B3672" i="106"/>
  <c r="D3672" i="106" s="1"/>
  <c r="F24" i="37"/>
  <c r="G41" i="108"/>
  <c r="G44" i="108" s="1"/>
  <c r="G45" i="108" s="1"/>
  <c r="B5778" i="106"/>
  <c r="D5778" i="106" s="1"/>
  <c r="G6" i="4"/>
  <c r="B2604" i="106" s="1"/>
  <c r="D2604" i="106" s="1"/>
  <c r="J8" i="4"/>
  <c r="J20" i="4"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D8" i="4" l="1"/>
  <c r="B2568" i="106" s="1"/>
  <c r="D2568" i="106" s="1"/>
  <c r="J10" i="4"/>
  <c r="B6225" i="106" s="1"/>
  <c r="D622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C8" i="146" l="1"/>
  <c r="F8" i="146" s="1"/>
  <c r="D20" i="4"/>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<sst xmlns="http://schemas.openxmlformats.org/spreadsheetml/2006/main" count="5368" uniqueCount="2194">
  <si>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</si>
  <si>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</si>
  <si>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</si>
  <si>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</si>
  <si>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</si>
  <si>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</si>
  <si>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</si>
  <si>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</si>
  <si>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</si>
  <si>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</si>
  <si>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</si>
  <si>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</si>
  <si>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</si>
  <si>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</si>
  <si>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</si>
  <si>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</si>
  <si>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</si>
  <si>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</si>
  <si>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</si>
  <si>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</si>
  <si>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</si>
  <si>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</si>
  <si>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</si>
  <si>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</si>
  <si>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</si>
  <si>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</si>
  <si>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</si>
  <si>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</si>
  <si>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</si>
  <si>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</si>
  <si>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</si>
  <si>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</si>
  <si>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</si>
  <si>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</si>
  <si>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</si>
  <si>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</si>
  <si>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</si>
  <si>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</si>
  <si>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</si>
  <si>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</si>
  <si>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</si>
  <si>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</si>
  <si>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</si>
  <si>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</si>
  <si>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</si>
  <si>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</si>
  <si>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</si>
  <si>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</si>
  <si>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</si>
  <si>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</si>
  <si>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</si>
  <si>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</si>
  <si>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</si>
  <si>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</si>
  <si>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</si>
  <si>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</si>
  <si>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</si>
  <si>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</si>
  <si>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</si>
  <si>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</si>
  <si>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</si>
  <si>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</si>
  <si>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</si>
  <si>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</si>
  <si>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</si>
  <si>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</si>
  <si>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</si>
  <si>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</si>
  <si>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</si>
  <si>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</si>
  <si>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</si>
  <si>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</si>
  <si>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</si>
  <si>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</si>
  <si>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</si>
  <si>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</si>
  <si>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</si>
  <si>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</si>
  <si>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</si>
  <si>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</si>
  <si>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</si>
  <si>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</si>
  <si>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</si>
  <si>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</si>
  <si>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</si>
  <si>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</si>
  <si>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</si>
  <si>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</si>
  <si>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</si>
  <si>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</si>
  <si>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</si>
  <si>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</si>
  <si>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</si>
  <si>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</si>
  <si>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</si>
  <si>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</si>
  <si>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</si>
  <si>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</si>
  <si>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</si>
  <si>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</si>
  <si>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</si>
  <si>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</si>
  <si>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</si>
  <si>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</si>
  <si>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</si>
  <si>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</si>
  <si>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</si>
  <si>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</si>
  <si>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</si>
  <si>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</si>
  <si>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</si>
  <si>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</si>
  <si>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</si>
  <si>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</si>
  <si>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</si>
  <si>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</si>
  <si>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</si>
  <si>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</si>
  <si>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</si>
  <si>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</si>
  <si>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</si>
  <si>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</si>
  <si>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</si>
  <si>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</si>
  <si>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</si>
  <si>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</si>
  <si>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</si>
  <si>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</si>
  <si>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</si>
  <si>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</si>
  <si>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</si>
  <si>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</si>
  <si>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</si>
  <si>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</si>
  <si>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</si>
  <si>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</si>
  <si>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</si>
  <si>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</si>
  <si>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</si>
  <si>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</si>
  <si>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</si>
  <si>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</si>
  <si>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</si>
  <si>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</si>
  <si>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</si>
  <si>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</si>
  <si>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</si>
  <si>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</si>
  <si>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</si>
  <si>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</si>
  <si>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</si>
  <si>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</si>
  <si>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</si>
  <si>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</si>
  <si>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</si>
  <si>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</si>
  <si>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</si>
  <si>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</si>
  <si>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</si>
  <si>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</si>
  <si>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</si>
  <si>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</si>
  <si>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</si>
  <si>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</si>
  <si>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</si>
  <si>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</si>
  <si>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</si>
  <si>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</si>
  <si>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</si>
  <si>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</si>
  <si>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</si>
  <si>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</si>
  <si>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</si>
  <si>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</si>
  <si>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</si>
  <si>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</si>
  <si>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</si>
  <si>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</si>
  <si>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</si>
  <si>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</si>
  <si>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</si>
  <si>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</si>
  <si>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</si>
  <si>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</si>
  <si>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</si>
  <si>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</si>
  <si>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</si>
  <si>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</si>
  <si>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</si>
  <si>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</si>
  <si>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</si>
  <si>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</si>
  <si>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</si>
  <si>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</si>
  <si>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</si>
  <si>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</si>
  <si>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</si>
  <si>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</si>
  <si>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</si>
  <si>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</si>
  <si>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</si>
  <si>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</si>
  <si>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</si>
  <si>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</si>
  <si>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</si>
  <si>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</si>
  <si>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</si>
  <si>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</si>
  <si>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</si>
  <si>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</si>
  <si>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</si>
  <si>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</si>
  <si>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</si>
  <si>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</si>
  <si>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</si>
  <si>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</si>
  <si>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</si>
  <si>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</si>
  <si>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</si>
  <si>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</si>
  <si>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</si>
  <si>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</si>
  <si>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</si>
  <si>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</si>
  <si>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</si>
  <si>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</si>
  <si>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</si>
  <si>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</si>
  <si>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</si>
  <si>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</si>
  <si>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</si>
  <si>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</si>
  <si>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</si>
  <si>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</si>
  <si>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</si>
  <si>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</si>
  <si>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</si>
  <si>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</si>
  <si>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</si>
  <si>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</si>
  <si>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</si>
  <si>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</si>
  <si>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</si>
  <si>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</si>
  <si>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</si>
  <si>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</si>
  <si>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</si>
  <si>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</si>
  <si>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</si>
  <si>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</si>
  <si>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</si>
  <si>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</si>
  <si>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</si>
  <si>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</si>
  <si>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</si>
  <si>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</si>
  <si>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</si>
  <si>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</si>
  <si>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</si>
  <si>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</si>
  <si>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</si>
  <si>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</si>
  <si>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</si>
  <si>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</si>
  <si>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</si>
  <si>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</si>
  <si>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</si>
  <si>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</si>
  <si>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</si>
  <si>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</si>
  <si>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</si>
  <si>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</si>
  <si>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</si>
  <si>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</si>
  <si>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</si>
  <si>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</si>
  <si>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</si>
  <si>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</si>
  <si>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</si>
  <si>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</si>
  <si>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</si>
  <si>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</si>
  <si>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</si>
  <si>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</si>
  <si>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</si>
  <si>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</si>
  <si>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</si>
  <si>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</si>
  <si>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</si>
  <si>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</si>
  <si>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</si>
  <si>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</si>
  <si>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</si>
  <si>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</si>
  <si>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</si>
  <si>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</si>
  <si>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</si>
  <si>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</si>
  <si>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</si>
  <si>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</si>
  <si>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</si>
  <si>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</si>
  <si>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</si>
  <si>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</si>
  <si>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</si>
  <si>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</si>
  <si>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</si>
  <si>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</si>
  <si>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</si>
  <si>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</si>
  <si>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</si>
  <si>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</si>
  <si>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</si>
  <si>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</si>
  <si>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</si>
  <si>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</si>
  <si>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</si>
  <si>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</si>
  <si>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</si>
  <si>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</si>
  <si>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</si>
  <si>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</si>
  <si>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</si>
  <si>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</si>
  <si>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</si>
  <si>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</si>
  <si>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</si>
  <si>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</si>
  <si>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</si>
  <si>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</si>
  <si>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</si>
  <si>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</si>
  <si>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</si>
  <si>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</si>
  <si>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</si>
  <si>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</si>
  <si>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</si>
  <si>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</si>
  <si>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</si>
  <si>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</si>
  <si>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</si>
  <si>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</si>
  <si>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</si>
  <si>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</si>
  <si>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</si>
  <si>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</si>
  <si>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</si>
  <si>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</si>
  <si>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</si>
  <si>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</si>
  <si>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</si>
  <si>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</si>
  <si>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</si>
  <si>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</si>
  <si>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</si>
  <si>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</si>
  <si>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</si>
  <si>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</si>
  <si>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</si>
  <si>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</si>
  <si>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</si>
  <si>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</si>
  <si>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</si>
  <si>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</si>
  <si>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</si>
  <si>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</si>
  <si>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</si>
  <si>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</si>
  <si>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</si>
  <si>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</si>
  <si>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</si>
  <si>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</si>
  <si>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</si>
  <si>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</si>
  <si>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</si>
  <si>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</si>
  <si>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</si>
  <si>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</si>
  <si>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</si>
  <si>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</si>
  <si>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</si>
  <si>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</si>
  <si>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</si>
  <si>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</si>
  <si>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</si>
  <si>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</si>
  <si>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</si>
  <si>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</si>
  <si>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</si>
  <si>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</si>
  <si>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</si>
  <si>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</si>
  <si>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</si>
  <si>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</si>
  <si>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</si>
  <si>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</si>
  <si>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</si>
  <si>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</si>
  <si>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</si>
  <si>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</si>
  <si>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</si>
  <si>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</si>
  <si>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</si>
  <si>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</si>
  <si>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</si>
  <si>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</si>
  <si>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</si>
  <si>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</si>
  <si>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</si>
  <si>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</si>
  <si>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</si>
  <si>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</si>
  <si>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</si>
  <si>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</si>
  <si>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</si>
  <si>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</si>
  <si>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</si>
  <si>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</si>
  <si>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</si>
  <si>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</si>
  <si>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</si>
  <si>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</si>
  <si>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</si>
  <si>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</si>
  <si>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</si>
  <si>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</si>
  <si>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</si>
  <si>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</si>
  <si>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</si>
  <si>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</si>
  <si>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</si>
  <si>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</si>
  <si>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</si>
  <si>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</si>
  <si>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</si>
  <si>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</si>
  <si>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</si>
  <si>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</si>
  <si>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</si>
  <si>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</si>
  <si>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</si>
  <si>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</si>
  <si>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</si>
  <si>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</si>
  <si>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</si>
  <si>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</si>
  <si>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</si>
  <si>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</si>
  <si>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</si>
  <si>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</si>
  <si>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</si>
  <si>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</si>
  <si>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</si>
  <si>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</si>
  <si>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</si>
  <si>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</si>
  <si>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</si>
  <si>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</si>
  <si>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</si>
  <si>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</si>
  <si>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</si>
  <si>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</si>
  <si>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</si>
  <si>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</si>
  <si>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</si>
  <si>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</si>
  <si>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</si>
  <si>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</si>
  <si>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</si>
  <si>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</si>
  <si>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</si>
  <si>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</si>
  <si>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</si>
  <si>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</si>
  <si>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</si>
  <si>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</si>
  <si>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</si>
  <si>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</si>
  <si>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</si>
  <si>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</si>
  <si>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</si>
  <si>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</si>
  <si>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</si>
  <si>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</si>
  <si>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</si>
  <si>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</si>
  <si>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</si>
  <si>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</si>
  <si>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</si>
  <si>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</si>
  <si>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</si>
  <si>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</si>
  <si>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</si>
  <si>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</si>
  <si>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</si>
  <si>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</si>
  <si>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</si>
  <si>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</si>
  <si>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</si>
  <si>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</si>
  <si>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</si>
  <si>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</si>
  <si>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</si>
  <si>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</si>
  <si>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</si>
  <si>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</si>
  <si>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</si>
  <si>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</si>
  <si>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</si>
  <si>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</si>
  <si>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</si>
  <si>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</si>
  <si>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</si>
  <si>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</si>
  <si>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</si>
  <si>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</si>
  <si>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</si>
  <si>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</si>
  <si>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</si>
  <si>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</si>
  <si>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</si>
  <si>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</si>
  <si>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</si>
  <si>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</si>
  <si>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</si>
  <si>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</si>
  <si>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</si>
  <si>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</si>
  <si>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</si>
  <si>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</si>
  <si>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</si>
  <si>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</si>
  <si>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</si>
  <si>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</si>
  <si>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</si>
  <si>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</si>
  <si>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</si>
  <si>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</si>
  <si>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</si>
  <si>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</si>
  <si>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</si>
  <si>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</si>
  <si>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</si>
  <si>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</si>
  <si>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</si>
  <si>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</si>
  <si>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</si>
  <si>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</si>
  <si>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</si>
  <si>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</si>
  <si>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</si>
  <si>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</si>
  <si>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</si>
  <si>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</si>
  <si>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</si>
  <si>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</si>
  <si>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</si>
  <si>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</si>
  <si>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</si>
  <si>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</si>
  <si>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</si>
  <si>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</si>
  <si>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</si>
  <si>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</si>
  <si>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</si>
  <si>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</si>
  <si>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</si>
  <si>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</si>
  <si>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</si>
  <si>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</si>
  <si>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</si>
  <si>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</si>
  <si>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</si>
  <si>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</si>
  <si>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</si>
  <si>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</si>
  <si>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</si>
  <si>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</si>
  <si>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</si>
  <si>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</si>
  <si>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</si>
  <si>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</si>
  <si>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</si>
  <si>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</si>
  <si>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</si>
  <si>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</si>
  <si>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</si>
  <si>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</si>
  <si>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</si>
  <si>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</si>
  <si>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</si>
  <si>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</si>
  <si>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</si>
  <si>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</si>
  <si>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</si>
  <si>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</si>
  <si>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</si>
  <si>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</si>
  <si>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</si>
  <si>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</si>
  <si>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</si>
  <si>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</si>
  <si>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</si>
  <si>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</si>
  <si>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</si>
  <si>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</si>
  <si>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</si>
  <si>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</si>
  <si>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</si>
  <si>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</si>
  <si>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</si>
  <si>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</si>
  <si>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</si>
  <si>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</si>
  <si>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</si>
  <si>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</si>
  <si>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</si>
  <si>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</si>
  <si>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</si>
  <si>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</si>
  <si>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</si>
  <si>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</si>
  <si>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</si>
  <si>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</si>
  <si>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</si>
  <si>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</si>
  <si>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</si>
  <si>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</si>
  <si>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</si>
  <si>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</si>
  <si>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</si>
  <si>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</si>
  <si>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</si>
  <si>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</si>
  <si>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</si>
  <si>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</si>
  <si>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</si>
  <si>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</si>
  <si>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</si>
  <si>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</si>
  <si>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</si>
  <si>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</si>
  <si>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</si>
  <si>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</si>
  <si>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</si>
  <si>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</si>
  <si>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</si>
  <si>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</si>
  <si>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</si>
  <si>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</si>
  <si>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</si>
  <si>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</si>
  <si>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</si>
  <si>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</si>
  <si>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</si>
  <si>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</si>
  <si>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</si>
  <si>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</si>
  <si>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</si>
  <si>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</si>
  <si>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</si>
  <si>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</si>
  <si>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</si>
  <si>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</si>
  <si>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</si>
  <si>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</si>
  <si>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</si>
  <si>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</si>
  <si>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</si>
  <si>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</si>
  <si>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</si>
  <si>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</si>
  <si>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</si>
  <si>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</si>
  <si>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</si>
  <si>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</si>
  <si>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</si>
  <si>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</si>
  <si>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</si>
  <si>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</si>
  <si>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</si>
  <si>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</si>
  <si>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</si>
  <si>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</si>
  <si>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</si>
  <si>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</si>
  <si>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</si>
  <si>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</si>
  <si>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</si>
  <si>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</si>
  <si>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</si>
  <si>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</si>
  <si>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</si>
  <si>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</si>
  <si>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</si>
  <si>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</si>
  <si>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</si>
  <si>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</si>
  <si>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</si>
  <si>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</si>
  <si>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</si>
  <si>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</si>
  <si>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</si>
  <si>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</si>
  <si>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</si>
  <si>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</si>
  <si>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</si>
  <si>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</si>
  <si>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</si>
  <si>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</si>
  <si>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</si>
  <si>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</si>
  <si>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</si>
  <si>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</si>
  <si>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</si>
  <si>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</si>
  <si>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</si>
  <si>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</si>
  <si>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</si>
  <si>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</si>
  <si>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</si>
  <si>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</si>
  <si>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</si>
  <si>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</si>
  <si>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</si>
  <si>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</si>
  <si>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</si>
  <si>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</si>
  <si>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</si>
  <si>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</si>
  <si>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</si>
  <si>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</si>
  <si>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</si>
  <si>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</si>
  <si>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</si>
  <si>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</si>
  <si>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</si>
  <si>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</si>
  <si>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</si>
  <si>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</si>
  <si>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</si>
  <si>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</si>
  <si>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</si>
  <si>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</si>
  <si>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</si>
  <si>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</si>
  <si>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</si>
  <si>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</si>
  <si>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</si>
  <si>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</si>
  <si>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</si>
  <si>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</si>
  <si>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</si>
  <si>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</si>
  <si>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</si>
  <si>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</si>
  <si>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</si>
  <si>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</si>
  <si>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</si>
  <si>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</si>
  <si>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</si>
  <si>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</si>
  <si>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</si>
  <si>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</si>
  <si>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</si>
  <si>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</si>
  <si>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</si>
  <si>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</si>
  <si>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</si>
  <si>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</si>
  <si>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</si>
  <si>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</si>
  <si>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</si>
  <si>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</si>
  <si>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</si>
  <si>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</si>
  <si>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</si>
  <si>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</si>
  <si>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</si>
  <si>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</si>
  <si>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</si>
  <si>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</si>
  <si>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</si>
  <si>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</si>
  <si>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</si>
  <si>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</si>
  <si>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</si>
  <si>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</si>
  <si>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</si>
  <si>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</si>
  <si>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</si>
  <si>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</si>
  <si>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</si>
  <si>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</si>
  <si>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</si>
  <si>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</si>
  <si>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</si>
  <si>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</si>
  <si>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</si>
  <si>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</si>
  <si>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</si>
  <si>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</si>
  <si>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</si>
  <si>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</si>
  <si>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</si>
  <si>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</si>
  <si>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</si>
  <si>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</si>
  <si>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</si>
  <si>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</si>
  <si>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</si>
  <si>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</si>
  <si>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</si>
  <si>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</si>
  <si>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</si>
  <si>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</si>
  <si>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</si>
  <si>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</si>
  <si>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</si>
  <si>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</si>
  <si>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</si>
  <si>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</si>
  <si>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</si>
  <si>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</si>
  <si>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</si>
  <si>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</si>
  <si>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</si>
  <si>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</si>
  <si>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</si>
  <si>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</si>
  <si>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</si>
  <si>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</si>
  <si>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</si>
  <si>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</si>
  <si>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</si>
  <si>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</si>
  <si>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</si>
  <si>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</si>
  <si>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</si>
  <si>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</si>
  <si>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</si>
  <si>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</si>
  <si>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</si>
  <si>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</si>
  <si>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</si>
  <si>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</si>
  <si>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</si>
  <si>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</si>
  <si>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</si>
  <si>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</si>
  <si>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</si>
  <si>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</si>
  <si>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</si>
  <si>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</si>
  <si>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</si>
  <si>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</si>
  <si>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</si>
  <si>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</si>
  <si>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</si>
  <si>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</si>
  <si>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</si>
  <si>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</si>
  <si>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</si>
  <si>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</si>
  <si>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</si>
  <si>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</si>
  <si>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</si>
  <si>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</si>
  <si>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</si>
  <si>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</si>
  <si>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</si>
  <si>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</si>
  <si>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</si>
  <si>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</si>
  <si>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</si>
  <si>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</si>
  <si>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</si>
  <si>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</si>
  <si>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</si>
  <si>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</si>
  <si>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</si>
  <si>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</si>
  <si>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</si>
  <si>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</si>
  <si>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</si>
  <si>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</si>
  <si>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</si>
  <si>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</si>
  <si>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</si>
  <si>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</si>
  <si>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</si>
  <si>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</si>
  <si>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</si>
  <si>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</si>
  <si>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</si>
  <si>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</si>
  <si>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</si>
  <si>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</si>
  <si>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</si>
  <si>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</si>
  <si>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</si>
  <si>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</si>
  <si>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</si>
  <si>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</si>
  <si>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</si>
  <si>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</si>
  <si>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</si>
  <si>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</si>
  <si>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</si>
  <si>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</si>
  <si>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</si>
  <si>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</si>
  <si>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</si>
  <si>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</si>
  <si>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</si>
  <si>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</si>
  <si>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</si>
  <si>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</si>
  <si>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</si>
  <si>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</si>
  <si>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</si>
  <si>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</si>
  <si>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</si>
  <si>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</si>
  <si>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</si>
  <si>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</si>
  <si>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</si>
  <si>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</si>
  <si>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</si>
  <si>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</si>
  <si>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</si>
  <si>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</si>
  <si>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</si>
  <si>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</si>
  <si>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</si>
  <si>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</si>
  <si>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</si>
  <si>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</si>
  <si>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</si>
  <si>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</si>
  <si>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</si>
  <si>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</si>
  <si>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</si>
  <si>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</si>
  <si>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</si>
  <si>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</si>
  <si>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</si>
  <si>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</si>
  <si>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</si>
  <si>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</si>
  <si>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</si>
  <si>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</si>
  <si>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</si>
  <si>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</si>
  <si>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</si>
  <si>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</si>
  <si>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</si>
  <si>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</si>
  <si>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</si>
  <si>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</si>
  <si>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</si>
  <si>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</si>
  <si>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</si>
  <si>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</si>
  <si>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</si>
  <si>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</si>
  <si>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</si>
  <si>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</si>
  <si>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</si>
  <si>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</si>
  <si>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</si>
  <si>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</si>
  <si>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</si>
  <si>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</si>
  <si>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</si>
  <si>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</si>
  <si>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</si>
  <si>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</si>
  <si>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</si>
  <si>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</si>
  <si>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</si>
  <si>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</si>
  <si>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</si>
  <si>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</si>
  <si>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</si>
  <si>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</si>
  <si>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</si>
  <si>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</si>
  <si>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</si>
  <si>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</si>
  <si>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</si>
  <si>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</si>
  <si>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</si>
  <si>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</si>
  <si>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</si>
  <si>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</si>
  <si>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</si>
  <si>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</si>
  <si>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</si>
  <si>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</si>
  <si>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</si>
  <si>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</si>
  <si>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</si>
  <si>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</si>
  <si>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</si>
  <si>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</si>
  <si>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</si>
  <si>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</si>
  <si>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</si>
  <si>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</si>
  <si>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</si>
  <si>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</si>
  <si>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</si>
  <si>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</si>
  <si>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</si>
  <si>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</si>
  <si>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</si>
  <si>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</si>
  <si>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</si>
  <si>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</si>
  <si>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</si>
  <si>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</si>
  <si>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</si>
  <si>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</si>
  <si>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</si>
  <si>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</si>
  <si>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</si>
  <si>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</si>
  <si>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</si>
  <si>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</si>
  <si>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</si>
  <si>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</si>
  <si>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</si>
  <si>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</si>
  <si>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</si>
  <si>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</si>
  <si>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</si>
  <si>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</si>
  <si>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</si>
  <si>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</si>
  <si>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</si>
  <si>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</si>
  <si>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</si>
  <si>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</si>
  <si>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</si>
  <si>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</si>
  <si>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</si>
  <si>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</si>
  <si>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</si>
  <si>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</si>
  <si>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</si>
  <si>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</si>
  <si>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</si>
  <si>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</si>
  <si>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</si>
  <si>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</si>
  <si>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</si>
  <si>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</si>
  <si>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</si>
  <si>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</si>
  <si>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</si>
  <si>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</si>
  <si>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</si>
  <si>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</si>
  <si>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</si>
  <si>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</si>
  <si>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</si>
  <si>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</si>
  <si>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</si>
  <si>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</si>
  <si>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</si>
  <si>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</si>
  <si>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</si>
  <si>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</si>
  <si>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</si>
  <si>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</si>
  <si>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</si>
  <si>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</si>
  <si>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</si>
  <si>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</si>
  <si>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</si>
  <si>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</si>
  <si>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</si>
  <si>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</si>
  <si>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</si>
  <si>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</si>
  <si>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</si>
  <si>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</si>
  <si>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</si>
  <si>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</si>
  <si>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</si>
  <si>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</si>
  <si>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</si>
  <si>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</si>
  <si>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</si>
  <si>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</si>
  <si>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</si>
  <si>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</si>
  <si>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</si>
  <si>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</si>
  <si>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</si>
  <si>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</si>
  <si>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</si>
  <si>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</si>
  <si>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</si>
  <si>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</si>
  <si>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</si>
  <si>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</si>
  <si>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</si>
  <si>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</si>
  <si>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</si>
  <si>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</si>
  <si>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</si>
  <si>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</si>
  <si>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</si>
  <si>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</si>
  <si>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</si>
  <si>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</si>
  <si>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</si>
  <si>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</si>
  <si>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</si>
  <si>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</si>
  <si>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</si>
  <si>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</si>
  <si>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</si>
  <si>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</si>
  <si>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</si>
  <si>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</si>
  <si>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</si>
  <si>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</si>
  <si>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</si>
  <si>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</si>
  <si>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</si>
  <si>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</si>
  <si>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</si>
  <si>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</si>
  <si>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</si>
  <si>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</si>
  <si>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</si>
  <si>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</si>
  <si>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</si>
  <si>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</si>
  <si>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</si>
  <si>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</si>
  <si>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</si>
  <si>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</si>
  <si>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</si>
  <si>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</si>
  <si>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</si>
  <si>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</si>
  <si>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</si>
  <si>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</si>
  <si>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</si>
  <si>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</si>
  <si>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</si>
  <si>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</si>
  <si>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</si>
  <si>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</si>
  <si>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</si>
  <si>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</si>
  <si>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</si>
  <si>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</si>
  <si>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</si>
  <si>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</si>
  <si>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</si>
  <si>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</si>
  <si>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</si>
  <si>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</si>
  <si>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</si>
  <si>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</si>
  <si>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</si>
  <si>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</si>
  <si>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</si>
  <si>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</si>
  <si>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</si>
  <si>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</si>
  <si>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</si>
  <si>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</si>
  <si>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</si>
  <si>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</si>
  <si>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</si>
  <si>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</si>
  <si>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</si>
  <si>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</si>
  <si>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</si>
  <si>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</si>
  <si>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</si>
  <si>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</si>
  <si>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</si>
  <si>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</si>
  <si>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</si>
  <si>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</si>
  <si>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</si>
  <si>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</si>
  <si>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</si>
  <si>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</si>
  <si>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</si>
  <si>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</si>
  <si>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</si>
  <si>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</si>
  <si>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</si>
  <si>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</si>
  <si>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</si>
  <si>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</si>
  <si>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</si>
  <si>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</si>
  <si>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</si>
  <si>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</si>
  <si>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</si>
  <si>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</si>
  <si>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</si>
  <si>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</si>
  <si>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</si>
  <si>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</si>
  <si>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</si>
  <si>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</si>
  <si>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</si>
  <si>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</si>
  <si>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</si>
  <si>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</si>
  <si>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</si>
  <si>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</si>
  <si>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</si>
  <si>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</si>
  <si>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</si>
  <si>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</si>
  <si>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</si>
  <si>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</si>
  <si>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</si>
  <si>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</si>
  <si>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</si>
  <si>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</si>
  <si>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</si>
  <si>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</si>
  <si>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</si>
  <si>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</si>
  <si>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</si>
  <si>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</si>
  <si>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</si>
  <si>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</si>
  <si>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</si>
  <si>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</si>
  <si>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</si>
  <si>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</si>
  <si>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</si>
  <si>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</si>
  <si>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</si>
  <si>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</si>
  <si>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</si>
  <si>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</si>
  <si>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</si>
  <si>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</si>
  <si>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</si>
  <si>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</si>
  <si>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</si>
  <si>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</si>
  <si>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</si>
  <si>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</si>
  <si>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</si>
  <si>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</si>
  <si>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</si>
  <si>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</si>
  <si>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</si>
  <si>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</si>
  <si>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</si>
  <si>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</si>
  <si>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</si>
  <si>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</si>
  <si>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</si>
  <si>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</si>
  <si>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</si>
  <si>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</si>
  <si>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</si>
  <si>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</si>
  <si>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</si>
  <si>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</si>
  <si>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</si>
  <si>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</si>
  <si>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</si>
  <si>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</si>
  <si>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</si>
  <si>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</si>
  <si>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</si>
  <si>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</si>
  <si>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</si>
  <si>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</si>
  <si>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</si>
  <si>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</si>
  <si>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</si>
  <si>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</si>
  <si>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</si>
  <si>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</si>
  <si>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</si>
  <si>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</si>
  <si>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</si>
  <si>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</si>
  <si>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</si>
  <si>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</si>
  <si>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</si>
  <si>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</si>
  <si>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</si>
  <si>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</si>
  <si>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</si>
  <si>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</si>
  <si>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</si>
  <si>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</si>
  <si>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</si>
  <si>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</si>
  <si>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</si>
  <si>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</si>
  <si>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</si>
  <si>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</si>
  <si>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</si>
  <si>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</si>
  <si>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</si>
  <si>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</si>
  <si>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</si>
  <si>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</si>
  <si>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</si>
  <si>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</si>
  <si>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</si>
  <si>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</si>
  <si>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</si>
  <si>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</si>
  <si>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</si>
  <si>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</si>
  <si>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</si>
  <si>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</si>
  <si>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</si>
  <si>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</si>
  <si>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</si>
  <si>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</si>
  <si>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</si>
  <si>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</si>
  <si>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</si>
  <si>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</si>
  <si>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</si>
  <si>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</si>
  <si>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</si>
  <si>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</si>
  <si>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</si>
  <si>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</si>
  <si>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</si>
  <si>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</si>
  <si>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</si>
  <si>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</si>
  <si>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</si>
  <si>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</si>
  <si>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</si>
  <si>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</si>
  <si>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</si>
  <si>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</si>
  <si>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</si>
  <si>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</si>
  <si>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</si>
  <si>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</si>
  <si>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</si>
  <si>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</si>
  <si>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</si>
  <si>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</si>
  <si>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</si>
  <si>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</si>
  <si>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</si>
  <si>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</si>
  <si>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</si>
  <si>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</si>
  <si>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</si>
  <si>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</si>
  <si>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</si>
  <si>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</si>
  <si>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</si>
  <si>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</si>
  <si>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</si>
  <si>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</si>
  <si>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</si>
  <si>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</si>
  <si>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</si>
  <si>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</si>
  <si>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</si>
  <si>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</si>
  <si>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</si>
  <si>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</si>
  <si>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</si>
  <si>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</si>
  <si>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</si>
  <si>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</si>
  <si>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</si>
  <si>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</si>
  <si>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</si>
  <si>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</si>
  <si>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</si>
  <si>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</si>
  <si>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</si>
  <si>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</si>
  <si>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</si>
  <si>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</si>
  <si>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</si>
  <si>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</si>
  <si>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</si>
  <si>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</si>
  <si>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</si>
  <si>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</si>
  <si>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</si>
  <si>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</si>
  <si>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</si>
  <si>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</si>
  <si>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</si>
  <si>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</si>
  <si>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</si>
  <si>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</si>
  <si>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</si>
  <si>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</si>
  <si>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</si>
  <si>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</si>
  <si>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</si>
  <si>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</si>
  <si>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</si>
  <si>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</si>
  <si>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</si>
  <si>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</si>
  <si>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</si>
  <si>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</si>
  <si>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</si>
  <si>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</si>
  <si>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</si>
  <si>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</si>
  <si>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</si>
  <si>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</si>
  <si>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</si>
  <si>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</si>
  <si>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</si>
  <si>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</si>
  <si>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</si>
  <si>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</si>
  <si>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</si>
  <si>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</si>
  <si>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</si>
  <si>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</si>
  <si>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</si>
  <si>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</si>
  <si>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</si>
  <si>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</si>
  <si>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</si>
  <si>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</si>
  <si>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</si>
  <si>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</si>
  <si>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</si>
  <si>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</si>
  <si>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</si>
  <si>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</si>
  <si>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</si>
  <si>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</si>
  <si>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</si>
  <si>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</si>
  <si>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</si>
  <si>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</si>
  <si>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</si>
  <si>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</si>
  <si>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</si>
  <si>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</si>
  <si>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</si>
  <si>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</si>
  <si>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</si>
  <si>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</si>
  <si>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</si>
  <si>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</si>
  <si>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</si>
  <si>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</si>
  <si>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</si>
  <si>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</si>
  <si>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</si>
  <si>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</si>
  <si>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</si>
  <si>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</si>
  <si>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</si>
  <si>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</si>
  <si>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</si>
  <si>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</si>
  <si>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</si>
  <si>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</si>
  <si>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</si>
  <si>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</si>
  <si>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</si>
  <si>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</si>
  <si>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</si>
  <si>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</si>
  <si>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</si>
  <si>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</si>
  <si>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</si>
  <si>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</si>
  <si>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</si>
  <si>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</si>
  <si>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</si>
  <si>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</si>
  <si>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</si>
  <si>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</si>
  <si>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</si>
  <si>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</si>
  <si>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</si>
  <si>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</si>
  <si>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</si>
  <si>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</si>
  <si>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</si>
  <si>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</si>
  <si>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</si>
  <si>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</si>
  <si>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</si>
  <si>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</si>
  <si>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</si>
  <si>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</si>
  <si>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</si>
  <si>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</si>
  <si>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</si>
  <si>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</si>
  <si>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</si>
  <si>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</si>
  <si>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</si>
  <si>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</si>
  <si>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</si>
  <si>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</si>
  <si>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</si>
  <si>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</si>
  <si>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</si>
  <si>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</si>
  <si>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</si>
  <si>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</si>
  <si>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</si>
  <si>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</si>
  <si>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</si>
  <si>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</si>
  <si>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</si>
  <si>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</si>
  <si>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</si>
  <si>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</si>
  <si>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</si>
  <si>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</si>
  <si>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</si>
  <si>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</si>
  <si>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</si>
  <si>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</si>
  <si>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</si>
  <si>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</si>
  <si>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</si>
  <si>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</si>
  <si>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</si>
  <si>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</si>
  <si>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</si>
  <si>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</si>
  <si>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</si>
  <si>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</si>
  <si>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</si>
  <si>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</si>
  <si>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</si>
  <si>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</si>
  <si>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</si>
  <si>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</si>
  <si>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</si>
  <si>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</si>
  <si>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</si>
  <si>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</si>
  <si>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</si>
  <si>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</si>
  <si>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</si>
  <si>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</si>
  <si>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</si>
  <si>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</si>
  <si>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</si>
  <si>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</si>
  <si>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</si>
  <si>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</si>
  <si>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</si>
  <si>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</si>
  <si>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</si>
  <si>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</si>
  <si>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</si>
  <si>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</si>
  <si>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</si>
  <si>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</si>
  <si>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</si>
  <si>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</si>
  <si>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</si>
  <si>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</si>
  <si>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</si>
  <si>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</si>
  <si>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</si>
  <si>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</si>
  <si>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</si>
  <si>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</si>
  <si>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</si>
  <si>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</si>
  <si>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</si>
  <si>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</si>
  <si>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</si>
  <si>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</si>
  <si>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</si>
  <si>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</si>
  <si>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</si>
  <si>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</si>
  <si>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</si>
  <si>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</si>
  <si>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</si>
  <si>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</si>
  <si>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</si>
  <si>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</si>
  <si>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</si>
  <si>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</si>
  <si>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</si>
  <si>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</si>
  <si>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</si>
  <si>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</si>
  <si>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</si>
  <si>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</si>
  <si>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</si>
  <si>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</si>
  <si>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</si>
  <si>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</si>
  <si>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</si>
  <si>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</si>
  <si>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</si>
  <si>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</si>
  <si>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</si>
  <si>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</si>
  <si>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</si>
  <si>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</si>
  <si>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</si>
  <si>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</si>
  <si>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</si>
  <si>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</si>
  <si>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</si>
  <si>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</si>
  <si>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</si>
  <si>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</si>
  <si>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</si>
  <si>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</si>
  <si>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</si>
  <si>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</si>
  <si>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</si>
  <si>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</si>
  <si>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</si>
  <si>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</si>
  <si>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</si>
  <si>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</si>
  <si>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</si>
  <si>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</si>
  <si>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</si>
  <si>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</si>
  <si>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</si>
  <si>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</si>
  <si>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</si>
  <si>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</si>
  <si>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</si>
  <si>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</si>
  <si>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</si>
  <si>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</si>
  <si>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</si>
  <si>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</si>
  <si>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</si>
  <si>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</si>
  <si>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</si>
  <si>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</si>
  <si>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</si>
  <si>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</si>
  <si>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</si>
  <si>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</si>
  <si>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</si>
  <si>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</si>
  <si>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</si>
  <si>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</si>
  <si>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</si>
  <si>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</si>
  <si>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</si>
  <si>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</si>
  <si>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</si>
  <si>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</si>
  <si>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</si>
  <si>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</si>
  <si>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</si>
  <si>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</si>
  <si>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</si>
  <si>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</si>
  <si>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</si>
  <si>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</si>
  <si>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</si>
  <si>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</si>
  <si>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</si>
  <si>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</si>
  <si>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</si>
  <si>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</si>
  <si>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</si>
  <si>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</si>
  <si>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</si>
  <si>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</si>
  <si>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</si>
  <si>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</si>
  <si>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</si>
  <si>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</si>
  <si>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</si>
  <si>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</si>
  <si>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</si>
  <si>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</si>
  <si>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</si>
  <si>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</si>
  <si>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</si>
  <si>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</si>
  <si>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</si>
  <si>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</si>
  <si>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</si>
  <si>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</si>
  <si>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</si>
  <si>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</si>
  <si>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</si>
  <si>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</si>
  <si>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</si>
  <si>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</si>
  <si>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</si>
  <si>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</si>
  <si>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</si>
  <si>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</si>
  <si>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</si>
  <si>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</si>
  <si>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</si>
  <si>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</si>
  <si>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</si>
  <si>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</si>
  <si>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</si>
  <si>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</si>
  <si>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</si>
  <si>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</si>
  <si>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</si>
  <si>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</si>
  <si>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</si>
  <si>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</si>
  <si>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</si>
  <si>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</si>
  <si>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</si>
  <si>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</si>
  <si>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</si>
  <si>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</si>
  <si>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</si>
  <si>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</si>
  <si>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</si>
  <si>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</si>
  <si>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</si>
  <si>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</si>
  <si>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</si>
  <si>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</si>
  <si>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</si>
  <si>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</si>
  <si>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</si>
  <si>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</si>
  <si>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</si>
  <si>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</si>
  <si>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</si>
  <si>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</si>
  <si>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</si>
  <si>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</si>
  <si>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</si>
  <si>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</si>
  <si>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</si>
  <si>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</si>
  <si>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</si>
  <si>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</si>
  <si>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</si>
  <si>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</si>
  <si>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</si>
  <si>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</si>
  <si>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</si>
  <si>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</si>
  <si>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</si>
  <si>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</si>
  <si>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</si>
  <si>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</si>
  <si>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</si>
  <si>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</si>
  <si>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</si>
  <si>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</si>
  <si>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</si>
  <si>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</si>
  <si>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</si>
  <si>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</si>
  <si>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</si>
  <si>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</si>
  <si>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</si>
  <si>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</si>
  <si>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</si>
  <si>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</si>
  <si>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</si>
  <si>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</si>
  <si>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</si>
  <si>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</si>
  <si>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</si>
  <si>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</si>
  <si>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</si>
  <si>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</si>
  <si>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</si>
  <si>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</si>
  <si>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</si>
  <si>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</si>
  <si>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</si>
  <si>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</si>
  <si>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</si>
  <si>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</si>
  <si>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</si>
  <si>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</si>
  <si>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</si>
  <si>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</si>
  <si>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</si>
  <si>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</si>
  <si>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</si>
  <si>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</si>
  <si>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</si>
  <si>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</si>
  <si>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</si>
  <si>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</si>
  <si>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</si>
  <si>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</si>
  <si>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</si>
  <si>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</si>
  <si>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</si>
  <si>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</si>
  <si>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</si>
  <si>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</si>
  <si>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</si>
  <si>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</si>
  <si>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</si>
  <si>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</si>
  <si>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</si>
  <si>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</si>
  <si>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</si>
  <si>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</si>
  <si>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</si>
  <si>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</si>
  <si>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</si>
  <si>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</si>
  <si>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</si>
  <si>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</si>
  <si>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</si>
  <si>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</si>
  <si>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</si>
  <si>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</si>
  <si>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</si>
  <si>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</si>
  <si>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</si>
  <si>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</si>
  <si>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</si>
  <si>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</si>
  <si>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</si>
  <si>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</si>
  <si>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</si>
  <si>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</si>
  <si>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</si>
  <si>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</si>
  <si>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</si>
  <si>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</si>
  <si>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</si>
  <si>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</si>
  <si>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</si>
  <si>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</si>
  <si>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</si>
  <si>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</si>
  <si>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</si>
  <si>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</si>
  <si>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</si>
  <si>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</si>
  <si>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</si>
  <si>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</si>
  <si>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</si>
  <si>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</si>
  <si>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</si>
  <si>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</si>
  <si>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</si>
  <si>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</si>
  <si>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</si>
  <si>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</si>
  <si>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</si>
  <si>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</si>
  <si>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</si>
  <si>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</si>
  <si>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</si>
  <si>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</si>
  <si>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</si>
  <si>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</si>
  <si>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</si>
  <si>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</si>
  <si>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</si>
  <si>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</si>
  <si>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</si>
  <si>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</si>
  <si>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</si>
  <si>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</si>
  <si>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</si>
  <si>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</si>
  <si>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</si>
  <si>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</si>
  <si>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</si>
  <si>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</si>
  <si>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</si>
  <si>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</si>
  <si>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</si>
  <si>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</si>
  <si>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</si>
  <si>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</si>
  <si>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</si>
  <si>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</si>
  <si>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</si>
  <si>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</si>
  <si>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</si>
  <si>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</si>
  <si>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</si>
  <si>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</si>
  <si>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</si>
  <si>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</si>
  <si>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</si>
  <si>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</si>
  <si>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</si>
  <si>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</si>
  <si>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</si>
  <si>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</si>
  <si>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</si>
  <si>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</si>
  <si>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</si>
  <si>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</si>
  <si>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</si>
  <si>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</si>
  <si>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</si>
  <si>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</si>
  <si>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</si>
  <si>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</si>
  <si>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</si>
  <si>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</si>
  <si>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</si>
  <si>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</si>
  <si>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</si>
  <si>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</si>
  <si>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</si>
  <si>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</si>
  <si>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</si>
  <si>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</si>
  <si>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</si>
  <si>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</si>
  <si>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</si>
  <si>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</si>
  <si>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</si>
  <si>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</si>
  <si>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</si>
  <si>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</si>
  <si>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</si>
  <si>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</si>
  <si>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</si>
  <si>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</si>
  <si>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</si>
  <si>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</si>
  <si>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</si>
  <si>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</si>
  <si>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</si>
  <si>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</si>
  <si>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</si>
  <si>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</si>
  <si>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</si>
  <si>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</si>
  <si>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</si>
  <si>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</si>
  <si>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</si>
  <si>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</si>
  <si>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</si>
  <si>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</si>
  <si>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</si>
  <si>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</si>
  <si>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</si>
  <si>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</si>
  <si>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</si>
  <si>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</si>
  <si>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</si>
  <si>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</si>
  <si>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</si>
  <si>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</si>
  <si>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</si>
  <si>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</si>
  <si>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</si>
  <si>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</si>
  <si>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</si>
  <si>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</si>
  <si>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</si>
  <si>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</si>
  <si>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</si>
  <si>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</si>
  <si>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</si>
  <si>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</si>
  <si>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</si>
  <si>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</si>
  <si>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</si>
  <si>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</si>
  <si>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</si>
  <si>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</si>
  <si>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</si>
  <si>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</si>
  <si>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</si>
  <si>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</si>
  <si>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</si>
  <si>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</si>
  <si>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</si>
  <si>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</si>
  <si>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</si>
  <si>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</si>
  <si>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</si>
  <si>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</si>
  <si>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</si>
  <si>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</si>
  <si>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</si>
  <si>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</si>
  <si>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</si>
  <si>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</si>
  <si>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</si>
  <si>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</si>
  <si>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</si>
  <si>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</si>
  <si>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</si>
  <si>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</si>
  <si>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</si>
  <si>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</si>
  <si>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</si>
  <si>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</si>
  <si>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</si>
  <si>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</si>
  <si>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</si>
  <si>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</si>
  <si>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</si>
  <si>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</si>
  <si>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</si>
  <si>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</si>
  <si>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</si>
  <si>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</si>
  <si>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</si>
  <si>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</si>
  <si>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</si>
  <si>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</si>
  <si>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</si>
  <si>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</si>
  <si>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</si>
  <si>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</si>
  <si>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</si>
  <si>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</si>
  <si>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</si>
  <si>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</si>
  <si>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</si>
  <si>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</si>
  <si>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</si>
  <si>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</si>
  <si>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</si>
  <si>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</si>
  <si>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</si>
  <si>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</si>
  <si>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</si>
  <si>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</si>
  <si>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</si>
  <si>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</si>
  <si>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</si>
  <si>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</si>
  <si>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</si>
  <si>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</si>
  <si>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</si>
  <si>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</si>
  <si>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</si>
  <si>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</si>
  <si>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</si>
  <si>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</si>
  <si>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</si>
  <si>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</si>
  <si>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</si>
  <si>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</si>
  <si>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</si>
  <si>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</si>
  <si>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</si>
  <si>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</si>
  <si>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</si>
  <si>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</si>
  <si>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</si>
  <si>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</si>
  <si>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</si>
  <si>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</si>
  <si>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</si>
  <si>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</si>
  <si>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</si>
  <si>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MADISON</t>
  </si>
  <si>
    <t>610 TEXAS BLVD</t>
  </si>
  <si>
    <t>BETHALTO</t>
  </si>
  <si>
    <t>JGRIFFIN@BETHALTO.ORG</t>
  </si>
  <si>
    <t>2012 G.O BONDS</t>
  </si>
  <si>
    <t>1,2,4</t>
  </si>
  <si>
    <t>TRANSPORTATION EQUIPMENT LEASE</t>
  </si>
  <si>
    <t>2013 G.O. REFUNDING BONDS</t>
  </si>
  <si>
    <t>3,4</t>
  </si>
  <si>
    <t>2014 G.O. BONDS</t>
  </si>
  <si>
    <t>2016A G.O. REFUNDING BONDS</t>
  </si>
  <si>
    <t>2016B G.O. BONDS</t>
  </si>
  <si>
    <t>2017 G.O. BONDS</t>
  </si>
  <si>
    <t>1,2,3</t>
  </si>
  <si>
    <t>VILLAGE OF BETHALTO-SPORTS COMPLEX</t>
  </si>
  <si>
    <t>SPECIAL EDUCATION DISTRICT III MADISON COUNTY</t>
  </si>
  <si>
    <t>MADISON COUNTY CAREER AND TECHNICAL EDUCATION SYSTEM</t>
  </si>
  <si>
    <t>Of the federal expenditures presented in the schedule, Bethalto CUSD No. 8 provided federal awards to subrecipients as follows:</t>
  </si>
  <si>
    <t>NONE</t>
  </si>
  <si>
    <r>
      <t xml:space="preserve">The following amounts were expended in the form of non-cash assistance by Bethalto CUSD No. 8 and </t>
    </r>
    <r>
      <rPr>
        <b/>
        <sz val="9"/>
        <rFont val="Calibri"/>
        <family val="2"/>
        <scheme val="minor"/>
      </rPr>
      <t>should be</t>
    </r>
    <r>
      <rPr>
        <sz val="9"/>
        <rFont val="Calibri"/>
        <family val="2"/>
        <scheme val="minor"/>
      </rPr>
      <t xml:space="preserve"> included in the Schedule of Expenditures of Federal Awards:</t>
    </r>
  </si>
  <si>
    <t>ADVERSE</t>
  </si>
  <si>
    <t>UNMODIFIED</t>
  </si>
  <si>
    <t>U.S. DEPARTMENT OF EDUCATION</t>
  </si>
  <si>
    <t>PASS THROUGH ILLINOIS STATE BOARD OF EDUCATION:</t>
  </si>
  <si>
    <t xml:space="preserve">TITLE I - LOW INCOME     (M) </t>
  </si>
  <si>
    <t>84.010A</t>
  </si>
  <si>
    <t>2017-4300-00</t>
  </si>
  <si>
    <t>2018-4300-00</t>
  </si>
  <si>
    <t>TITLE II - TEACHER QUALITY</t>
  </si>
  <si>
    <t>84.367A</t>
  </si>
  <si>
    <t>2017-4932-00</t>
  </si>
  <si>
    <t>2018-4932-00</t>
  </si>
  <si>
    <t>2018-4400-00</t>
  </si>
  <si>
    <t>TITLE IVA - STUDENT SUPPORT &amp; ACADEMIC ENRICH</t>
  </si>
  <si>
    <t>84.424A</t>
  </si>
  <si>
    <t xml:space="preserve">   TOTAL ILLINOIS STATE BOARD OF EDUCATION</t>
  </si>
  <si>
    <t>PASS THROUGH MADISON COUNTY CAREER AND TECHNICAL EDUCATION SYSTEM:</t>
  </si>
  <si>
    <t>PERKINS IIC SECONDARY</t>
  </si>
  <si>
    <t>2018-4745-00</t>
  </si>
  <si>
    <t>PASS THROUGH REGION III SPECIAL EDUCATION COOPERATIVE:</t>
  </si>
  <si>
    <t>I.D.E.A. FLOW THROUGH</t>
  </si>
  <si>
    <t>I.D.E.A. PRE SCHOOL</t>
  </si>
  <si>
    <t>2018-4620-057</t>
  </si>
  <si>
    <t>2018-4600-057</t>
  </si>
  <si>
    <t xml:space="preserve">   TOTAL REGION III SPECIAL EDUCATION COOPERATIVE</t>
  </si>
  <si>
    <t>PASS THROUGH ILLINOIS DEPARTMENT OF HEALTHCARE AND FAMILY SERVICES:</t>
  </si>
  <si>
    <t>S.T.E.P.</t>
  </si>
  <si>
    <t>TOTAL U.S. DEPARTMENT OF EDUCATION</t>
  </si>
  <si>
    <t>TITLE I - LOW INCOME</t>
  </si>
  <si>
    <t>10.555, 10.556, 10.553</t>
  </si>
  <si>
    <t>NATIONAL LUNCH PROGRAM, SPECIAL MILK, SCHOOL BREAKFAST PROGRAM, NONCASH COMMODITIES</t>
  </si>
  <si>
    <t>U.S. DEPARTMENT OF AGRICULTURE:</t>
  </si>
  <si>
    <t>NATIONAL LUNCH PROGRAM                   (M)</t>
  </si>
  <si>
    <t>SPECIAL MILK                                                     (M)</t>
  </si>
  <si>
    <t>SCHOOL BREAKFAST PROGRAM               (M)</t>
  </si>
  <si>
    <t>NON-CASH COMMODITIES                          (M)</t>
  </si>
  <si>
    <t>TOTAL U.S. DEPARTMENT OF AGRICULTURE</t>
  </si>
  <si>
    <t>U.S. DEPARTMENT OF DEFENSE</t>
  </si>
  <si>
    <t>NON-CASH COMMODITIES                         (M)</t>
  </si>
  <si>
    <t>2017-4210-00</t>
  </si>
  <si>
    <t>2018-4210-00</t>
  </si>
  <si>
    <t>2017-4215-00</t>
  </si>
  <si>
    <t>2018-4215-00</t>
  </si>
  <si>
    <t>2017-4220-00</t>
  </si>
  <si>
    <t>2018-4220-00</t>
  </si>
  <si>
    <t>2018-4299-00</t>
  </si>
  <si>
    <t>U.S. DEPARTMENT OF HUMAN SERVICES:</t>
  </si>
  <si>
    <t>PASS THROUGH STATE OF ILLINOIS DEPARTMENT OF HEALTHCARE AND FAMILY SERVICES:</t>
  </si>
  <si>
    <t>MEDICAID MATCHING</t>
  </si>
  <si>
    <t>FEE FOR SERVICE</t>
  </si>
  <si>
    <t>TOTAL FEDERAL PROGRAMS</t>
  </si>
  <si>
    <t>INFORMATIONAL ONLY:</t>
  </si>
  <si>
    <t>TOTAL FOR CFDA #84.010A</t>
  </si>
  <si>
    <t>TOTAL FOR CFDA #84.367A</t>
  </si>
  <si>
    <t>TOTAL FOR CFDA #84.048</t>
  </si>
  <si>
    <t>TOTAL FOR CFDA #84.027</t>
  </si>
  <si>
    <t>TOTAL FOR CFDA #84.173</t>
  </si>
  <si>
    <t>TOTAL FOR CFDA #84.424A</t>
  </si>
  <si>
    <t>TOTAL FOR CFDA #10.555</t>
  </si>
  <si>
    <t>TOTAL FOR CFDA #10.556</t>
  </si>
  <si>
    <t>TOTAL FOR CFDA #10.553</t>
  </si>
  <si>
    <t>TOTAL FOR CFDA #93.778</t>
  </si>
  <si>
    <t>TOTAL FOR ALL CFDAS</t>
  </si>
  <si>
    <t>CLUSTER PROGRAMS:</t>
  </si>
  <si>
    <t>10.553, 10.555, 10.556</t>
  </si>
  <si>
    <t>PASS THROUGH SOUTHERN ILLINOIS UNIVERSITY EDWARDSVILLE:</t>
  </si>
  <si>
    <t>PASS THROUGH MADISON COUNTY REGIONAL OFFICE OF EDUCATION #41:</t>
  </si>
  <si>
    <t>SIUE NCLB</t>
  </si>
  <si>
    <t>R9-14 ED FUND A/C 1690 $13,155 OTHER</t>
  </si>
  <si>
    <t>R9-14 ED FUND A/C 1890 $694 OTHER</t>
  </si>
  <si>
    <t>R9-14 ED FUND A/C 1999 $167,003 OTHER</t>
  </si>
  <si>
    <t>R9-14 O&amp;M FUND A/C 1999 $17,740 OTHER</t>
  </si>
  <si>
    <t>R9-14 IMRF FUND A/C 1999 $3 OTHER</t>
  </si>
  <si>
    <t>R9-14 DEBT SERVICE FUND A/C 1999 $24,523 OTHER</t>
  </si>
  <si>
    <t>R9-14 ED FUND A/C 4299 $105,513 OTHER</t>
  </si>
  <si>
    <t>R9-14 TRANS FUND A/C 1999 $146 OTHER</t>
  </si>
  <si>
    <t>R9-14 ED FUND A/C 4999 $13,014 OTHER</t>
  </si>
  <si>
    <t xml:space="preserve">E15-22 ED FUND A/C 2190 $7,560 OTHER SALARIES, $6,400 OTHER PURCH SERV </t>
  </si>
  <si>
    <t xml:space="preserve">E15-22 ED FUND A/C 4190 $2,224 OTHER PURCH SERV </t>
  </si>
  <si>
    <t>E15-22 DEBT SERV FUND A/C 5400 $1,431 OTHER</t>
  </si>
  <si>
    <t>TOTAL FOR CFDA #84.367</t>
  </si>
  <si>
    <t>2017-4620-057</t>
  </si>
  <si>
    <t>2017-4600-057</t>
  </si>
  <si>
    <t>W46CUF00037</t>
  </si>
  <si>
    <t>TOTAL FOR CFDA #84.126</t>
  </si>
  <si>
    <t>84.027, 84.173</t>
  </si>
  <si>
    <t>CURB APPEAL TURF MANAGEMENT</t>
  </si>
  <si>
    <t>O&amp;M-PURCHASED SERVICES</t>
  </si>
  <si>
    <t>20-2540-300</t>
  </si>
  <si>
    <t>The accompanying Schedule of Expenditures of Federal Awards includes the federal grant activity of Bethalto Community Unit School District No. 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</si>
  <si>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Bethalto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</si>
</sst>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9" fillId="0" borderId="0" xfId="3" applyFont="1" applyAlignment="1" applyProtection="1">
      <alignment vertic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59" fillId="0" borderId="150" xfId="3" applyFont="1" applyBorder="1" applyAlignment="1" applyProtection="1">
      <alignment horizontal="left" vertical="center" wrapText="1"/>
      <protection locked="0"/>
    </xf>
    <xf numFmtId="0" fontId="59" fillId="0" borderId="76" xfId="3" applyFont="1" applyBorder="1" applyAlignment="1" applyProtection="1">
      <alignment horizontal="left" vertical="center" wrapText="1"/>
      <protection locked="0"/>
    </xf>
    <xf numFmtId="0" fontId="59" fillId="0" borderId="151" xfId="3" applyFont="1" applyBorder="1" applyAlignment="1" applyProtection="1">
      <alignment horizontal="left" vertical="center" wrapText="1"/>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1281546</xdr:colOff>
          <xdr:row>2</xdr:row>
          <xdr:rowOff>138546</xdr:rowOff>
        </xdr:from>
        <xdr:to>
          <xdr:col>1</xdr:col>
          <xdr:colOff>2193348</xdr:colOff>
          <xdr:row>7</xdr:row>
          <xdr:rowOff>12123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92A1A45-C42F-4D33-B61C-DB8A61B6BC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5" t="s">
        <v>424</v>
      </c>
      <c r="J1" s="2036"/>
      <c r="K1" s="2036"/>
      <c r="L1" s="2036"/>
      <c r="M1" s="2036"/>
      <c r="N1" s="2036"/>
      <c r="O1" s="2036"/>
      <c r="P1" s="2036"/>
      <c r="Q1" s="2036"/>
      <c r="R1" s="2036"/>
      <c r="S1" s="2036"/>
    </row>
    <row r="2" spans="1:28" ht="12" customHeight="1" x14ac:dyDescent="0.2">
      <c r="A2" s="47" t="s">
        <v>1683</v>
      </c>
      <c r="D2" s="48"/>
      <c r="I2" s="2037" t="s">
        <v>1035</v>
      </c>
      <c r="J2" s="2036"/>
      <c r="K2" s="2036"/>
      <c r="L2" s="2036"/>
      <c r="M2" s="2036"/>
      <c r="N2" s="2036"/>
      <c r="O2" s="2036"/>
      <c r="P2" s="2036"/>
      <c r="Q2" s="2036"/>
      <c r="R2" s="2036"/>
      <c r="S2" s="2036"/>
    </row>
    <row r="3" spans="1:28" ht="12" customHeight="1" x14ac:dyDescent="0.2">
      <c r="A3" s="155" t="s">
        <v>1684</v>
      </c>
      <c r="B3" s="156"/>
      <c r="C3" s="156"/>
      <c r="D3" s="157"/>
      <c r="I3" s="2037" t="s">
        <v>54</v>
      </c>
      <c r="J3" s="2036"/>
      <c r="K3" s="2036"/>
      <c r="L3" s="2036"/>
      <c r="M3" s="2036"/>
      <c r="N3" s="2036"/>
      <c r="O3" s="2036"/>
      <c r="P3" s="2036"/>
      <c r="Q3" s="2036"/>
      <c r="R3" s="2036"/>
      <c r="S3" s="2036"/>
    </row>
    <row r="4" spans="1:28" ht="12" customHeight="1" x14ac:dyDescent="0.2">
      <c r="A4" s="37"/>
      <c r="I4" s="2037" t="s">
        <v>544</v>
      </c>
      <c r="J4" s="2036"/>
      <c r="K4" s="2036"/>
      <c r="L4" s="2036"/>
      <c r="M4" s="2036"/>
      <c r="N4" s="2036"/>
      <c r="O4" s="2036"/>
      <c r="P4" s="2036"/>
      <c r="Q4" s="2036"/>
      <c r="R4" s="2036"/>
      <c r="S4" s="2036"/>
    </row>
    <row r="5" spans="1:28" ht="14.1" customHeight="1" x14ac:dyDescent="0.2">
      <c r="B5" s="104" t="s">
        <v>2073</v>
      </c>
      <c r="C5" s="26" t="s">
        <v>965</v>
      </c>
      <c r="D5" s="84"/>
      <c r="E5" s="84"/>
      <c r="H5" s="38"/>
      <c r="I5" s="2044" t="s">
        <v>700</v>
      </c>
      <c r="J5" s="1989"/>
      <c r="K5" s="1989"/>
      <c r="L5" s="1989"/>
      <c r="M5" s="1989"/>
      <c r="N5" s="1989"/>
      <c r="O5" s="1989"/>
      <c r="P5" s="1989"/>
      <c r="Q5" s="1989"/>
      <c r="R5" s="1989"/>
      <c r="S5" s="1989"/>
    </row>
    <row r="6" spans="1:28" ht="14.1" customHeight="1" x14ac:dyDescent="0.2">
      <c r="B6" s="104"/>
      <c r="C6" s="26" t="s">
        <v>966</v>
      </c>
      <c r="D6" s="84"/>
      <c r="E6" s="84"/>
      <c r="I6" s="2043" t="s">
        <v>937</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694</v>
      </c>
      <c r="J9" s="2041"/>
      <c r="K9" s="2041"/>
      <c r="L9" s="2041"/>
      <c r="M9" s="2041"/>
      <c r="N9" s="2041"/>
      <c r="O9" s="2041"/>
      <c r="P9" s="2041"/>
      <c r="Q9" s="2041"/>
      <c r="R9" s="2041"/>
      <c r="S9" s="2042"/>
      <c r="T9" s="1985" t="s">
        <v>553</v>
      </c>
      <c r="U9" s="1986"/>
      <c r="V9" s="1986"/>
      <c r="W9" s="1986"/>
      <c r="X9" s="1986"/>
      <c r="Y9" s="1986"/>
      <c r="Z9" s="1986"/>
      <c r="AA9" s="1987"/>
    </row>
    <row r="10" spans="1:28" ht="13.5" customHeight="1" x14ac:dyDescent="0.2">
      <c r="A10" s="1994" t="s">
        <v>695</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1011</v>
      </c>
      <c r="B11" s="1998"/>
      <c r="C11" s="1998"/>
      <c r="D11" s="1998"/>
      <c r="E11" s="1998"/>
      <c r="F11" s="1998"/>
      <c r="G11" s="1998"/>
      <c r="H11" s="1999"/>
      <c r="I11" s="27"/>
      <c r="J11" s="74"/>
      <c r="K11" s="27"/>
      <c r="O11" s="148" t="s">
        <v>2073</v>
      </c>
      <c r="P11" s="100" t="s">
        <v>210</v>
      </c>
      <c r="Q11" s="30"/>
      <c r="R11" s="28"/>
      <c r="S11" s="27"/>
      <c r="T11" s="1991"/>
      <c r="U11" s="1992"/>
      <c r="V11" s="1992"/>
      <c r="W11" s="1992"/>
      <c r="X11" s="1992"/>
      <c r="Y11" s="1992"/>
      <c r="Z11" s="1992"/>
      <c r="AA11" s="1993"/>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5">
        <v>41057008026</v>
      </c>
      <c r="B13" s="2006"/>
      <c r="C13" s="2006"/>
      <c r="D13" s="2006"/>
      <c r="E13" s="2006"/>
      <c r="F13" s="2006"/>
      <c r="G13" s="2006"/>
      <c r="H13" s="2007"/>
      <c r="I13" s="31"/>
      <c r="J13" s="30"/>
      <c r="K13" s="28"/>
      <c r="L13" s="30"/>
      <c r="M13" s="30"/>
      <c r="N13" s="30"/>
      <c r="O13" s="30"/>
      <c r="P13" s="30"/>
      <c r="Q13" s="30"/>
      <c r="R13" s="30"/>
      <c r="S13" s="30"/>
      <c r="T13" s="2010" t="s">
        <v>2075</v>
      </c>
      <c r="U13" s="2011"/>
      <c r="V13" s="2011"/>
      <c r="W13" s="2011"/>
      <c r="X13" s="2011"/>
      <c r="Y13" s="2012"/>
      <c r="Z13" s="2012"/>
      <c r="AA13" s="201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3" t="s">
        <v>2083</v>
      </c>
      <c r="B15" s="2008"/>
      <c r="C15" s="2008"/>
      <c r="D15" s="2008"/>
      <c r="E15" s="2008"/>
      <c r="F15" s="2008"/>
      <c r="G15" s="2008"/>
      <c r="H15" s="2009"/>
      <c r="T15" s="1971" t="s">
        <v>2074</v>
      </c>
      <c r="U15" s="1972"/>
      <c r="V15" s="1972"/>
      <c r="W15" s="1972"/>
      <c r="X15" s="1972"/>
      <c r="Y15" s="2014"/>
      <c r="Z15" s="2014"/>
      <c r="AA15" s="201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3" t="s">
        <v>2193</v>
      </c>
      <c r="B17" s="2033"/>
      <c r="C17" s="2033"/>
      <c r="D17" s="2033"/>
      <c r="E17" s="2033"/>
      <c r="F17" s="2033"/>
      <c r="G17" s="2033"/>
      <c r="H17" s="2034"/>
      <c r="T17" s="2020" t="s">
        <v>2076</v>
      </c>
      <c r="U17" s="2021"/>
      <c r="V17" s="2021"/>
      <c r="W17" s="2021"/>
      <c r="X17" s="2021"/>
      <c r="Y17" s="2021"/>
      <c r="Z17" s="2021"/>
      <c r="AA17" s="2022"/>
    </row>
    <row r="18" spans="1:27" ht="13.5" customHeight="1" x14ac:dyDescent="0.2">
      <c r="A18" s="85" t="s">
        <v>550</v>
      </c>
      <c r="B18" s="76"/>
      <c r="C18" s="72"/>
      <c r="D18" s="76"/>
      <c r="E18" s="76"/>
      <c r="F18" s="76"/>
      <c r="G18" s="76"/>
      <c r="H18" s="56"/>
      <c r="I18" s="2030" t="s">
        <v>696</v>
      </c>
      <c r="J18" s="2031"/>
      <c r="K18" s="2031"/>
      <c r="L18" s="2031"/>
      <c r="M18" s="2031"/>
      <c r="N18" s="2031"/>
      <c r="O18" s="2031"/>
      <c r="P18" s="2031"/>
      <c r="Q18" s="2031"/>
      <c r="R18" s="2031"/>
      <c r="S18" s="2032"/>
      <c r="T18" s="85" t="s">
        <v>734</v>
      </c>
      <c r="U18" s="51"/>
      <c r="V18" s="72"/>
      <c r="W18" s="50"/>
      <c r="X18" s="85" t="s">
        <v>283</v>
      </c>
      <c r="Y18" s="81"/>
      <c r="Z18" s="159" t="s">
        <v>697</v>
      </c>
      <c r="AA18" s="46"/>
    </row>
    <row r="19" spans="1:27" ht="13.5" customHeight="1" x14ac:dyDescent="0.2">
      <c r="A19" s="2003" t="s">
        <v>2084</v>
      </c>
      <c r="B19" s="2004"/>
      <c r="C19" s="2004"/>
      <c r="D19" s="2004"/>
      <c r="E19" s="2004"/>
      <c r="F19" s="2004"/>
      <c r="G19" s="2004"/>
      <c r="H19" s="2002"/>
      <c r="I19" s="30"/>
      <c r="J19" s="99"/>
      <c r="K19" s="40"/>
      <c r="L19" s="38"/>
      <c r="M19" s="112" t="s">
        <v>332</v>
      </c>
      <c r="P19" s="27"/>
      <c r="Q19" s="27"/>
      <c r="R19" s="27"/>
      <c r="S19" s="31"/>
      <c r="T19" s="2003" t="s">
        <v>2077</v>
      </c>
      <c r="U19" s="2001"/>
      <c r="V19" s="2001"/>
      <c r="W19" s="2002"/>
      <c r="X19" s="2018" t="s">
        <v>2078</v>
      </c>
      <c r="Y19" s="2019"/>
      <c r="Z19" s="2016">
        <v>62002</v>
      </c>
      <c r="AA19" s="201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0" t="s">
        <v>2085</v>
      </c>
      <c r="B21" s="2001"/>
      <c r="C21" s="2001"/>
      <c r="D21" s="2001"/>
      <c r="E21" s="2001"/>
      <c r="F21" s="2001"/>
      <c r="G21" s="2001"/>
      <c r="H21" s="2002"/>
      <c r="I21" s="2026" t="s">
        <v>698</v>
      </c>
      <c r="J21" s="1989"/>
      <c r="K21" s="1989"/>
      <c r="L21" s="1989"/>
      <c r="M21" s="1989"/>
      <c r="N21" s="1989"/>
      <c r="O21" s="1989"/>
      <c r="P21" s="1989"/>
      <c r="Q21" s="1989"/>
      <c r="R21" s="1989"/>
      <c r="S21" s="1990"/>
      <c r="T21" s="1968" t="s">
        <v>2079</v>
      </c>
      <c r="U21" s="1969"/>
      <c r="V21" s="1969"/>
      <c r="W21" s="1969"/>
      <c r="X21" s="1982" t="s">
        <v>2080</v>
      </c>
      <c r="Y21" s="1983"/>
      <c r="Z21" s="1983"/>
      <c r="AA21" s="1984"/>
    </row>
    <row r="22" spans="1:27" ht="13.5" customHeight="1" x14ac:dyDescent="0.2">
      <c r="A22" s="87" t="s">
        <v>551</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3" t="s">
        <v>2086</v>
      </c>
      <c r="B23" s="2024"/>
      <c r="C23" s="2024"/>
      <c r="D23" s="2024"/>
      <c r="E23" s="2024"/>
      <c r="F23" s="2024"/>
      <c r="G23" s="2024"/>
      <c r="H23" s="2025"/>
      <c r="T23" s="1963" t="s">
        <v>2081</v>
      </c>
      <c r="U23" s="1964"/>
      <c r="V23" s="1964"/>
      <c r="W23" s="1964"/>
      <c r="X23" s="1979">
        <v>43434</v>
      </c>
      <c r="Y23" s="1980"/>
      <c r="Z23" s="1980"/>
      <c r="AA23" s="1981"/>
    </row>
    <row r="24" spans="1:27" ht="14.1" customHeight="1" x14ac:dyDescent="0.2">
      <c r="A24" s="88" t="s">
        <v>697</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551</v>
      </c>
      <c r="U24" s="106"/>
      <c r="V24" s="106"/>
      <c r="W24" s="106"/>
      <c r="X24" s="107"/>
      <c r="Y24" s="107"/>
      <c r="Z24" s="107"/>
      <c r="AA24" s="108"/>
    </row>
    <row r="25" spans="1:27" ht="14.1" customHeight="1" x14ac:dyDescent="0.2">
      <c r="A25" s="2000">
        <v>62010</v>
      </c>
      <c r="B25" s="2001"/>
      <c r="C25" s="2001"/>
      <c r="D25" s="2001"/>
      <c r="E25" s="2001"/>
      <c r="F25" s="2001"/>
      <c r="G25" s="2001"/>
      <c r="H25" s="2002"/>
      <c r="I25" s="113"/>
      <c r="J25" s="2067"/>
      <c r="K25" s="2067"/>
      <c r="L25" s="2067"/>
      <c r="M25" s="2067"/>
      <c r="N25" s="2067"/>
      <c r="O25" s="2067"/>
      <c r="P25" s="2067"/>
      <c r="Q25" s="2067"/>
      <c r="R25" s="2067"/>
      <c r="S25" s="2068"/>
      <c r="T25" s="1960" t="s">
        <v>2082</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8"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3"/>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551</v>
      </c>
      <c r="B39" s="2057"/>
      <c r="C39" s="72"/>
      <c r="D39" s="69"/>
      <c r="E39" s="69"/>
      <c r="F39" s="79"/>
      <c r="G39" s="69"/>
      <c r="H39" s="56"/>
      <c r="I39" s="2056" t="s">
        <v>551</v>
      </c>
      <c r="J39" s="2057"/>
      <c r="K39" s="2057"/>
      <c r="L39" s="2057"/>
      <c r="M39" s="2057"/>
      <c r="N39" s="67"/>
      <c r="O39" s="72"/>
      <c r="P39" s="72"/>
      <c r="Q39" s="78"/>
      <c r="R39" s="72"/>
      <c r="S39" s="56"/>
      <c r="T39" s="72" t="s">
        <v>551</v>
      </c>
      <c r="U39" s="51"/>
      <c r="V39" s="72"/>
      <c r="W39" s="50"/>
      <c r="X39" s="78"/>
      <c r="Y39" s="45"/>
      <c r="Z39" s="45"/>
      <c r="AA39" s="46"/>
    </row>
    <row r="40" spans="1:27" ht="13.5" customHeight="1" x14ac:dyDescent="0.2">
      <c r="A40" s="2059"/>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9"/>
      <c r="B42" s="2050"/>
      <c r="C42" s="2051"/>
      <c r="D42" s="2064"/>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75" right="0.75" top="1" bottom="0.5" header="0.5" footer="0.5"/>
  <pageSetup scale="67" orientation="landscape"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1901</v>
      </c>
      <c r="B2" s="1550" t="s">
        <v>2033</v>
      </c>
      <c r="C2" s="715" t="s">
        <v>1906</v>
      </c>
      <c r="D2" s="715" t="s">
        <v>1907</v>
      </c>
      <c r="E2" s="715" t="s">
        <v>1908</v>
      </c>
      <c r="F2" s="715" t="s">
        <v>1909</v>
      </c>
    </row>
    <row r="3" spans="1:6" ht="12" customHeight="1" x14ac:dyDescent="0.2">
      <c r="A3" s="2203"/>
      <c r="B3" s="1547"/>
      <c r="C3" s="1548"/>
      <c r="D3" s="1549" t="s">
        <v>274</v>
      </c>
      <c r="E3" s="1548"/>
      <c r="F3" s="1549" t="s">
        <v>275</v>
      </c>
    </row>
    <row r="4" spans="1:6" ht="13.7" customHeight="1" x14ac:dyDescent="0.2">
      <c r="A4" s="716" t="s">
        <v>1216</v>
      </c>
      <c r="B4" s="1771">
        <f>'Revenues 9-14'!C5</f>
        <v>3533155</v>
      </c>
      <c r="C4" s="1546">
        <v>161785</v>
      </c>
      <c r="D4" s="1774">
        <f>B4-C4</f>
        <v>3371370</v>
      </c>
      <c r="E4" s="1546">
        <f>3823812</f>
        <v>3823812</v>
      </c>
      <c r="F4" s="1774">
        <f>E4-C4</f>
        <v>3662027</v>
      </c>
    </row>
    <row r="5" spans="1:6" ht="13.7" customHeight="1" x14ac:dyDescent="0.2">
      <c r="A5" s="716" t="s">
        <v>924</v>
      </c>
      <c r="B5" s="1772">
        <f>'Revenues 9-14'!D5</f>
        <v>960095</v>
      </c>
      <c r="C5" s="585">
        <v>43964</v>
      </c>
      <c r="D5" s="1775">
        <f t="shared" ref="D5:D18" si="0">B5-C5</f>
        <v>916131</v>
      </c>
      <c r="E5" s="585">
        <f>1039079</f>
        <v>1039079</v>
      </c>
      <c r="F5" s="1775">
        <f>E5-C5</f>
        <v>995115</v>
      </c>
    </row>
    <row r="6" spans="1:6" ht="13.7" customHeight="1" x14ac:dyDescent="0.2">
      <c r="A6" s="716" t="s">
        <v>430</v>
      </c>
      <c r="B6" s="1772">
        <f>'Revenues 9-14'!E5</f>
        <v>1827856</v>
      </c>
      <c r="C6" s="585">
        <v>80242</v>
      </c>
      <c r="D6" s="1775">
        <f t="shared" si="0"/>
        <v>1747614</v>
      </c>
      <c r="E6" s="585">
        <f>346429+715926+437452+133002+192645+71073</f>
        <v>1896527</v>
      </c>
      <c r="F6" s="1775">
        <f t="shared" ref="F6:F18" si="1">E6-C6</f>
        <v>1816285</v>
      </c>
    </row>
    <row r="7" spans="1:6" ht="13.7" customHeight="1" x14ac:dyDescent="0.2">
      <c r="A7" s="716" t="s">
        <v>157</v>
      </c>
      <c r="B7" s="1772">
        <f>'Revenues 9-14'!F5</f>
        <v>384036</v>
      </c>
      <c r="C7" s="585">
        <v>17586</v>
      </c>
      <c r="D7" s="1775">
        <f t="shared" si="0"/>
        <v>366450</v>
      </c>
      <c r="E7" s="585">
        <f>415632</f>
        <v>415632</v>
      </c>
      <c r="F7" s="1775">
        <f t="shared" si="1"/>
        <v>398046</v>
      </c>
    </row>
    <row r="8" spans="1:6" ht="13.7" customHeight="1" x14ac:dyDescent="0.2">
      <c r="A8" s="716" t="s">
        <v>1240</v>
      </c>
      <c r="B8" s="1772">
        <f>'Revenues 9-14'!G5</f>
        <v>650579</v>
      </c>
      <c r="C8" s="585">
        <v>38055</v>
      </c>
      <c r="D8" s="1775">
        <f t="shared" si="0"/>
        <v>612524</v>
      </c>
      <c r="E8" s="585">
        <f>899427</f>
        <v>899427</v>
      </c>
      <c r="F8" s="1775">
        <f t="shared" si="1"/>
        <v>861372</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96007</v>
      </c>
      <c r="C10" s="585">
        <v>4396</v>
      </c>
      <c r="D10" s="1775">
        <f t="shared" si="0"/>
        <v>91611</v>
      </c>
      <c r="E10" s="585">
        <f>103908</f>
        <v>103908</v>
      </c>
      <c r="F10" s="1775">
        <f t="shared" si="1"/>
        <v>99512</v>
      </c>
    </row>
    <row r="11" spans="1:6" x14ac:dyDescent="0.2">
      <c r="A11" s="716" t="s">
        <v>428</v>
      </c>
      <c r="B11" s="1772">
        <f>'Revenues 9-14'!J5</f>
        <v>2028170</v>
      </c>
      <c r="C11" s="585">
        <v>76813</v>
      </c>
      <c r="D11" s="1775">
        <f t="shared" si="0"/>
        <v>1951357</v>
      </c>
      <c r="E11" s="585">
        <f>1815479</f>
        <v>1815479</v>
      </c>
      <c r="F11" s="1775">
        <f t="shared" si="1"/>
        <v>1738666</v>
      </c>
    </row>
    <row r="12" spans="1:6" ht="13.7" customHeight="1" x14ac:dyDescent="0.2">
      <c r="A12" s="716" t="s">
        <v>159</v>
      </c>
      <c r="B12" s="1772">
        <f>'Revenues 9-14'!K5</f>
        <v>96007</v>
      </c>
      <c r="C12" s="585">
        <v>4396</v>
      </c>
      <c r="D12" s="1775">
        <f t="shared" si="0"/>
        <v>91611</v>
      </c>
      <c r="E12" s="585">
        <f>103908</f>
        <v>103908</v>
      </c>
      <c r="F12" s="1775">
        <f t="shared" si="1"/>
        <v>99512</v>
      </c>
    </row>
    <row r="13" spans="1:6" ht="13.7" customHeight="1" x14ac:dyDescent="0.2">
      <c r="A13" s="716" t="s">
        <v>992</v>
      </c>
      <c r="B13" s="1772">
        <f>SUM('Revenues 9-14'!C6:D6)</f>
        <v>96007</v>
      </c>
      <c r="C13" s="585">
        <v>4396</v>
      </c>
      <c r="D13" s="1775">
        <f t="shared" si="0"/>
        <v>91611</v>
      </c>
      <c r="E13" s="585">
        <v>103908</v>
      </c>
      <c r="F13" s="1775">
        <f t="shared" si="1"/>
        <v>99512</v>
      </c>
    </row>
    <row r="14" spans="1:6" ht="13.7" customHeight="1" x14ac:dyDescent="0.2">
      <c r="A14" s="716" t="s">
        <v>429</v>
      </c>
      <c r="B14" s="1772">
        <f>SUM('Revenues 9-14'!C7:D7,'Revenues 9-14'!F7:H7)</f>
        <v>76811</v>
      </c>
      <c r="C14" s="585">
        <v>3517</v>
      </c>
      <c r="D14" s="1775">
        <f t="shared" si="0"/>
        <v>73294</v>
      </c>
      <c r="E14" s="585">
        <f>83126</f>
        <v>83126</v>
      </c>
      <c r="F14" s="1775">
        <f t="shared" si="1"/>
        <v>79609</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430349</v>
      </c>
      <c r="C16" s="585">
        <v>21938</v>
      </c>
      <c r="D16" s="1775">
        <f t="shared" si="0"/>
        <v>408411</v>
      </c>
      <c r="E16" s="585">
        <v>518501</v>
      </c>
      <c r="F16" s="1775">
        <f t="shared" si="1"/>
        <v>496563</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10179072</v>
      </c>
      <c r="C19" s="1773">
        <f>SUM(C4:C18)</f>
        <v>457088</v>
      </c>
      <c r="D19" s="1773">
        <f>SUM(D4:D18)</f>
        <v>9721984</v>
      </c>
      <c r="E19" s="1773">
        <f>SUM(E4:E18)</f>
        <v>10803307</v>
      </c>
      <c r="F19" s="1773">
        <f>SUM(F4:F18)</f>
        <v>10346219</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75" right="0.75" top="1.5" bottom="0.5" header="0.5" footer="0.5"/>
  <pageSetup scale="94" firstPageNumber="60" orientation="landscape" useFirstPageNumber="1" r:id="rId1"/>
  <headerFooter>
    <oddHeader>&amp;C&amp;"Times New Roman,Regular"BETHALTO COMMUNITY UNIT SCHOOL DISTRICT NO. 8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J42" sqref="J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649</v>
      </c>
      <c r="B1" s="2209"/>
      <c r="C1" s="722"/>
    </row>
    <row r="2" spans="1:7" ht="33.75" x14ac:dyDescent="0.2">
      <c r="A2" s="2217" t="s">
        <v>1901</v>
      </c>
      <c r="B2" s="2218"/>
      <c r="C2" s="1909" t="s">
        <v>2034</v>
      </c>
      <c r="D2" s="724" t="s">
        <v>2041</v>
      </c>
      <c r="E2" s="724" t="s">
        <v>2042</v>
      </c>
      <c r="F2" s="1909" t="s">
        <v>2035</v>
      </c>
    </row>
    <row r="3" spans="1:7" ht="15.75" customHeight="1" x14ac:dyDescent="0.2">
      <c r="A3" s="2221" t="s">
        <v>1175</v>
      </c>
      <c r="B3" s="2222"/>
      <c r="C3" s="2210"/>
      <c r="D3" s="2211"/>
      <c r="E3" s="2211"/>
      <c r="F3" s="2212"/>
    </row>
    <row r="4" spans="1:7" ht="12.75" customHeight="1" thickBot="1" x14ac:dyDescent="0.25">
      <c r="A4" s="2219" t="s">
        <v>650</v>
      </c>
      <c r="B4" s="2220"/>
      <c r="C4" s="581"/>
      <c r="D4" s="581"/>
      <c r="E4" s="581"/>
      <c r="F4" s="1777">
        <f>SUM(C4+D4)-E4</f>
        <v>0</v>
      </c>
    </row>
    <row r="5" spans="1:7" ht="15.75" customHeight="1" thickTop="1" x14ac:dyDescent="0.2">
      <c r="A5" s="2204" t="s">
        <v>1171</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6" t="s">
        <v>651</v>
      </c>
      <c r="B15" s="2207"/>
      <c r="C15" s="1777">
        <f>SUM(C6:C14)</f>
        <v>0</v>
      </c>
      <c r="D15" s="1777">
        <f>SUM(D6:D14)</f>
        <v>0</v>
      </c>
      <c r="E15" s="1777">
        <f>SUM(E6:E14)</f>
        <v>0</v>
      </c>
      <c r="F15" s="1777">
        <f>SUM(F6:F14)</f>
        <v>0</v>
      </c>
      <c r="G15" s="552"/>
    </row>
    <row r="16" spans="1:7" s="202" customFormat="1" ht="15.75" customHeight="1" thickTop="1" x14ac:dyDescent="0.2">
      <c r="A16" s="2216" t="s">
        <v>1172</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405</v>
      </c>
      <c r="B19" s="2230"/>
      <c r="C19" s="727"/>
      <c r="D19" s="585"/>
      <c r="E19" s="727"/>
      <c r="F19" s="1777">
        <f>SUM(C19+D19)-E19</f>
        <v>0</v>
      </c>
    </row>
    <row r="20" spans="1:11" ht="12.75" customHeight="1" thickTop="1" thickBot="1" x14ac:dyDescent="0.25">
      <c r="A20" s="2229" t="s">
        <v>467</v>
      </c>
      <c r="B20" s="2230"/>
      <c r="C20" s="727"/>
      <c r="D20" s="585"/>
      <c r="E20" s="727"/>
      <c r="F20" s="1777">
        <f>SUM(C20+D20)-E20</f>
        <v>0</v>
      </c>
    </row>
    <row r="21" spans="1:11" ht="14.25" thickTop="1" thickBot="1" x14ac:dyDescent="0.25">
      <c r="A21" s="2206" t="s">
        <v>652</v>
      </c>
      <c r="B21" s="2207"/>
      <c r="C21" s="1777">
        <f>SUM(C17:C20)</f>
        <v>0</v>
      </c>
      <c r="D21" s="1777">
        <f>SUM(D17:D20)</f>
        <v>0</v>
      </c>
      <c r="E21" s="1777">
        <f>SUM(E17:E20)</f>
        <v>0</v>
      </c>
      <c r="F21" s="1777">
        <f>SUM(F17:F20)</f>
        <v>0</v>
      </c>
      <c r="G21" s="552"/>
    </row>
    <row r="22" spans="1:11" ht="15.75" customHeight="1" thickTop="1" x14ac:dyDescent="0.2">
      <c r="A22" s="2231" t="s">
        <v>1173</v>
      </c>
      <c r="B22" s="2205"/>
      <c r="C22" s="2213"/>
      <c r="D22" s="2214"/>
      <c r="E22" s="2214"/>
      <c r="F22" s="2215"/>
    </row>
    <row r="23" spans="1:11" ht="13.5" thickBot="1" x14ac:dyDescent="0.25">
      <c r="A23" s="2219" t="s">
        <v>653</v>
      </c>
      <c r="B23" s="2220"/>
      <c r="C23" s="581"/>
      <c r="D23" s="581"/>
      <c r="E23" s="581"/>
      <c r="F23" s="1777">
        <f>SUM(C23+D23)-E23</f>
        <v>0</v>
      </c>
      <c r="G23" s="552"/>
    </row>
    <row r="24" spans="1:11" ht="15.75" customHeight="1" thickTop="1" x14ac:dyDescent="0.2">
      <c r="A24" s="2231" t="s">
        <v>1174</v>
      </c>
      <c r="B24" s="2205"/>
      <c r="C24" s="2213"/>
      <c r="D24" s="2214"/>
      <c r="E24" s="2214"/>
      <c r="F24" s="2215"/>
    </row>
    <row r="25" spans="1:11" ht="13.5" thickBot="1" x14ac:dyDescent="0.25">
      <c r="A25" s="2219" t="s">
        <v>654</v>
      </c>
      <c r="B25" s="2220"/>
      <c r="C25" s="581"/>
      <c r="D25" s="581"/>
      <c r="E25" s="581"/>
      <c r="F25" s="1777">
        <f>SUM(C25+D25)-E25</f>
        <v>0</v>
      </c>
      <c r="G25" s="552"/>
    </row>
    <row r="26" spans="1:11" ht="15.75" customHeight="1" thickTop="1" x14ac:dyDescent="0.2">
      <c r="A26" s="2204" t="s">
        <v>677</v>
      </c>
      <c r="B26" s="2205"/>
      <c r="C26" s="728"/>
      <c r="D26" s="728"/>
      <c r="E26" s="728"/>
      <c r="F26" s="729"/>
    </row>
    <row r="27" spans="1:11" ht="13.5" thickBot="1" x14ac:dyDescent="0.25">
      <c r="A27" s="2206" t="s">
        <v>1129</v>
      </c>
      <c r="B27" s="2207"/>
      <c r="C27" s="585"/>
      <c r="D27" s="585"/>
      <c r="E27" s="585"/>
      <c r="F27" s="1777">
        <f>SUM(C27+D27)-E27</f>
        <v>0</v>
      </c>
      <c r="G27" s="552"/>
    </row>
    <row r="28" spans="1:11" ht="7.5" customHeight="1" thickTop="1" x14ac:dyDescent="0.2">
      <c r="A28" s="594"/>
    </row>
    <row r="29" spans="1:11" ht="23.25" customHeight="1" x14ac:dyDescent="0.2">
      <c r="A29" s="2232" t="s">
        <v>602</v>
      </c>
      <c r="B29" s="2209"/>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2087</v>
      </c>
      <c r="B31" s="734">
        <v>40945</v>
      </c>
      <c r="C31" s="735">
        <v>3850000</v>
      </c>
      <c r="D31" s="736" t="s">
        <v>2088</v>
      </c>
      <c r="E31" s="735">
        <v>2260000</v>
      </c>
      <c r="F31" s="735"/>
      <c r="G31" s="735"/>
      <c r="H31" s="735">
        <v>660000</v>
      </c>
      <c r="I31" s="1778">
        <f>((E31+F31)-H31)+G31</f>
        <v>1600000</v>
      </c>
      <c r="J31" s="735">
        <v>1553202</v>
      </c>
      <c r="K31" s="737"/>
    </row>
    <row r="32" spans="1:11" ht="12" customHeight="1" x14ac:dyDescent="0.2">
      <c r="A32" s="733" t="s">
        <v>2089</v>
      </c>
      <c r="B32" s="734">
        <v>41409</v>
      </c>
      <c r="C32" s="735">
        <v>3013079</v>
      </c>
      <c r="D32" s="736">
        <v>7</v>
      </c>
      <c r="E32" s="735">
        <v>1277085</v>
      </c>
      <c r="F32" s="735"/>
      <c r="G32" s="735"/>
      <c r="H32" s="735">
        <v>406003</v>
      </c>
      <c r="I32" s="1778">
        <f>((E32+F32)-H32)+G32</f>
        <v>871082</v>
      </c>
      <c r="J32" s="735">
        <v>871082</v>
      </c>
      <c r="K32" s="737"/>
    </row>
    <row r="33" spans="1:11" ht="12" customHeight="1" x14ac:dyDescent="0.2">
      <c r="A33" s="733" t="s">
        <v>2090</v>
      </c>
      <c r="B33" s="734">
        <v>41430</v>
      </c>
      <c r="C33" s="735">
        <v>4630000</v>
      </c>
      <c r="D33" s="736" t="s">
        <v>2091</v>
      </c>
      <c r="E33" s="735">
        <v>3895000</v>
      </c>
      <c r="F33" s="735"/>
      <c r="G33" s="735"/>
      <c r="H33" s="735">
        <v>320000</v>
      </c>
      <c r="I33" s="1778">
        <f t="shared" ref="I33:I48" si="1">((E33+F33)-H33)+G33</f>
        <v>3575000</v>
      </c>
      <c r="J33" s="735">
        <v>3575000</v>
      </c>
      <c r="K33" s="737"/>
    </row>
    <row r="34" spans="1:11" ht="12" customHeight="1" x14ac:dyDescent="0.2">
      <c r="A34" s="733" t="s">
        <v>2092</v>
      </c>
      <c r="B34" s="734">
        <v>41675</v>
      </c>
      <c r="C34" s="735">
        <v>3100000</v>
      </c>
      <c r="D34" s="736">
        <v>2</v>
      </c>
      <c r="E34" s="735">
        <v>1515100</v>
      </c>
      <c r="F34" s="735"/>
      <c r="G34" s="735"/>
      <c r="H34" s="735">
        <v>191100</v>
      </c>
      <c r="I34" s="1778">
        <f t="shared" si="1"/>
        <v>1324000</v>
      </c>
      <c r="J34" s="735">
        <v>1324000</v>
      </c>
      <c r="K34" s="738"/>
    </row>
    <row r="35" spans="1:11" ht="12" customHeight="1" x14ac:dyDescent="0.2">
      <c r="A35" s="733" t="s">
        <v>2093</v>
      </c>
      <c r="B35" s="734">
        <v>42523</v>
      </c>
      <c r="C35" s="739">
        <v>2225000</v>
      </c>
      <c r="D35" s="736">
        <v>3</v>
      </c>
      <c r="E35" s="739">
        <v>660700</v>
      </c>
      <c r="F35" s="739"/>
      <c r="G35" s="739"/>
      <c r="H35" s="739">
        <v>179400</v>
      </c>
      <c r="I35" s="1778">
        <f t="shared" si="1"/>
        <v>481300</v>
      </c>
      <c r="J35" s="739">
        <v>481300</v>
      </c>
      <c r="K35" s="738"/>
    </row>
    <row r="36" spans="1:11" ht="12" customHeight="1" x14ac:dyDescent="0.2">
      <c r="A36" s="733" t="s">
        <v>2094</v>
      </c>
      <c r="B36" s="734">
        <v>42523</v>
      </c>
      <c r="C36" s="735">
        <v>2584000</v>
      </c>
      <c r="D36" s="736" t="s">
        <v>2091</v>
      </c>
      <c r="E36" s="735">
        <v>2584000</v>
      </c>
      <c r="F36" s="735"/>
      <c r="G36" s="735"/>
      <c r="H36" s="735"/>
      <c r="I36" s="1778">
        <f t="shared" si="1"/>
        <v>2584000</v>
      </c>
      <c r="J36" s="735">
        <v>2584000</v>
      </c>
      <c r="K36" s="740"/>
    </row>
    <row r="37" spans="1:11" ht="12" customHeight="1" x14ac:dyDescent="0.2">
      <c r="A37" s="733" t="s">
        <v>2089</v>
      </c>
      <c r="B37" s="734">
        <v>42454</v>
      </c>
      <c r="C37" s="467">
        <v>181134</v>
      </c>
      <c r="D37" s="741">
        <v>7</v>
      </c>
      <c r="E37" s="467">
        <v>112439</v>
      </c>
      <c r="F37" s="467"/>
      <c r="G37" s="467">
        <v>-112439</v>
      </c>
      <c r="H37" s="467"/>
      <c r="I37" s="1778">
        <f t="shared" si="1"/>
        <v>0</v>
      </c>
      <c r="J37" s="467">
        <v>0</v>
      </c>
      <c r="K37" s="738"/>
    </row>
    <row r="38" spans="1:11" ht="12" customHeight="1" x14ac:dyDescent="0.2">
      <c r="A38" s="733" t="s">
        <v>2095</v>
      </c>
      <c r="B38" s="734">
        <v>42759</v>
      </c>
      <c r="C38" s="735">
        <v>4475000</v>
      </c>
      <c r="D38" s="742" t="s">
        <v>2096</v>
      </c>
      <c r="E38" s="743">
        <v>4475000</v>
      </c>
      <c r="F38" s="743"/>
      <c r="G38" s="743"/>
      <c r="H38" s="743">
        <v>35000</v>
      </c>
      <c r="I38" s="1778">
        <f t="shared" si="1"/>
        <v>4440000</v>
      </c>
      <c r="J38" s="744">
        <v>4440000</v>
      </c>
      <c r="K38" s="745"/>
    </row>
    <row r="39" spans="1:11" ht="12" customHeight="1" x14ac:dyDescent="0.2">
      <c r="A39" s="733" t="s">
        <v>2089</v>
      </c>
      <c r="B39" s="734">
        <v>43152</v>
      </c>
      <c r="C39" s="735">
        <v>427323</v>
      </c>
      <c r="D39" s="741">
        <v>7</v>
      </c>
      <c r="E39" s="743"/>
      <c r="F39" s="743">
        <v>427323</v>
      </c>
      <c r="G39" s="743"/>
      <c r="H39" s="743"/>
      <c r="I39" s="1778">
        <f t="shared" si="1"/>
        <v>427323</v>
      </c>
      <c r="J39" s="744">
        <v>427323</v>
      </c>
      <c r="K39" s="745"/>
    </row>
    <row r="40" spans="1:11" ht="12" customHeight="1" x14ac:dyDescent="0.2">
      <c r="A40" s="733" t="s">
        <v>2089</v>
      </c>
      <c r="B40" s="734">
        <v>43152</v>
      </c>
      <c r="C40" s="735">
        <v>1962191</v>
      </c>
      <c r="D40" s="741">
        <v>7</v>
      </c>
      <c r="E40" s="743"/>
      <c r="F40" s="743">
        <v>1962191</v>
      </c>
      <c r="G40" s="743"/>
      <c r="H40" s="743"/>
      <c r="I40" s="1778">
        <f t="shared" si="1"/>
        <v>1962191</v>
      </c>
      <c r="J40" s="744">
        <v>1962191</v>
      </c>
      <c r="K40" s="745"/>
    </row>
    <row r="41" spans="1:11" ht="12" customHeight="1" x14ac:dyDescent="0.2">
      <c r="A41" s="733" t="s">
        <v>2089</v>
      </c>
      <c r="B41" s="734">
        <v>43152</v>
      </c>
      <c r="C41" s="735">
        <v>707469</v>
      </c>
      <c r="D41" s="741">
        <v>7</v>
      </c>
      <c r="E41" s="743"/>
      <c r="F41" s="743">
        <v>707469</v>
      </c>
      <c r="G41" s="743"/>
      <c r="H41" s="743"/>
      <c r="I41" s="1778">
        <f t="shared" si="1"/>
        <v>707469</v>
      </c>
      <c r="J41" s="744">
        <v>707469</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27155196</v>
      </c>
      <c r="D49" s="746"/>
      <c r="E49" s="1778">
        <f t="shared" ref="E49:J49" si="2">SUM(E31:E48)</f>
        <v>16779324</v>
      </c>
      <c r="F49" s="1778">
        <f t="shared" si="2"/>
        <v>3096983</v>
      </c>
      <c r="G49" s="1778">
        <f t="shared" si="2"/>
        <v>-112439</v>
      </c>
      <c r="H49" s="1778">
        <f t="shared" si="2"/>
        <v>1791503</v>
      </c>
      <c r="I49" s="1778">
        <f t="shared" si="2"/>
        <v>17972365</v>
      </c>
      <c r="J49" s="1778">
        <f t="shared" si="2"/>
        <v>17925567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3" t="s">
        <v>604</v>
      </c>
      <c r="C52" s="2224"/>
      <c r="D52" s="2224"/>
      <c r="E52" s="750" t="s">
        <v>899</v>
      </c>
      <c r="F52" s="2225"/>
      <c r="G52" s="2226"/>
      <c r="H52" s="737"/>
      <c r="I52" s="737"/>
      <c r="J52" s="747"/>
    </row>
    <row r="53" spans="1:11" ht="11.25" customHeight="1" x14ac:dyDescent="0.2">
      <c r="A53" s="751" t="s">
        <v>968</v>
      </c>
      <c r="B53" s="752" t="s">
        <v>1007</v>
      </c>
      <c r="C53" s="747"/>
      <c r="D53" s="738"/>
      <c r="E53" s="750" t="s">
        <v>517</v>
      </c>
      <c r="F53" s="2227"/>
      <c r="G53" s="2228"/>
      <c r="H53" s="737"/>
      <c r="I53" s="737"/>
      <c r="J53" s="747"/>
    </row>
    <row r="54" spans="1:11" ht="11.25" customHeight="1" x14ac:dyDescent="0.2">
      <c r="A54" s="753" t="s">
        <v>969</v>
      </c>
      <c r="B54" s="748" t="s">
        <v>1008</v>
      </c>
      <c r="C54" s="747"/>
      <c r="D54" s="738"/>
      <c r="E54" s="750" t="s">
        <v>518</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1"/>
  <headerFooter>
    <oddHeader>&amp;C&amp;"Times New Roman,Regular"BETHALTO COMMUNITY UNIT SCHOOL DISTRICT NO. 8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H1"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910</v>
      </c>
      <c r="B1" s="2258"/>
      <c r="C1" s="2258"/>
      <c r="D1" s="2258"/>
      <c r="E1" s="2258"/>
      <c r="F1" s="2258"/>
      <c r="G1" s="2259"/>
      <c r="H1" s="1552"/>
      <c r="I1" s="761"/>
      <c r="J1" s="433"/>
    </row>
    <row r="2" spans="1:11" ht="26.25" x14ac:dyDescent="0.2">
      <c r="A2" s="2236" t="s">
        <v>1775</v>
      </c>
      <c r="B2" s="2237"/>
      <c r="C2" s="2237"/>
      <c r="D2" s="2237"/>
      <c r="E2" s="2238"/>
      <c r="F2" s="762" t="s">
        <v>959</v>
      </c>
      <c r="G2" s="763" t="s">
        <v>1772</v>
      </c>
      <c r="H2" s="763" t="s">
        <v>429</v>
      </c>
      <c r="I2" s="763" t="s">
        <v>1219</v>
      </c>
      <c r="J2" s="763" t="s">
        <v>1915</v>
      </c>
      <c r="K2" s="763" t="s">
        <v>140</v>
      </c>
    </row>
    <row r="3" spans="1:11" x14ac:dyDescent="0.2">
      <c r="A3" s="2239" t="s">
        <v>1697</v>
      </c>
      <c r="B3" s="2240"/>
      <c r="C3" s="2240"/>
      <c r="D3" s="2240"/>
      <c r="E3" s="2241"/>
      <c r="F3" s="764"/>
      <c r="G3" s="765"/>
      <c r="H3" s="765"/>
      <c r="I3" s="765"/>
      <c r="J3" s="766"/>
      <c r="K3" s="766"/>
    </row>
    <row r="4" spans="1:11" x14ac:dyDescent="0.2">
      <c r="A4" s="2242" t="s">
        <v>386</v>
      </c>
      <c r="B4" s="2243"/>
      <c r="C4" s="2243"/>
      <c r="D4" s="2243"/>
      <c r="E4" s="2224"/>
      <c r="F4" s="767"/>
      <c r="G4" s="768"/>
      <c r="H4" s="769"/>
      <c r="I4" s="768"/>
      <c r="J4" s="770"/>
      <c r="K4" s="770"/>
    </row>
    <row r="5" spans="1:11" x14ac:dyDescent="0.2">
      <c r="A5" s="2260" t="s">
        <v>1128</v>
      </c>
      <c r="B5" s="2233"/>
      <c r="C5" s="2233"/>
      <c r="D5" s="2233"/>
      <c r="E5" s="2261"/>
      <c r="F5" s="771" t="s">
        <v>902</v>
      </c>
      <c r="G5" s="772"/>
      <c r="H5" s="765">
        <v>76811</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16103</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60" t="s">
        <v>1916</v>
      </c>
      <c r="B10" s="2233"/>
      <c r="C10" s="2233"/>
      <c r="D10" s="2233"/>
      <c r="E10" s="2262"/>
      <c r="F10" s="784" t="s">
        <v>916</v>
      </c>
      <c r="G10" s="783"/>
      <c r="H10" s="785"/>
      <c r="I10" s="765"/>
      <c r="J10" s="766"/>
      <c r="K10" s="766"/>
    </row>
    <row r="11" spans="1:11" x14ac:dyDescent="0.2">
      <c r="A11" s="2260" t="s">
        <v>162</v>
      </c>
      <c r="B11" s="2233"/>
      <c r="C11" s="2233"/>
      <c r="D11" s="2233"/>
      <c r="E11" s="2261"/>
      <c r="F11" s="771" t="s">
        <v>906</v>
      </c>
      <c r="G11" s="772"/>
      <c r="H11" s="765"/>
      <c r="I11" s="765"/>
      <c r="J11" s="766"/>
      <c r="K11" s="774"/>
    </row>
    <row r="12" spans="1:11" ht="13.5" thickBot="1" x14ac:dyDescent="0.25">
      <c r="A12" s="2250" t="s">
        <v>960</v>
      </c>
      <c r="B12" s="2251"/>
      <c r="C12" s="2251"/>
      <c r="D12" s="2251"/>
      <c r="E12" s="2252"/>
      <c r="F12" s="1779"/>
      <c r="G12" s="1780">
        <f>SUM(G5:G11)</f>
        <v>0</v>
      </c>
      <c r="H12" s="1780">
        <f>SUM(H5:H11)</f>
        <v>76811</v>
      </c>
      <c r="I12" s="1780">
        <f>SUM(I5:I11)</f>
        <v>0</v>
      </c>
      <c r="J12" s="1780">
        <f>SUM(J5:J11)</f>
        <v>0</v>
      </c>
      <c r="K12" s="1780">
        <f>SUM(K5:K11)</f>
        <v>16103</v>
      </c>
    </row>
    <row r="13" spans="1:11" ht="13.5" thickTop="1" x14ac:dyDescent="0.2">
      <c r="A13" s="2244" t="s">
        <v>387</v>
      </c>
      <c r="B13" s="2245"/>
      <c r="C13" s="2245"/>
      <c r="D13" s="2245"/>
      <c r="E13" s="2246"/>
      <c r="F13" s="786"/>
      <c r="G13" s="787"/>
      <c r="H13" s="788"/>
      <c r="I13" s="789"/>
      <c r="J13" s="789"/>
      <c r="K13" s="789"/>
    </row>
    <row r="14" spans="1:11" x14ac:dyDescent="0.2">
      <c r="A14" s="2266" t="s">
        <v>475</v>
      </c>
      <c r="B14" s="2266"/>
      <c r="C14" s="2266"/>
      <c r="D14" s="2266"/>
      <c r="E14" s="2267"/>
      <c r="F14" s="790" t="s">
        <v>908</v>
      </c>
      <c r="G14" s="783"/>
      <c r="H14" s="765">
        <v>76811</v>
      </c>
      <c r="I14" s="772"/>
      <c r="J14" s="774"/>
      <c r="K14" s="766">
        <v>16103</v>
      </c>
    </row>
    <row r="15" spans="1:11" x14ac:dyDescent="0.2">
      <c r="A15" s="2233" t="s">
        <v>4</v>
      </c>
      <c r="B15" s="2233"/>
      <c r="C15" s="2233"/>
      <c r="D15" s="2233"/>
      <c r="E15" s="2261"/>
      <c r="F15" s="790" t="s">
        <v>909</v>
      </c>
      <c r="G15" s="772"/>
      <c r="H15" s="765"/>
      <c r="I15" s="765"/>
      <c r="J15" s="766"/>
      <c r="K15" s="766"/>
    </row>
    <row r="16" spans="1:11" x14ac:dyDescent="0.2">
      <c r="A16" s="2233" t="s">
        <v>315</v>
      </c>
      <c r="B16" s="2233"/>
      <c r="C16" s="2233"/>
      <c r="D16" s="2233"/>
      <c r="E16" s="2261"/>
      <c r="F16" s="790" t="s">
        <v>979</v>
      </c>
      <c r="G16" s="773"/>
      <c r="H16" s="768"/>
      <c r="I16" s="768"/>
      <c r="J16" s="770"/>
      <c r="K16" s="770"/>
    </row>
    <row r="17" spans="1:11" x14ac:dyDescent="0.2">
      <c r="A17" s="2255" t="s">
        <v>991</v>
      </c>
      <c r="B17" s="2255"/>
      <c r="C17" s="2255"/>
      <c r="D17" s="2255"/>
      <c r="E17" s="2256"/>
      <c r="F17" s="791"/>
      <c r="G17" s="792"/>
      <c r="H17" s="793"/>
      <c r="I17" s="793"/>
      <c r="J17" s="794"/>
      <c r="K17" s="795"/>
    </row>
    <row r="18" spans="1:11" x14ac:dyDescent="0.2">
      <c r="A18" s="2247" t="s">
        <v>385</v>
      </c>
      <c r="B18" s="2248"/>
      <c r="C18" s="2248"/>
      <c r="D18" s="2248"/>
      <c r="E18" s="2249"/>
      <c r="F18" s="790" t="s">
        <v>988</v>
      </c>
      <c r="G18" s="783"/>
      <c r="H18" s="783"/>
      <c r="I18" s="783"/>
      <c r="J18" s="766"/>
      <c r="K18" s="796"/>
    </row>
    <row r="19" spans="1:11" ht="21.75" customHeight="1" x14ac:dyDescent="0.2">
      <c r="A19" s="2268" t="s">
        <v>1912</v>
      </c>
      <c r="B19" s="2268"/>
      <c r="C19" s="2268"/>
      <c r="D19" s="2268"/>
      <c r="E19" s="2269"/>
      <c r="F19" s="790" t="s">
        <v>989</v>
      </c>
      <c r="G19" s="783"/>
      <c r="H19" s="783"/>
      <c r="I19" s="783"/>
      <c r="J19" s="766"/>
      <c r="K19" s="796"/>
    </row>
    <row r="20" spans="1:11" x14ac:dyDescent="0.2">
      <c r="A20" s="2247" t="s">
        <v>1917</v>
      </c>
      <c r="B20" s="2248"/>
      <c r="C20" s="2248"/>
      <c r="D20" s="2248"/>
      <c r="E20" s="2249"/>
      <c r="F20" s="790" t="s">
        <v>990</v>
      </c>
      <c r="G20" s="783"/>
      <c r="H20" s="783"/>
      <c r="I20" s="783"/>
      <c r="J20" s="766"/>
      <c r="K20" s="796"/>
    </row>
    <row r="21" spans="1:11" ht="13.5" thickBot="1" x14ac:dyDescent="0.25">
      <c r="A21" s="2253" t="s">
        <v>658</v>
      </c>
      <c r="B21" s="2253"/>
      <c r="C21" s="2253"/>
      <c r="D21" s="2253"/>
      <c r="E21" s="2253"/>
      <c r="F21" s="1781"/>
      <c r="G21" s="793"/>
      <c r="H21" s="797"/>
      <c r="I21" s="797"/>
      <c r="J21" s="1782">
        <f>SUM(J18:J20)</f>
        <v>0</v>
      </c>
      <c r="K21" s="794"/>
    </row>
    <row r="22" spans="1:11" ht="13.5" thickTop="1" x14ac:dyDescent="0.2">
      <c r="A22" s="2233" t="s">
        <v>1918</v>
      </c>
      <c r="B22" s="2233"/>
      <c r="C22" s="2233"/>
      <c r="D22" s="2233"/>
      <c r="E22" s="2261"/>
      <c r="F22" s="790" t="s">
        <v>916</v>
      </c>
      <c r="G22" s="783"/>
      <c r="H22" s="765"/>
      <c r="I22" s="765"/>
      <c r="J22" s="798"/>
      <c r="K22" s="766"/>
    </row>
    <row r="23" spans="1:11" ht="13.5" thickBot="1" x14ac:dyDescent="0.25">
      <c r="A23" s="2254" t="s">
        <v>961</v>
      </c>
      <c r="B23" s="2253"/>
      <c r="C23" s="2253"/>
      <c r="D23" s="2253"/>
      <c r="E23" s="2253"/>
      <c r="F23" s="1783"/>
      <c r="G23" s="1780">
        <f>SUM(G14:G16,G21,G22)</f>
        <v>0</v>
      </c>
      <c r="H23" s="1780">
        <f>SUM(H14:H16,H21,H22)</f>
        <v>76811</v>
      </c>
      <c r="I23" s="1780">
        <f>SUM(I14:I16,I21,I22)</f>
        <v>0</v>
      </c>
      <c r="J23" s="1780">
        <f>SUM(J14:J16,J21,J22)</f>
        <v>0</v>
      </c>
      <c r="K23" s="1780">
        <f>SUM(K14:K16,K21,K22)</f>
        <v>16103</v>
      </c>
    </row>
    <row r="24" spans="1:11" ht="14.25" thickTop="1" thickBot="1" x14ac:dyDescent="0.25">
      <c r="A24" s="2254" t="s">
        <v>2022</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3"/>
      <c r="I31" s="2264"/>
      <c r="J31" s="2264"/>
      <c r="K31" s="2264"/>
    </row>
    <row r="32" spans="1:11" x14ac:dyDescent="0.2">
      <c r="A32" s="810"/>
      <c r="B32" s="237"/>
      <c r="C32" s="237"/>
      <c r="D32" s="237"/>
      <c r="E32" s="806"/>
      <c r="F32" s="812" t="s">
        <v>560</v>
      </c>
      <c r="G32" s="765"/>
      <c r="H32" s="2265"/>
      <c r="I32" s="2264"/>
      <c r="J32" s="2264"/>
      <c r="K32" s="2264"/>
    </row>
    <row r="33" spans="1:11" ht="1.5" customHeight="1" x14ac:dyDescent="0.2">
      <c r="A33" s="813" t="s">
        <v>1230</v>
      </c>
      <c r="B33" s="364"/>
      <c r="C33" s="364"/>
      <c r="D33" s="364"/>
      <c r="E33" s="364"/>
      <c r="F33" s="364"/>
      <c r="G33" s="814"/>
      <c r="H33" s="2265"/>
      <c r="I33" s="2264"/>
      <c r="J33" s="2264"/>
      <c r="K33" s="2264"/>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3" t="s">
        <v>561</v>
      </c>
      <c r="B41" s="2234"/>
      <c r="C41" s="2234"/>
      <c r="D41" s="2234"/>
      <c r="E41" s="2234"/>
      <c r="F41" s="223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75" right="0.75" top="1.1000000000000001" bottom="0.5" header="0.5" footer="0.5"/>
  <pageSetup scale="74" firstPageNumber="65" orientation="landscape" r:id="rId1"/>
  <headerFooter>
    <oddHeader>&amp;C&amp;"Times New Roman,Regular"BETHALTO COMMUNITY UNIT SCHOOL DISTRICT NO. 8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2031</v>
      </c>
      <c r="B1" s="2273"/>
      <c r="C1" s="2274"/>
      <c r="D1" s="827"/>
      <c r="E1" s="828"/>
      <c r="F1" s="828"/>
      <c r="G1" s="829"/>
      <c r="H1" s="830"/>
      <c r="I1" s="831"/>
      <c r="J1" s="2270"/>
      <c r="K1" s="2271"/>
      <c r="L1" s="2271"/>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309151</v>
      </c>
      <c r="D5" s="842"/>
      <c r="E5" s="842"/>
      <c r="F5" s="1782">
        <f>(C5+D5)-E5</f>
        <v>309151</v>
      </c>
      <c r="G5" s="838"/>
      <c r="H5" s="843"/>
      <c r="I5" s="843"/>
      <c r="J5" s="843"/>
      <c r="K5" s="794"/>
      <c r="L5" s="1791">
        <f>F5-K5</f>
        <v>309151</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41608779</v>
      </c>
      <c r="D8" s="845">
        <v>1204577</v>
      </c>
      <c r="E8" s="845"/>
      <c r="F8" s="1782">
        <f>(C8+D8)-E8</f>
        <v>42813356</v>
      </c>
      <c r="G8" s="844">
        <v>50</v>
      </c>
      <c r="H8" s="766">
        <v>14859147</v>
      </c>
      <c r="I8" s="766">
        <v>762084</v>
      </c>
      <c r="J8" s="766"/>
      <c r="K8" s="1791">
        <f>(H8+I8)-J8</f>
        <v>15621231</v>
      </c>
      <c r="L8" s="1791">
        <f>F8-K8</f>
        <v>27192125</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259516</v>
      </c>
      <c r="D10" s="847"/>
      <c r="E10" s="847"/>
      <c r="F10" s="1786">
        <f>(C10+D10)-E10</f>
        <v>259516</v>
      </c>
      <c r="G10" s="844">
        <v>20</v>
      </c>
      <c r="H10" s="848">
        <v>216688</v>
      </c>
      <c r="I10" s="848">
        <v>7138</v>
      </c>
      <c r="J10" s="848"/>
      <c r="K10" s="1791">
        <f>(H10+I10)-J10</f>
        <v>223826</v>
      </c>
      <c r="L10" s="1791">
        <f>F10-K10</f>
        <v>35690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5359190</v>
      </c>
      <c r="D12" s="845">
        <v>116111</v>
      </c>
      <c r="E12" s="845">
        <v>407358</v>
      </c>
      <c r="F12" s="1782">
        <f>(C12+D12)-E12</f>
        <v>5067943</v>
      </c>
      <c r="G12" s="844">
        <v>10</v>
      </c>
      <c r="H12" s="766">
        <v>2592911</v>
      </c>
      <c r="I12" s="766">
        <v>505434</v>
      </c>
      <c r="J12" s="766">
        <v>407358</v>
      </c>
      <c r="K12" s="1791">
        <f>(H12+I12)-J12</f>
        <v>2690987</v>
      </c>
      <c r="L12" s="1791">
        <f>F12-K12</f>
        <v>2376956</v>
      </c>
    </row>
    <row r="13" spans="1:14" ht="14.25" thickTop="1" thickBot="1" x14ac:dyDescent="0.25">
      <c r="A13" s="849" t="s">
        <v>1183</v>
      </c>
      <c r="B13" s="841">
        <v>252</v>
      </c>
      <c r="C13" s="845">
        <v>3390569</v>
      </c>
      <c r="D13" s="845">
        <v>3096983</v>
      </c>
      <c r="E13" s="845">
        <v>32640</v>
      </c>
      <c r="F13" s="1782">
        <f>(C13+D13)-E13</f>
        <v>6454912</v>
      </c>
      <c r="G13" s="844">
        <v>5</v>
      </c>
      <c r="H13" s="766">
        <v>2675833</v>
      </c>
      <c r="I13" s="766">
        <v>1257171</v>
      </c>
      <c r="J13" s="766">
        <v>32640</v>
      </c>
      <c r="K13" s="1791">
        <f>(H13+I13)-J13</f>
        <v>3900364</v>
      </c>
      <c r="L13" s="1791">
        <f>F13-K13</f>
        <v>2554548</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50927205</v>
      </c>
      <c r="D16" s="1782">
        <f>SUM(D3,D5:D6,D8:D10,D12:D15)</f>
        <v>4417671</v>
      </c>
      <c r="E16" s="1782">
        <f>SUM(E3,E5:E6,E8:E10,E12:E15)</f>
        <v>439998</v>
      </c>
      <c r="F16" s="1782">
        <f>SUM(F3,F5:F6,F8:F10,F12:F15)</f>
        <v>54904878</v>
      </c>
      <c r="G16" s="844"/>
      <c r="H16" s="1782">
        <f>SUM(H3,H6,H8:H10,H12:H14,)</f>
        <v>20344579</v>
      </c>
      <c r="I16" s="1782">
        <f>SUM(I3,I6,I8:I10,I12:I14,)</f>
        <v>2531827</v>
      </c>
      <c r="J16" s="1782">
        <f>SUM(J3,J6,J8:J10,J12:J14,)</f>
        <v>439998</v>
      </c>
      <c r="K16" s="1782">
        <f>(H16+I16)-J16</f>
        <v>22436408</v>
      </c>
      <c r="L16" s="1782">
        <f>F16-K16</f>
        <v>32468470</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2531827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75" right="0.75" top="1.75" bottom="0.5" header="0.5" footer="0.5"/>
  <pageSetup scale="74" firstPageNumber="26" orientation="landscape" r:id="rId1"/>
  <headerFooter>
    <oddHeader>&amp;C&amp;"Times New Roman,Regular"BETHALTO COMMUNITY UNIT SCHOOL DISTRICT NO. 8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3" activePane="bottomLeft" state="frozen"/>
      <selection activeCell="AF38" sqref="AF3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1698</v>
      </c>
      <c r="B1" s="2279"/>
      <c r="C1" s="2279"/>
      <c r="D1" s="2279"/>
      <c r="E1" s="2279"/>
      <c r="F1" s="2280"/>
      <c r="G1" s="856"/>
    </row>
    <row r="2" spans="1:7" ht="15" customHeight="1" thickBot="1" x14ac:dyDescent="0.25">
      <c r="A2" s="2281" t="s">
        <v>497</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4"/>
      <c r="B5" s="2285"/>
      <c r="C5" s="2285"/>
      <c r="D5" s="2285"/>
      <c r="E5" s="2285"/>
      <c r="F5" s="2285"/>
    </row>
    <row r="6" spans="1:7" ht="13.5" customHeight="1" thickBot="1" x14ac:dyDescent="0.25">
      <c r="A6" s="2275" t="s">
        <v>1165</v>
      </c>
      <c r="B6" s="2276"/>
      <c r="C6" s="2276"/>
      <c r="D6" s="2276"/>
      <c r="E6" s="2276"/>
      <c r="F6" s="2277"/>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16584317</v>
      </c>
      <c r="G8" s="866"/>
    </row>
    <row r="9" spans="1:7" x14ac:dyDescent="0.2">
      <c r="A9" s="870" t="s">
        <v>479</v>
      </c>
      <c r="B9" s="871" t="s">
        <v>1985</v>
      </c>
      <c r="C9" s="872"/>
      <c r="D9" s="870" t="s">
        <v>521</v>
      </c>
      <c r="E9" s="869"/>
      <c r="F9" s="1935">
        <f>'Expenditures 15-22'!K151</f>
        <v>648046</v>
      </c>
      <c r="G9" s="873"/>
    </row>
    <row r="10" spans="1:7" x14ac:dyDescent="0.2">
      <c r="A10" s="870" t="s">
        <v>519</v>
      </c>
      <c r="B10" s="871" t="s">
        <v>1986</v>
      </c>
      <c r="C10" s="872"/>
      <c r="D10" s="870" t="s">
        <v>521</v>
      </c>
      <c r="E10" s="869"/>
      <c r="F10" s="1935">
        <f>'Expenditures 15-22'!K174</f>
        <v>2345940</v>
      </c>
      <c r="G10" s="873"/>
    </row>
    <row r="11" spans="1:7" x14ac:dyDescent="0.2">
      <c r="A11" s="870" t="s">
        <v>480</v>
      </c>
      <c r="B11" s="871" t="s">
        <v>1987</v>
      </c>
      <c r="C11" s="872"/>
      <c r="D11" s="870" t="s">
        <v>521</v>
      </c>
      <c r="E11" s="869"/>
      <c r="F11" s="1935">
        <f>'Expenditures 15-22'!K210</f>
        <v>3940264</v>
      </c>
      <c r="G11" s="873"/>
    </row>
    <row r="12" spans="1:7" x14ac:dyDescent="0.2">
      <c r="A12" s="870" t="s">
        <v>481</v>
      </c>
      <c r="B12" s="871" t="s">
        <v>1988</v>
      </c>
      <c r="C12" s="872"/>
      <c r="D12" s="870" t="s">
        <v>521</v>
      </c>
      <c r="E12" s="869"/>
      <c r="F12" s="1935">
        <f>'Expenditures 15-22'!K295</f>
        <v>1178670</v>
      </c>
      <c r="G12" s="873"/>
    </row>
    <row r="13" spans="1:7" x14ac:dyDescent="0.2">
      <c r="A13" s="870" t="s">
        <v>108</v>
      </c>
      <c r="B13" s="871" t="s">
        <v>1989</v>
      </c>
      <c r="C13" s="872"/>
      <c r="D13" s="870" t="s">
        <v>521</v>
      </c>
      <c r="E13" s="869"/>
      <c r="F13" s="1935">
        <f>'Expenditures 15-22'!K342</f>
        <v>1262732</v>
      </c>
      <c r="G13" s="874"/>
    </row>
    <row r="14" spans="1:7" ht="12" customHeight="1" thickBot="1" x14ac:dyDescent="0.25">
      <c r="A14" s="1792"/>
      <c r="B14" s="1793"/>
      <c r="C14" s="1794"/>
      <c r="D14" s="1795" t="s">
        <v>521</v>
      </c>
      <c r="E14" s="1796" t="s">
        <v>1014</v>
      </c>
      <c r="F14" s="1797">
        <f>SUM(F8:F13)</f>
        <v>25959969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99235</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92584</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41479</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434338</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32493</v>
      </c>
      <c r="G52" s="866"/>
    </row>
    <row r="53" spans="1:7" x14ac:dyDescent="0.2">
      <c r="A53" s="870" t="s">
        <v>478</v>
      </c>
      <c r="B53" s="870" t="s">
        <v>1550</v>
      </c>
      <c r="C53" s="890">
        <f>'Expenditures 15-22'!B102</f>
        <v>4000</v>
      </c>
      <c r="D53" s="889" t="str">
        <f>'Expenditures 15-22'!A102</f>
        <v>Total Payments to Other Govt Units</v>
      </c>
      <c r="E53" s="869"/>
      <c r="F53" s="1939">
        <f>'Expenditures 15-22'!K102</f>
        <v>213330</v>
      </c>
      <c r="G53" s="866"/>
    </row>
    <row r="54" spans="1:7" x14ac:dyDescent="0.2">
      <c r="A54" s="870" t="s">
        <v>478</v>
      </c>
      <c r="B54" s="870" t="s">
        <v>1551</v>
      </c>
      <c r="C54" s="890" t="s">
        <v>1038</v>
      </c>
      <c r="D54" s="886" t="s">
        <v>1156</v>
      </c>
      <c r="E54" s="869"/>
      <c r="F54" s="1939">
        <f>'Expenditures 15-22'!G114</f>
        <v>104905</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11206</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1791503</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3096983</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6423</v>
      </c>
      <c r="G67" s="866"/>
    </row>
    <row r="68" spans="1:8" x14ac:dyDescent="0.2">
      <c r="A68" s="870" t="s">
        <v>481</v>
      </c>
      <c r="B68" s="870" t="s">
        <v>1554</v>
      </c>
      <c r="C68" s="887" t="str">
        <f>'Expenditures 15-22'!B218</f>
        <v>1225</v>
      </c>
      <c r="D68" s="893" t="str">
        <f>'Expenditures 15-22'!A218</f>
        <v>Special Education Programs - Pre-K</v>
      </c>
      <c r="E68" s="869"/>
      <c r="F68" s="1939">
        <f>'Expenditures 15-22'!K218</f>
        <v>11629</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3524</v>
      </c>
      <c r="G71" s="866"/>
    </row>
    <row r="72" spans="1:8" x14ac:dyDescent="0.2">
      <c r="A72" s="870" t="s">
        <v>481</v>
      </c>
      <c r="B72" s="870" t="s">
        <v>2004</v>
      </c>
      <c r="C72" s="887">
        <f>'Expenditures 15-22'!B280</f>
        <v>3000</v>
      </c>
      <c r="D72" s="877" t="s">
        <v>468</v>
      </c>
      <c r="E72" s="869"/>
      <c r="F72" s="1939">
        <f>'Expenditures 15-22'!K280</f>
        <v>3492</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5943124</v>
      </c>
      <c r="G76" s="866"/>
    </row>
    <row r="77" spans="1:8" s="894" customFormat="1" ht="12" customHeight="1" thickTop="1" thickBot="1" x14ac:dyDescent="0.25">
      <c r="A77" s="1801"/>
      <c r="B77" s="1798"/>
      <c r="C77" s="1794"/>
      <c r="D77" s="1799" t="s">
        <v>2008</v>
      </c>
      <c r="E77" s="1796"/>
      <c r="F77" s="1802">
        <f>(F14-F76)</f>
        <v>20016845</v>
      </c>
      <c r="G77" s="870"/>
    </row>
    <row r="78" spans="1:8" s="894" customFormat="1" ht="12" customHeight="1" thickTop="1" x14ac:dyDescent="0.2">
      <c r="A78" s="1803"/>
      <c r="B78" s="1798"/>
      <c r="C78" s="1794"/>
      <c r="D78" s="1799" t="s">
        <v>2055</v>
      </c>
      <c r="E78" s="1796"/>
      <c r="F78" s="899">
        <v>2270.6</v>
      </c>
      <c r="G78" s="900"/>
      <c r="H78" s="870"/>
    </row>
    <row r="79" spans="1:8" s="894" customFormat="1" ht="12" customHeight="1" thickBot="1" x14ac:dyDescent="0.25">
      <c r="A79" s="1804"/>
      <c r="B79" s="1798"/>
      <c r="C79" s="1794"/>
      <c r="D79" s="1799" t="s">
        <v>2009</v>
      </c>
      <c r="E79" s="1796" t="s">
        <v>1014</v>
      </c>
      <c r="F79" s="1805">
        <f>IF(F78&gt;0,F77/F78," Complete Line 78")</f>
        <v>8815.6632608121199</v>
      </c>
      <c r="G79" s="870"/>
    </row>
    <row r="80" spans="1:8" s="894" customFormat="1" ht="8.25" customHeight="1" thickTop="1" x14ac:dyDescent="0.2">
      <c r="A80" s="901"/>
      <c r="B80" s="870"/>
      <c r="C80" s="872"/>
      <c r="D80" s="902"/>
      <c r="E80" s="869"/>
      <c r="F80" s="903"/>
      <c r="G80" s="870"/>
    </row>
    <row r="81" spans="1:7" s="894" customFormat="1" ht="12" thickBot="1" x14ac:dyDescent="0.25">
      <c r="A81" s="2275" t="s">
        <v>1166</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12024</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483365</v>
      </c>
      <c r="G94" s="913"/>
    </row>
    <row r="95" spans="1:7" x14ac:dyDescent="0.2">
      <c r="A95" s="909" t="s">
        <v>142</v>
      </c>
      <c r="B95" s="909" t="s">
        <v>177</v>
      </c>
      <c r="C95" s="911">
        <v>1700</v>
      </c>
      <c r="D95" s="919" t="str">
        <f>'Revenues 9-14'!A82</f>
        <v>Total District/School Activity Income</v>
      </c>
      <c r="E95" s="907"/>
      <c r="F95" s="1811">
        <f>SUM('Revenues 9-14'!C82,'Revenues 9-14'!D82)</f>
        <v>88481</v>
      </c>
      <c r="G95" s="913"/>
    </row>
    <row r="96" spans="1:7" x14ac:dyDescent="0.2">
      <c r="A96" s="909" t="s">
        <v>478</v>
      </c>
      <c r="B96" s="909" t="s">
        <v>178</v>
      </c>
      <c r="C96" s="911">
        <f>'Revenues 9-14'!B84</f>
        <v>1811</v>
      </c>
      <c r="D96" s="912" t="str">
        <f>'Revenues 9-14'!A84</f>
        <v>Rentals - Regular Textbooks</v>
      </c>
      <c r="E96" s="907"/>
      <c r="F96" s="1811">
        <f>'Revenues 9-14'!C84</f>
        <v>112789</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694</v>
      </c>
      <c r="G100" s="913"/>
    </row>
    <row r="101" spans="1:7" x14ac:dyDescent="0.2">
      <c r="A101" s="909" t="s">
        <v>142</v>
      </c>
      <c r="B101" s="909" t="s">
        <v>183</v>
      </c>
      <c r="C101" s="911">
        <f>'Revenues 9-14'!B95</f>
        <v>1910</v>
      </c>
      <c r="D101" s="912" t="str">
        <f>'Revenues 9-14'!A95</f>
        <v>Rentals</v>
      </c>
      <c r="E101" s="907"/>
      <c r="F101" s="1811">
        <f>SUM('Revenues 9-14'!C95:D95)</f>
        <v>39575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10000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598263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57716</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10239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25779</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1004566</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835647</v>
      </c>
      <c r="G129" s="931"/>
    </row>
    <row r="130" spans="1:7" x14ac:dyDescent="0.2">
      <c r="A130" s="928" t="s">
        <v>688</v>
      </c>
      <c r="B130" s="928" t="s">
        <v>803</v>
      </c>
      <c r="C130" s="933">
        <v>4300</v>
      </c>
      <c r="D130" s="934" t="str">
        <f>'Revenues 9-14'!A211</f>
        <v>Total Title I</v>
      </c>
      <c r="E130" s="907"/>
      <c r="F130" s="1811">
        <f>SUM('Revenues 9-14'!C211,'Revenues 9-14'!D211,'Revenues 9-14'!F211,'Revenues 9-14'!G211)</f>
        <v>863112</v>
      </c>
      <c r="G130" s="931"/>
    </row>
    <row r="131" spans="1:7" x14ac:dyDescent="0.2">
      <c r="A131" s="928" t="s">
        <v>688</v>
      </c>
      <c r="B131" s="928" t="s">
        <v>804</v>
      </c>
      <c r="C131" s="933">
        <v>4400</v>
      </c>
      <c r="D131" s="934" t="str">
        <f>'Revenues 9-14'!A216</f>
        <v>Total Title IV</v>
      </c>
      <c r="E131" s="907"/>
      <c r="F131" s="1811">
        <f>SUM('Revenues 9-14'!C216,'Revenues 9-14'!D216,'Revenues 9-14'!F216,'Revenues 9-14'!G216)</f>
        <v>2315</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679589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26947</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137279</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33554</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85972</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13014</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5120920</v>
      </c>
    </row>
    <row r="179" spans="1:7" ht="12" customHeight="1" x14ac:dyDescent="0.2">
      <c r="A179" s="1792"/>
      <c r="B179" s="1806"/>
      <c r="C179" s="1807"/>
      <c r="D179" s="1808" t="s">
        <v>2011</v>
      </c>
      <c r="E179" s="1809"/>
      <c r="F179" s="1811">
        <f>'PCTC-OEPP 27-28'!F77-F178</f>
        <v>14895925</v>
      </c>
    </row>
    <row r="180" spans="1:7" ht="12" customHeight="1" x14ac:dyDescent="0.2">
      <c r="A180" s="1792"/>
      <c r="B180" s="1806"/>
      <c r="C180" s="1807"/>
      <c r="D180" s="1808" t="s">
        <v>1920</v>
      </c>
      <c r="E180" s="1809"/>
      <c r="F180" s="1811">
        <f>'Cap Outlay Deprec 26'!I18</f>
        <v>2531827</v>
      </c>
    </row>
    <row r="181" spans="1:7" ht="12" customHeight="1" x14ac:dyDescent="0.2">
      <c r="A181" s="1792"/>
      <c r="B181" s="1806"/>
      <c r="C181" s="1807"/>
      <c r="D181" s="1808" t="s">
        <v>2012</v>
      </c>
      <c r="E181" s="1809"/>
      <c r="F181" s="1811">
        <f>F179+F180</f>
        <v>17427752</v>
      </c>
    </row>
    <row r="182" spans="1:7" ht="12" customHeight="1" x14ac:dyDescent="0.2">
      <c r="A182" s="1792"/>
      <c r="B182" s="1812"/>
      <c r="C182" s="1807"/>
      <c r="D182" s="1808" t="str">
        <f>D78</f>
        <v>9 Month ADA from District Average Daily Attendance/Prior General State Aid Inquiry 2017-2018</v>
      </c>
      <c r="E182" s="1809"/>
      <c r="F182" s="1813">
        <f>'PCTC-OEPP 27-28'!F78</f>
        <v>2270.6</v>
      </c>
      <c r="G182" s="931"/>
    </row>
    <row r="183" spans="1:7" ht="12" customHeight="1" thickBot="1" x14ac:dyDescent="0.25">
      <c r="A183" s="1792"/>
      <c r="B183" s="1812"/>
      <c r="C183" s="1807"/>
      <c r="D183" s="1808" t="s">
        <v>2013</v>
      </c>
      <c r="E183" s="1809" t="s">
        <v>1625</v>
      </c>
      <c r="F183" s="1814">
        <f>F181/F182</f>
        <v>7675.3950497665819</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75" right="0.75" top="1" bottom="0.5" header="0.5" footer="0.5"/>
  <pageSetup scale="65" firstPageNumber="27" orientation="portrait" r:id="rId2"/>
  <headerFooter>
    <oddHeader>&amp;C&amp;"Times New Roman,Regular"BETHALTO COMMUNITY UNIT SCHOOL DISTRICT NO. 8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AF38" sqref="AF3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9" t="s">
        <v>1921</v>
      </c>
      <c r="B4" s="2290"/>
      <c r="C4" s="2290"/>
      <c r="D4" s="2290"/>
      <c r="E4" s="2290"/>
      <c r="F4" s="2290"/>
      <c r="G4" s="2291"/>
    </row>
    <row r="5" spans="1:7" x14ac:dyDescent="0.25">
      <c r="A5" s="2292"/>
      <c r="B5" s="2293"/>
      <c r="C5" s="2293"/>
      <c r="D5" s="2293"/>
      <c r="E5" s="2293"/>
      <c r="F5" s="2293"/>
      <c r="G5" s="2294"/>
    </row>
    <row r="6" spans="1:7" ht="18.75" x14ac:dyDescent="0.25">
      <c r="A6" s="1556" t="s">
        <v>1922</v>
      </c>
      <c r="B6" s="1557"/>
      <c r="C6" s="1557"/>
      <c r="D6" s="1557"/>
      <c r="E6" s="1557"/>
      <c r="F6" s="1557"/>
      <c r="G6" s="1558"/>
    </row>
    <row r="7" spans="1:7" ht="30.75" customHeight="1" x14ac:dyDescent="0.25">
      <c r="A7" s="2295" t="s">
        <v>2071</v>
      </c>
      <c r="B7" s="2296"/>
      <c r="C7" s="2296"/>
      <c r="D7" s="2296"/>
      <c r="E7" s="2296"/>
      <c r="F7" s="2296"/>
      <c r="G7" s="2297"/>
    </row>
    <row r="8" spans="1:7" ht="15.75" customHeight="1" x14ac:dyDescent="0.25">
      <c r="A8" s="2298" t="s">
        <v>2020</v>
      </c>
      <c r="B8" s="2299"/>
      <c r="C8" s="2299"/>
      <c r="D8" s="2299"/>
      <c r="E8" s="2299"/>
      <c r="F8" s="2299"/>
      <c r="G8" s="2300"/>
    </row>
    <row r="9" spans="1:7" ht="35.25" customHeight="1" x14ac:dyDescent="0.25">
      <c r="A9" s="2295" t="s">
        <v>2019</v>
      </c>
      <c r="B9" s="2296"/>
      <c r="C9" s="2296"/>
      <c r="D9" s="2296"/>
      <c r="E9" s="2296"/>
      <c r="F9" s="2296"/>
      <c r="G9" s="2297"/>
    </row>
    <row r="10" spans="1:7" ht="15" customHeight="1" x14ac:dyDescent="0.25">
      <c r="A10" s="1559" t="s">
        <v>1923</v>
      </c>
      <c r="B10" s="1560"/>
      <c r="C10" s="1560"/>
      <c r="D10" s="1560"/>
      <c r="E10" s="1560"/>
      <c r="F10" s="1560"/>
      <c r="G10" s="1561"/>
    </row>
    <row r="11" spans="1:7" ht="17.25" customHeight="1" x14ac:dyDescent="0.25">
      <c r="A11" s="2295" t="s">
        <v>1937</v>
      </c>
      <c r="B11" s="2296"/>
      <c r="C11" s="2296"/>
      <c r="D11" s="2296"/>
      <c r="E11" s="2296"/>
      <c r="F11" s="2296"/>
      <c r="G11" s="2297"/>
    </row>
    <row r="12" spans="1:7" ht="15" customHeight="1" x14ac:dyDescent="0.25">
      <c r="A12" s="1559" t="s">
        <v>1928</v>
      </c>
      <c r="B12" s="1560"/>
      <c r="C12" s="1560"/>
      <c r="D12" s="1560"/>
      <c r="E12" s="1560"/>
      <c r="F12" s="1560"/>
      <c r="G12" s="1561"/>
    </row>
    <row r="13" spans="1:7" ht="32.25" customHeight="1" x14ac:dyDescent="0.25">
      <c r="A13" s="2286" t="s">
        <v>1929</v>
      </c>
      <c r="B13" s="2287"/>
      <c r="C13" s="2287"/>
      <c r="D13" s="2287"/>
      <c r="E13" s="2287"/>
      <c r="F13" s="2287"/>
      <c r="G13" s="2288"/>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2190</v>
      </c>
      <c r="B17" s="1959" t="s">
        <v>2191</v>
      </c>
      <c r="C17" s="1958" t="s">
        <v>2189</v>
      </c>
      <c r="D17" s="1867">
        <v>15000</v>
      </c>
      <c r="E17" s="1562">
        <f t="shared" ref="E17:E141" si="1">IF(D17&lt;=25000,D17,IF(D17&gt;25000,25000,0))</f>
        <v>15000</v>
      </c>
      <c r="F17" s="1815">
        <f t="shared" si="0"/>
        <v>15000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15000</v>
      </c>
      <c r="E141" s="1563">
        <f t="shared" si="1"/>
        <v>15000</v>
      </c>
      <c r="F141" s="1817">
        <f>SUM(F17:F140)</f>
        <v>15000</v>
      </c>
      <c r="G141" s="1818">
        <f>SUM(G17:G140)</f>
        <v>0</v>
      </c>
    </row>
  </sheetData>
  <sheetProtection sheet="1" selectLockedCells="1"/>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69" fitToHeight="0" orientation="portrait" r:id="rId1"/>
  <headerFooter>
    <oddHeader>&amp;C&amp;"Times New Roman,Regular"BETHALTO COMMUNITY UNIT SCHOOL DISTRICT NO. 8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1" t="s">
        <v>1777</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578547</v>
      </c>
      <c r="F10" s="975"/>
      <c r="G10" s="976"/>
      <c r="H10" s="162"/>
      <c r="I10" s="162"/>
    </row>
    <row r="11" spans="1:9" s="669" customFormat="1" ht="22.5" customHeight="1" x14ac:dyDescent="0.2">
      <c r="A11" s="2306" t="s">
        <v>1941</v>
      </c>
      <c r="B11" s="2307"/>
      <c r="C11" s="2307"/>
      <c r="D11" s="2308"/>
      <c r="E11" s="978">
        <v>105513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11310747</v>
      </c>
      <c r="F19" s="1822"/>
      <c r="G19" s="1824">
        <f>'Expenditures 15-22'!K33-SUM('Expenditures 15-22'!G33,'Expenditures 15-22'!I33)+'Expenditures 15-22'!D229</f>
        <v>11310747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948875</v>
      </c>
      <c r="F21" s="1825"/>
      <c r="G21" s="1828">
        <f>'Expenditures 15-22'!K42-SUM('Expenditures 15-22'!G42,'Expenditures 15-22'!I42)+'Expenditures 15-22'!K120-SUM('Expenditures 15-22'!G120,'Expenditures 15-22'!I120)+'Expenditures 15-22'!K180-SUM('Expenditures 15-22'!G180,'Expenditures 15-22'!I180)+'Expenditures 15-22'!D238</f>
        <v>948875</v>
      </c>
      <c r="H21" s="988"/>
      <c r="I21" s="162"/>
    </row>
    <row r="22" spans="1:9" s="669" customFormat="1" ht="12" customHeight="1" x14ac:dyDescent="0.2">
      <c r="A22" s="995" t="s">
        <v>584</v>
      </c>
      <c r="B22" s="996"/>
      <c r="C22" s="994">
        <v>2200</v>
      </c>
      <c r="D22" s="1825"/>
      <c r="E22" s="1827">
        <f>'Expenditures 15-22'!K47-SUM('Expenditures 15-22'!G47,'Expenditures 15-22'!I47)+'Expenditures 15-22'!D243</f>
        <v>588040</v>
      </c>
      <c r="F22" s="1825"/>
      <c r="G22" s="1828">
        <f>'Expenditures 15-22'!K47-SUM('Expenditures 15-22'!G47,'Expenditures 15-22'!I47)+'Expenditures 15-22'!D243</f>
        <v>588040</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2155102</v>
      </c>
      <c r="F23" s="1825"/>
      <c r="G23" s="1827">
        <f>'Expenditures 15-22'!K53-SUM('Expenditures 15-22'!G53,'Expenditures 15-22'!I53)+'Expenditures 15-22'!D257+'Expenditures 15-22'!K330-SUM('Expenditures 15-22'!G330,'Expenditures 15-22'!I330)</f>
        <v>2155102</v>
      </c>
      <c r="H23" s="988"/>
      <c r="I23" s="162"/>
    </row>
    <row r="24" spans="1:9" s="669" customFormat="1" ht="12" customHeight="1" x14ac:dyDescent="0.2">
      <c r="A24" s="995" t="s">
        <v>586</v>
      </c>
      <c r="B24" s="996"/>
      <c r="C24" s="994">
        <v>2400</v>
      </c>
      <c r="D24" s="1825"/>
      <c r="E24" s="1827">
        <f>'Expenditures 15-22'!K57-SUM('Expenditures 15-22'!G57,'Expenditures 15-22'!I57)+'Expenditures 15-22'!D261</f>
        <v>1000106</v>
      </c>
      <c r="F24" s="1825"/>
      <c r="G24" s="1828">
        <f>'Expenditures 15-22'!K57-SUM('Expenditures 15-22'!G57,'Expenditures 15-22'!I57)+'Expenditures 15-22'!D261</f>
        <v>1000106</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207945</v>
      </c>
      <c r="E27" s="1827">
        <f>E8</f>
        <v>0</v>
      </c>
      <c r="F27" s="1827">
        <f>'Expenditures 15-22'!K60-SUM('Expenditures 15-22'!G60,'Expenditures 15-22'!I60)+'Expenditures 15-22'!D264-E8</f>
        <v>207945</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1707458</v>
      </c>
      <c r="F28" s="1829">
        <f>'Expenditures 15-22'!K61-SUM('Expenditures 15-22'!G61,'Expenditures 15-22'!I61)+'Expenditures 15-22'!K124-SUM('Expenditures 15-22'!G124,'Expenditures 15-22'!I124)+'Expenditures 15-22'!D266-E9</f>
        <v>1707458</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1010114</v>
      </c>
      <c r="F29" s="1825"/>
      <c r="G29" s="1828">
        <f>'Expenditures 15-22'!K62-SUM('Expenditures 15-22'!G62,'Expenditures 15-22'!I62)+'Expenditures 15-22'!K125-SUM('Expenditures 15-22'!G125,'Expenditures 15-22'!I125)+'Expenditures 15-22'!K182-SUM('Expenditures 15-22'!G182,'Expenditures 15-22'!I182)+'Expenditures 15-22'!D267</f>
        <v>1010114</v>
      </c>
      <c r="H29" s="986"/>
    </row>
    <row r="30" spans="1:9" ht="12" customHeight="1" x14ac:dyDescent="0.2">
      <c r="A30" s="995" t="s">
        <v>102</v>
      </c>
      <c r="B30" s="998"/>
      <c r="C30" s="994">
        <v>2560</v>
      </c>
      <c r="D30" s="1825"/>
      <c r="E30" s="1827">
        <f>'Expenditures 15-22'!K63-SUM('Expenditures 15-22'!G63,'Expenditures 15-22'!I63)+'Expenditures 15-22'!D268-E10</f>
        <v>644686</v>
      </c>
      <c r="F30" s="1825"/>
      <c r="G30" s="1827">
        <f>'Expenditures 15-22'!K63-SUM('Expenditures 15-22'!G63,'Expenditures 15-22'!I63)+'Expenditures 15-22'!D268-E10</f>
        <v>644686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35985</v>
      </c>
      <c r="F39" s="1825"/>
      <c r="G39" s="1827">
        <f>'Expenditures 15-22'!K75-SUM('Expenditures 15-22'!G75,'Expenditures 15-22'!I75)+'Expenditures 15-22'!K130-SUM('Expenditures 15-22'!G130,'Expenditures 15-22'!I130)+'Expenditures 15-22'!K185-SUM('Expenditures 15-22'!G185,'Expenditures 15-22'!I185)+'Expenditures 15-22'!D280</f>
        <v>35985</v>
      </c>
    </row>
    <row r="40" spans="1:7" ht="12" customHeight="1" x14ac:dyDescent="0.2">
      <c r="A40" s="991" t="s">
        <v>1926</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207945</v>
      </c>
      <c r="E41" s="1829">
        <f>SUM(E19:E40)</f>
        <v>19401113</v>
      </c>
      <c r="F41" s="1829">
        <f>SUM(F19:F39)</f>
        <v>1915403</v>
      </c>
      <c r="G41" s="1829">
        <f>SUM(G19:G40)</f>
        <v>17693655</v>
      </c>
    </row>
    <row r="42" spans="1:7" x14ac:dyDescent="0.2">
      <c r="A42" s="988"/>
      <c r="B42" s="162"/>
      <c r="C42" s="1002"/>
      <c r="D42" s="2304" t="s">
        <v>542</v>
      </c>
      <c r="E42" s="2305"/>
      <c r="F42" s="1003" t="s">
        <v>543</v>
      </c>
      <c r="G42" s="1004"/>
    </row>
    <row r="43" spans="1:7" ht="12" customHeight="1" x14ac:dyDescent="0.2">
      <c r="A43" s="988"/>
      <c r="B43" s="162"/>
      <c r="C43" s="1002"/>
      <c r="D43" s="1830" t="s">
        <v>492</v>
      </c>
      <c r="E43" s="1831">
        <f>D41</f>
        <v>207945</v>
      </c>
      <c r="F43" s="1830" t="s">
        <v>494</v>
      </c>
      <c r="G43" s="1831">
        <f>F41</f>
        <v>1915403</v>
      </c>
    </row>
    <row r="44" spans="1:7" ht="12" customHeight="1" x14ac:dyDescent="0.2">
      <c r="A44" s="988"/>
      <c r="B44" s="162"/>
      <c r="C44" s="1002"/>
      <c r="D44" s="1830" t="s">
        <v>493</v>
      </c>
      <c r="E44" s="1831">
        <f>E41</f>
        <v>19401113</v>
      </c>
      <c r="F44" s="1830" t="s">
        <v>493</v>
      </c>
      <c r="G44" s="1831">
        <f>G41</f>
        <v>17693655</v>
      </c>
    </row>
    <row r="45" spans="1:7" ht="12" customHeight="1" x14ac:dyDescent="0.2">
      <c r="A45" s="988"/>
      <c r="B45" s="162"/>
      <c r="C45" s="162"/>
      <c r="D45" s="1832" t="s">
        <v>1062</v>
      </c>
      <c r="E45" s="1833">
        <f>(E43/E44)</f>
        <v>1.07181995177287E-2</v>
      </c>
      <c r="F45" s="1832" t="s">
        <v>1062</v>
      </c>
      <c r="G45" s="1833">
        <f>(G43/G44)</f>
        <v>0.10825366494373266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0.75" right="0.75" top="1" bottom="0.5" header="0.5" footer="0.5"/>
  <pageSetup scale="77" firstPageNumber="71" orientation="landscape" r:id="rId1"/>
  <headerFooter>
    <oddHeader>&amp;C&amp;"Times New Roman,Regular"BETHALTO COMMUNITY UNIT SCHOOL DISTRICT NO. 8
ESTIMATED INDIRECT COST RATE DATA
FOR THE YEAR ENDED JUNE 30, 2018</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1445</v>
      </c>
      <c r="B1" s="2312"/>
      <c r="C1" s="2312"/>
      <c r="D1" s="2312"/>
      <c r="E1" s="2312"/>
      <c r="F1" s="2312"/>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3" t="s">
        <v>1626</v>
      </c>
      <c r="B5" s="2314"/>
      <c r="C5" s="2315"/>
      <c r="D5" s="2315"/>
      <c r="E5" s="2315"/>
      <c r="F5" s="2315"/>
    </row>
    <row r="6" spans="1:10" ht="12" customHeight="1" x14ac:dyDescent="0.25">
      <c r="A6" s="1875"/>
      <c r="B6" s="1876"/>
      <c r="C6" s="2316" t="str">
        <f>COVER!A17</f>
        <v>Bethalto CUSD 8</v>
      </c>
      <c r="D6" s="2316"/>
      <c r="E6" s="2316"/>
      <c r="F6" s="1877"/>
    </row>
    <row r="7" spans="1:10" ht="11.25" customHeight="1" thickBot="1" x14ac:dyDescent="0.3">
      <c r="A7" s="1875"/>
      <c r="B7" s="1876"/>
      <c r="C7" s="2317">
        <f>COVER!A13</f>
        <v>41057008026</v>
      </c>
      <c r="D7" s="2317"/>
      <c r="E7" s="2317"/>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t="s">
        <v>2073</v>
      </c>
      <c r="D18" s="1890" t="s">
        <v>2073</v>
      </c>
      <c r="E18" s="1893" t="s">
        <v>2073</v>
      </c>
      <c r="F18" s="1892" t="s">
        <v>2097</v>
      </c>
      <c r="H18" s="1903">
        <f t="shared" si="0"/>
        <v>5</v>
      </c>
      <c r="I18" s="1903">
        <f t="shared" si="1"/>
        <v>5</v>
      </c>
      <c r="J18" s="1903">
        <f t="shared" si="2"/>
        <v>5</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2073</v>
      </c>
      <c r="D26" s="1890" t="s">
        <v>2073</v>
      </c>
      <c r="E26" s="1893" t="s">
        <v>2073</v>
      </c>
      <c r="F26" s="1892" t="s">
        <v>2098</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2073</v>
      </c>
      <c r="D31" s="1890" t="s">
        <v>2073</v>
      </c>
      <c r="E31" s="1893" t="s">
        <v>2073</v>
      </c>
      <c r="F31" s="1892" t="s">
        <v>2099</v>
      </c>
      <c r="H31" s="1903">
        <f t="shared" si="0"/>
        <v>5</v>
      </c>
      <c r="I31" s="1903">
        <f t="shared" si="1"/>
        <v>5</v>
      </c>
      <c r="J31" s="1903">
        <f t="shared" si="2"/>
        <v>5</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1458</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1457</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1"/>
  <headerFooter>
    <oddHeader>&amp;C&amp;"Times New Roman,Regular"BETHALTO COMMUNITY UNIT SCHOOL DISTRICT NO. 8</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Q16" sqref="Q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6" t="str">
        <f>COVER!A17</f>
        <v>Bethalto CUSD 8</v>
      </c>
      <c r="J6" s="2337"/>
      <c r="Q6" s="1686"/>
    </row>
    <row r="7" spans="1:17" x14ac:dyDescent="0.2">
      <c r="A7" s="2338" t="s">
        <v>923</v>
      </c>
      <c r="B7" s="2339"/>
      <c r="C7" s="2339"/>
      <c r="D7" s="2339"/>
      <c r="E7" s="2340"/>
      <c r="F7" s="1018"/>
      <c r="G7" s="1010"/>
      <c r="H7" s="1017" t="s">
        <v>389</v>
      </c>
      <c r="I7" s="2341">
        <f>COVER!A13</f>
        <v>41057008026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2" t="s">
        <v>501</v>
      </c>
      <c r="B11" s="2343"/>
      <c r="C11" s="234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324315</v>
      </c>
      <c r="F12" s="1040"/>
      <c r="G12" s="1834">
        <f t="shared" ref="G12:G18" si="0">SUM(E12:F12)</f>
        <v>324315</v>
      </c>
      <c r="H12" s="1041">
        <v>373737</v>
      </c>
      <c r="I12" s="1040"/>
      <c r="J12" s="1834">
        <f t="shared" ref="J12:J18" si="1">SUM(H12:I12)</f>
        <v>373737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324315</v>
      </c>
      <c r="F19" s="1836">
        <f t="shared" si="2"/>
        <v>0</v>
      </c>
      <c r="G19" s="1836">
        <f t="shared" si="2"/>
        <v>324315</v>
      </c>
      <c r="H19" s="1836">
        <f t="shared" si="2"/>
        <v>373737</v>
      </c>
      <c r="I19" s="1836">
        <f t="shared" si="2"/>
        <v>0</v>
      </c>
      <c r="J19" s="1836">
        <f t="shared" si="2"/>
        <v>373737</v>
      </c>
    </row>
    <row r="20" spans="1:10" ht="13.5" thickTop="1" x14ac:dyDescent="0.2">
      <c r="A20" s="1036">
        <v>9</v>
      </c>
      <c r="B20" s="2348" t="s">
        <v>1702</v>
      </c>
      <c r="C20" s="2348"/>
      <c r="D20" s="2349"/>
      <c r="E20" s="1047"/>
      <c r="F20" s="1047"/>
      <c r="G20" s="1047"/>
      <c r="H20" s="1047"/>
      <c r="I20" s="1047"/>
      <c r="J20" s="1837">
        <f>IF(AND(G19&gt;0,J19&gt;0),(((J19-G19)/G19)),"Enter Budget Data")</f>
        <v>0.15238888118033395</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1092</v>
      </c>
      <c r="D27" s="1053"/>
      <c r="E27" s="1054"/>
      <c r="F27" s="2350" t="s">
        <v>1588</v>
      </c>
      <c r="G27" s="2350"/>
    </row>
    <row r="28" spans="1:10" ht="28.5" customHeight="1" x14ac:dyDescent="0.2">
      <c r="B28" s="1048"/>
      <c r="C28" s="2352"/>
      <c r="D28" s="2352"/>
      <c r="E28" s="1055"/>
      <c r="F28" s="2352"/>
      <c r="G28" s="2352"/>
    </row>
    <row r="29" spans="1:10" x14ac:dyDescent="0.2">
      <c r="B29" s="1048"/>
      <c r="C29" s="1056" t="s">
        <v>1641</v>
      </c>
      <c r="E29" s="1057"/>
      <c r="F29" s="2351" t="s">
        <v>1589</v>
      </c>
      <c r="G29" s="235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1940</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936</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Roman,Regular"BETHALTO COMMUNITY UNIT SCHOOL DISTRICT NO. 8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2" sqref="A2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2171</v>
      </c>
    </row>
    <row r="6" spans="1:2" x14ac:dyDescent="0.2">
      <c r="A6" s="1069">
        <v>2</v>
      </c>
      <c r="B6" s="329" t="s">
        <v>2172</v>
      </c>
    </row>
    <row r="7" spans="1:2" x14ac:dyDescent="0.2">
      <c r="A7" s="1069">
        <v>3</v>
      </c>
      <c r="B7" s="329" t="s">
        <v>2173</v>
      </c>
    </row>
    <row r="8" spans="1:2" x14ac:dyDescent="0.2">
      <c r="A8" s="1069">
        <v>4</v>
      </c>
      <c r="B8" s="329" t="s">
        <v>2174</v>
      </c>
    </row>
    <row r="9" spans="1:2" x14ac:dyDescent="0.2">
      <c r="A9" s="1070">
        <v>5</v>
      </c>
      <c r="B9" s="329" t="s">
        <v>2176</v>
      </c>
    </row>
    <row r="10" spans="1:2" x14ac:dyDescent="0.2">
      <c r="A10" s="1070">
        <v>6</v>
      </c>
      <c r="B10" s="329" t="s">
        <v>2178</v>
      </c>
    </row>
    <row r="11" spans="1:2" x14ac:dyDescent="0.2">
      <c r="A11" s="1070">
        <v>7</v>
      </c>
      <c r="B11" s="329" t="s">
        <v>2175</v>
      </c>
    </row>
    <row r="12" spans="1:2" x14ac:dyDescent="0.2">
      <c r="A12" s="1070">
        <v>8</v>
      </c>
      <c r="B12" s="329" t="s">
        <v>2177</v>
      </c>
    </row>
    <row r="13" spans="1:2" x14ac:dyDescent="0.2">
      <c r="A13" s="1070">
        <v>9</v>
      </c>
      <c r="B13" s="329" t="s">
        <v>2179</v>
      </c>
    </row>
    <row r="14" spans="1:2" x14ac:dyDescent="0.2">
      <c r="A14" s="1070">
        <v>10</v>
      </c>
      <c r="B14" s="329" t="s">
        <v>2180</v>
      </c>
    </row>
    <row r="15" spans="1:2" x14ac:dyDescent="0.2">
      <c r="A15" s="1070">
        <v>11</v>
      </c>
      <c r="B15" s="329" t="s">
        <v>2181</v>
      </c>
    </row>
    <row r="16" spans="1:2" x14ac:dyDescent="0.2">
      <c r="A16" s="1070">
        <v>12</v>
      </c>
      <c r="B16" s="329" t="s">
        <v>2182</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Bethalto CUSD 8</v>
      </c>
    </row>
    <row r="65" spans="2:2" x14ac:dyDescent="0.2">
      <c r="B65" s="1071">
        <f>COVER!A13</f>
        <v>41057008026</v>
      </c>
    </row>
  </sheetData>
  <phoneticPr fontId="12" type="noConversion"/>
  <printOptions horizontalCentered="1"/>
  <pageMargins left="0.75" right="0.75" top="1.1000000000000001" bottom="0.5" header="0.5" footer="0.5"/>
  <pageSetup scale="80" firstPageNumber="32" orientation="portrait" r:id="rId1"/>
  <headerFooter>
    <oddHeader>&amp;C&amp;"Times New Roman,Regular"BETHALTO COMMUNITY UNIT SCHOOL DISTRICT NO. 8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view="pageBreakPreview" topLeftCell="A11" zoomScale="90" zoomScaleNormal="110" zoomScaleSheetLayoutView="90" workbookViewId="0">
      <selection activeCell="B50" sqref="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2" t="s">
        <v>1124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714</v>
      </c>
      <c r="B40" s="2069"/>
      <c r="C40" s="2069"/>
      <c r="D40" s="2069"/>
      <c r="E40" s="2069"/>
    </row>
    <row r="41" spans="1:5" x14ac:dyDescent="0.2">
      <c r="A41" s="2070" t="s">
        <v>1705</v>
      </c>
      <c r="B41" s="2070"/>
      <c r="C41" s="2070"/>
      <c r="D41" s="2070"/>
      <c r="E41" s="2070"/>
    </row>
    <row r="42" spans="1:5" ht="12.75" customHeight="1" x14ac:dyDescent="0.2">
      <c r="A42" s="2071" t="s">
        <v>1079</v>
      </c>
      <c r="B42" s="2071"/>
      <c r="C42" s="2071"/>
      <c r="D42" s="2071"/>
      <c r="E42" s="2071"/>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4"/>
  <headerFooter>
    <oddHeader>&amp;C&amp;"Times New Roman,Regular"BETHALTO COMMUNITY UNIT SCHOOL DISTRICT NO. 8</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75" right="0.75" top="1" bottom="0.5" header="0.5" footer="0.5"/>
  <pageSetup scale="75" firstPageNumber="33" orientation="landscape" r:id="rId1"/>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5" t="s">
        <v>1783</v>
      </c>
      <c r="B18" s="2355"/>
    </row>
  </sheetData>
  <sheetProtection selectLockedCells="1"/>
  <mergeCells count="1">
    <mergeCell ref="A18:B18"/>
  </mergeCells>
  <phoneticPr fontId="12" type="noConversion"/>
  <printOptions horizontalCentered="1"/>
  <pageMargins left="0.75" right="0.75" top="1" bottom="0.5" header="0.5" footer="0.5"/>
  <pageSetup scale="75" firstPageNumber="34" orientation="landscape" r:id="rId1"/>
  <headerFooter>
    <oddHeader>&amp;C
&amp;"Times New Roman,Regular"FOR THE YEAR ENDED JUNE 30, 2018</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1285875</xdr:colOff>
                <xdr:row>2</xdr:row>
                <xdr:rowOff>142875</xdr:rowOff>
              </from>
              <to>
                <xdr:col>1</xdr:col>
                <xdr:colOff>2200275</xdr:colOff>
                <xdr:row>7</xdr:row>
                <xdr:rowOff>19050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B8" sqref="B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5"/>
      <c r="H2" s="1075"/>
    </row>
    <row r="3" spans="1:8" ht="57" customHeight="1" x14ac:dyDescent="0.2">
      <c r="A3" s="2369" t="s">
        <v>1785</v>
      </c>
      <c r="B3" s="2370"/>
      <c r="C3" s="2370"/>
      <c r="D3" s="2370"/>
      <c r="E3" s="2370"/>
      <c r="F3" s="2371"/>
      <c r="G3" s="1075"/>
      <c r="H3" s="1075"/>
    </row>
    <row r="4" spans="1:8" ht="14.25" customHeight="1" x14ac:dyDescent="0.2">
      <c r="A4" s="2375" t="s">
        <v>2052</v>
      </c>
      <c r="B4" s="2376"/>
      <c r="C4" s="2376"/>
      <c r="D4" s="2376"/>
      <c r="E4" s="2376"/>
      <c r="F4" s="2377"/>
      <c r="G4" s="1075"/>
      <c r="H4" s="1075"/>
    </row>
    <row r="5" spans="1:8" ht="14.25" customHeight="1" x14ac:dyDescent="0.2">
      <c r="A5" s="2378" t="s">
        <v>2053</v>
      </c>
      <c r="B5" s="2379"/>
      <c r="C5" s="2379"/>
      <c r="D5" s="2379"/>
      <c r="E5" s="2379"/>
      <c r="F5" s="2380"/>
      <c r="G5" s="1075"/>
      <c r="H5" s="1075"/>
    </row>
    <row r="6" spans="1:8" s="1076" customFormat="1" ht="41.25" customHeight="1" x14ac:dyDescent="0.2">
      <c r="A6" s="2372" t="s">
        <v>1791</v>
      </c>
      <c r="B6" s="2373"/>
      <c r="C6" s="2373"/>
      <c r="D6" s="2373"/>
      <c r="E6" s="2373"/>
      <c r="F6" s="2374"/>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18952512</v>
      </c>
      <c r="C8" s="1838">
        <f>'Acct Summary 7-8'!D8</f>
        <v>1027871</v>
      </c>
      <c r="D8" s="1838">
        <f>'Acct Summary 7-8'!F8</f>
        <v>1582816</v>
      </c>
      <c r="E8" s="1838">
        <f>'Acct Summary 7-8'!I8</f>
        <v>108344</v>
      </c>
      <c r="F8" s="1838">
        <f>SUM(B8:E8)</f>
        <v>21671543</v>
      </c>
    </row>
    <row r="9" spans="1:8" s="1080" customFormat="1" ht="14.25" customHeight="1" thickBot="1" x14ac:dyDescent="0.25">
      <c r="A9" s="1079" t="s">
        <v>1435</v>
      </c>
      <c r="B9" s="1839">
        <f>'Acct Summary 7-8'!C17</f>
        <v>16584317</v>
      </c>
      <c r="C9" s="1839">
        <f>'Acct Summary 7-8'!D17</f>
        <v>648046</v>
      </c>
      <c r="D9" s="1839">
        <f>'Acct Summary 7-8'!F17</f>
        <v>3940264</v>
      </c>
      <c r="E9" s="1838"/>
      <c r="F9" s="1838">
        <f>SUM(B9:E9)</f>
        <v>21172627</v>
      </c>
    </row>
    <row r="10" spans="1:8" s="1080" customFormat="1" ht="14.25" thickTop="1" thickBot="1" x14ac:dyDescent="0.25">
      <c r="A10" s="1081" t="s">
        <v>1436</v>
      </c>
      <c r="B10" s="1840">
        <f>(B8-B9)</f>
        <v>2368195</v>
      </c>
      <c r="C10" s="1840">
        <f>(C8-C9)</f>
        <v>379825</v>
      </c>
      <c r="D10" s="1840">
        <f>(D8-D9)</f>
        <v>-2357448</v>
      </c>
      <c r="E10" s="1839">
        <f>(E8-E9)</f>
        <v>108344</v>
      </c>
      <c r="F10" s="1841">
        <f>SUM(F8-F9)</f>
        <v>498916</v>
      </c>
    </row>
    <row r="11" spans="1:8" s="1080" customFormat="1" ht="14.25" thickTop="1" thickBot="1" x14ac:dyDescent="0.25">
      <c r="A11" s="1082" t="s">
        <v>1784</v>
      </c>
      <c r="B11" s="1842">
        <f>'Acct Summary 7-8'!C81</f>
        <v>2772394</v>
      </c>
      <c r="C11" s="1842">
        <f>'Acct Summary 7-8'!D81</f>
        <v>825015</v>
      </c>
      <c r="D11" s="1842">
        <f>'Acct Summary 7-8'!F81</f>
        <v>354390</v>
      </c>
      <c r="E11" s="1842">
        <f>'Acct Summary 7-8'!I81</f>
        <v>1201471</v>
      </c>
      <c r="F11" s="1843">
        <f>SUM(B11:E11)</f>
        <v>5153270</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1786</v>
      </c>
      <c r="B16" s="2359"/>
      <c r="C16" s="2359"/>
      <c r="D16" s="2359"/>
      <c r="E16" s="2359"/>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Roman,Regular"BETHALTO COMMUNITY UNIT SCHOOL DISTRICT NO. 8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685</v>
      </c>
      <c r="B3" s="2382"/>
      <c r="C3" s="2382"/>
      <c r="D3" s="2383"/>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2" t="s">
        <v>1583</v>
      </c>
      <c r="D7" s="2393"/>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4" t="s">
        <v>1064</v>
      </c>
      <c r="B15" s="2385"/>
      <c r="C15" s="2385"/>
      <c r="D15" s="2386"/>
    </row>
    <row r="16" spans="1:4" s="669" customFormat="1" ht="24" customHeight="1" x14ac:dyDescent="0.2">
      <c r="A16" s="2387" t="s">
        <v>683</v>
      </c>
      <c r="B16" s="2388"/>
      <c r="C16" s="2388"/>
      <c r="D16" s="238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6" t="s">
        <v>331</v>
      </c>
      <c r="D21" s="2397"/>
    </row>
    <row r="22" spans="1:10" ht="12.75" x14ac:dyDescent="0.2">
      <c r="A22" s="1140"/>
      <c r="B22" s="1141">
        <v>2</v>
      </c>
      <c r="C22" s="2394" t="s">
        <v>1604</v>
      </c>
      <c r="D22" s="2395"/>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8" t="s">
        <v>556</v>
      </c>
      <c r="D43" s="2399"/>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0" t="s">
        <v>816</v>
      </c>
      <c r="D56" s="2391"/>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0" t="s">
        <v>1796</v>
      </c>
      <c r="D70" s="2391"/>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1"/>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41057008026</v>
      </c>
    </row>
    <row r="3" spans="1:2" x14ac:dyDescent="0.2">
      <c r="A3" t="s">
        <v>1012</v>
      </c>
      <c r="B3" s="138" t="str">
        <f>COVER!A15</f>
        <v>MADISON</v>
      </c>
    </row>
    <row r="4" spans="1:2" x14ac:dyDescent="0.2">
      <c r="A4" t="s">
        <v>1063</v>
      </c>
      <c r="B4" s="138" t="str">
        <f>COVER!A17</f>
        <v>Bethalto CUSD 8</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066-005060</v>
      </c>
    </row>
    <row r="16" spans="1:2" x14ac:dyDescent="0.2">
      <c r="A16" t="s">
        <v>441</v>
      </c>
      <c r="B16" s="138" t="str">
        <f>COVER!T13</f>
        <v>DENNIS ROSE &amp; ASSOCIATES, P.C.</v>
      </c>
    </row>
    <row r="17" spans="1:2" x14ac:dyDescent="0.2">
      <c r="A17" t="s">
        <v>938</v>
      </c>
      <c r="B17" s="138" t="str">
        <f>COVER!T15</f>
        <v>DENNIS ROSE</v>
      </c>
    </row>
    <row r="18" spans="1:2" x14ac:dyDescent="0.2">
      <c r="A18" t="s">
        <v>1211</v>
      </c>
      <c r="B18" s="138" t="str">
        <f>COVER!T17</f>
        <v xml:space="preserve">1904 STATE STREET </v>
      </c>
    </row>
    <row r="19" spans="1:2" x14ac:dyDescent="0.2">
      <c r="A19" t="s">
        <v>940</v>
      </c>
      <c r="B19" s="138" t="str">
        <f>COVER!T25</f>
        <v>DROSECPA@DRA-CPA.COM</v>
      </c>
    </row>
    <row r="20" spans="1:2" x14ac:dyDescent="0.2">
      <c r="A20" t="s">
        <v>941</v>
      </c>
      <c r="B20" s="138" t="str">
        <f>COVER!T19</f>
        <v>ALTON</v>
      </c>
    </row>
    <row r="21" spans="1:2" x14ac:dyDescent="0.2">
      <c r="A21" t="s">
        <v>499</v>
      </c>
      <c r="B21" s="138" t="str">
        <f>COVER!X19</f>
        <v>IL</v>
      </c>
    </row>
    <row r="22" spans="1:2" x14ac:dyDescent="0.2">
      <c r="A22" t="s">
        <v>942</v>
      </c>
      <c r="B22" s="138">
        <f>COVER!Z19</f>
        <v>62002</v>
      </c>
    </row>
    <row r="23" spans="1:2" x14ac:dyDescent="0.2">
      <c r="A23" t="s">
        <v>1213</v>
      </c>
      <c r="B23" s="138" t="str">
        <f>COVER!T21</f>
        <v>618-465-4999</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Yes</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170356</v>
      </c>
      <c r="D76" s="2" t="str">
        <f t="shared" si="0"/>
        <v>Error?</v>
      </c>
    </row>
    <row r="77" spans="1:4" x14ac:dyDescent="0.2">
      <c r="A77" s="5">
        <v>16</v>
      </c>
      <c r="B77" s="138">
        <f>'Assets-Liab 5-6'!C13</f>
        <v>2772394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2772394</v>
      </c>
      <c r="D92" s="2" t="str">
        <f t="shared" si="0"/>
        <v>Error?</v>
      </c>
    </row>
    <row r="93" spans="1:4" x14ac:dyDescent="0.2">
      <c r="A93" s="5">
        <v>32</v>
      </c>
      <c r="B93" s="138">
        <f>'Assets-Liab 5-6'!C41</f>
        <v>2772394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825015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825015</v>
      </c>
      <c r="D123" s="2" t="str">
        <f t="shared" si="0"/>
        <v>Error?</v>
      </c>
    </row>
    <row r="124" spans="1:4" x14ac:dyDescent="0.2">
      <c r="A124" s="5">
        <v>63</v>
      </c>
      <c r="B124" s="138">
        <f>'Assets-Liab 5-6'!D41</f>
        <v>825015</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46798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46798</v>
      </c>
      <c r="D140" s="2" t="str">
        <f t="shared" si="1"/>
        <v>Error?</v>
      </c>
    </row>
    <row r="141" spans="1:4" x14ac:dyDescent="0.2">
      <c r="A141" s="5">
        <v>80</v>
      </c>
      <c r="B141" s="138">
        <f>'Assets-Liab 5-6'!E41</f>
        <v>46798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354390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354390</v>
      </c>
      <c r="D170" s="2" t="str">
        <f t="shared" si="1"/>
        <v>Error?</v>
      </c>
    </row>
    <row r="171" spans="1:4" x14ac:dyDescent="0.2">
      <c r="A171" s="5">
        <v>110</v>
      </c>
      <c r="B171" s="138">
        <f>'Assets-Liab 5-6'!F41</f>
        <v>354390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97806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-83488</v>
      </c>
      <c r="D189" s="2" t="str">
        <f t="shared" si="1"/>
        <v>Error?</v>
      </c>
    </row>
    <row r="190" spans="1:4" x14ac:dyDescent="0.2">
      <c r="A190" s="5">
        <v>129</v>
      </c>
      <c r="B190" s="138">
        <f>'Assets-Liab 5-6'!G41</f>
        <v>97806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239447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239447</v>
      </c>
      <c r="D212" s="2" t="str">
        <f t="shared" si="2"/>
        <v>Error?</v>
      </c>
    </row>
    <row r="213" spans="1:4" x14ac:dyDescent="0.2">
      <c r="A213" s="12">
        <v>152</v>
      </c>
      <c r="B213" s="138">
        <f>'Assets-Liab 5-6'!H41</f>
        <v>239447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309151</v>
      </c>
      <c r="D273" s="2" t="str">
        <f t="shared" si="3"/>
        <v>Error?</v>
      </c>
    </row>
    <row r="274" spans="1:4" x14ac:dyDescent="0.2">
      <c r="A274" s="5">
        <v>213</v>
      </c>
      <c r="B274" s="138">
        <f>'Assets-Liab 5-6'!M17</f>
        <v>42813356</v>
      </c>
      <c r="D274" s="2" t="str">
        <f t="shared" si="3"/>
        <v>Error?</v>
      </c>
    </row>
    <row r="275" spans="1:4" x14ac:dyDescent="0.2">
      <c r="A275" s="5">
        <v>214</v>
      </c>
      <c r="B275" s="138">
        <f>'Assets-Liab 5-6'!M18</f>
        <v>259516</v>
      </c>
      <c r="D275" s="2" t="str">
        <f t="shared" si="3"/>
        <v>Error?</v>
      </c>
    </row>
    <row r="276" spans="1:4" x14ac:dyDescent="0.2">
      <c r="A276" s="5">
        <v>215</v>
      </c>
      <c r="B276" s="138">
        <f>'Assets-Liab 5-6'!M19</f>
        <v>11522855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54904878</v>
      </c>
      <c r="C279" s="2" t="s">
        <v>593</v>
      </c>
      <c r="D279" s="2" t="str">
        <f t="shared" si="3"/>
        <v>Error?</v>
      </c>
    </row>
    <row r="280" spans="1:4" x14ac:dyDescent="0.2">
      <c r="A280" s="5">
        <v>219</v>
      </c>
      <c r="B280" s="138">
        <f>'Assets-Liab 5-6'!M40</f>
        <v>54904878</v>
      </c>
      <c r="D280" s="2" t="str">
        <f t="shared" si="3"/>
        <v>Error?</v>
      </c>
    </row>
    <row r="281" spans="1:4" x14ac:dyDescent="0.2">
      <c r="A281" s="5">
        <v>220</v>
      </c>
      <c r="B281" s="138">
        <f>'Assets-Liab 5-6'!M41</f>
        <v>54904878</v>
      </c>
      <c r="C281" s="2" t="s">
        <v>593</v>
      </c>
      <c r="D281" s="2" t="str">
        <f t="shared" si="3"/>
        <v>Error?</v>
      </c>
    </row>
    <row r="282" spans="1:4" x14ac:dyDescent="0.2">
      <c r="A282" s="5">
        <v>221</v>
      </c>
      <c r="B282" s="138">
        <f>'Assets-Liab 5-6'!N21</f>
        <v>46798</v>
      </c>
      <c r="D282" s="2" t="str">
        <f t="shared" si="3"/>
        <v>Error?</v>
      </c>
    </row>
    <row r="283" spans="1:4" x14ac:dyDescent="0.2">
      <c r="A283" s="5">
        <v>222</v>
      </c>
      <c r="B283" s="138">
        <f>'Assets-Liab 5-6'!N22</f>
        <v>17925567</v>
      </c>
      <c r="D283" s="2" t="str">
        <f t="shared" si="3"/>
        <v>Error?</v>
      </c>
    </row>
    <row r="284" spans="1:4" x14ac:dyDescent="0.2">
      <c r="A284" s="5">
        <v>223</v>
      </c>
      <c r="B284" s="138">
        <f>'Assets-Liab 5-6'!N23</f>
        <v>17972365</v>
      </c>
      <c r="C284" s="2" t="s">
        <v>593</v>
      </c>
      <c r="D284" s="2" t="str">
        <f t="shared" si="3"/>
        <v>Error?</v>
      </c>
    </row>
    <row r="285" spans="1:4" x14ac:dyDescent="0.2">
      <c r="A285" s="5">
        <v>224</v>
      </c>
      <c r="B285" s="138">
        <f>'Assets-Liab 5-6'!N36</f>
        <v>17972365</v>
      </c>
      <c r="D285" s="2" t="str">
        <f t="shared" si="3"/>
        <v>Error?</v>
      </c>
    </row>
    <row r="286" spans="1:4" x14ac:dyDescent="0.2">
      <c r="A286" s="10">
        <v>225</v>
      </c>
      <c r="D286" s="2" t="str">
        <f t="shared" si="3"/>
        <v>OK</v>
      </c>
    </row>
    <row r="287" spans="1:4" x14ac:dyDescent="0.2">
      <c r="A287" s="5">
        <v>226</v>
      </c>
      <c r="B287" s="138">
        <f>'Assets-Liab 5-6'!N37</f>
        <v>17972365</v>
      </c>
      <c r="C287" s="2" t="s">
        <v>593</v>
      </c>
      <c r="D287" s="2" t="str">
        <f t="shared" si="3"/>
        <v>Error?</v>
      </c>
    </row>
    <row r="288" spans="1:4" x14ac:dyDescent="0.2">
      <c r="A288" s="5">
        <v>227</v>
      </c>
      <c r="B288" s="138">
        <f>'Assets-Liab 5-6'!N41</f>
        <v>17972365</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6407996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359240</v>
      </c>
      <c r="D717" s="2" t="str">
        <f t="shared" si="10"/>
        <v>Error?</v>
      </c>
    </row>
    <row r="718" spans="1:4" x14ac:dyDescent="0.2">
      <c r="A718" s="5">
        <v>657</v>
      </c>
      <c r="B718" s="138">
        <f>'Expenditures 15-22'!C14</f>
        <v>285198</v>
      </c>
      <c r="D718" s="2" t="str">
        <f t="shared" si="10"/>
        <v>Error?</v>
      </c>
    </row>
    <row r="719" spans="1:4" x14ac:dyDescent="0.2">
      <c r="A719" s="5">
        <v>658</v>
      </c>
      <c r="B719" s="138">
        <f>'Expenditures 15-22'!C15</f>
        <v>41479</v>
      </c>
      <c r="D719" s="2" t="str">
        <f t="shared" si="10"/>
        <v>Error?</v>
      </c>
    </row>
    <row r="720" spans="1:4" x14ac:dyDescent="0.2">
      <c r="A720" s="5">
        <v>659</v>
      </c>
      <c r="B720" s="138">
        <f>'Expenditures 15-22'!C33</f>
        <v>9693778</v>
      </c>
      <c r="C720" s="2" t="s">
        <v>593</v>
      </c>
      <c r="D720" s="2" t="str">
        <f t="shared" si="10"/>
        <v>Error?</v>
      </c>
    </row>
    <row r="721" spans="1:4" x14ac:dyDescent="0.2">
      <c r="A721" s="5">
        <v>660</v>
      </c>
      <c r="B721" s="138">
        <f>'Expenditures 15-22'!C36</f>
        <v>283186</v>
      </c>
      <c r="D721" s="2" t="str">
        <f t="shared" si="10"/>
        <v>Error?</v>
      </c>
    </row>
    <row r="722" spans="1:4" x14ac:dyDescent="0.2">
      <c r="A722" s="5">
        <v>661</v>
      </c>
      <c r="B722" s="138">
        <f>'Expenditures 15-22'!C37</f>
        <v>79649</v>
      </c>
      <c r="D722" s="2" t="str">
        <f t="shared" si="10"/>
        <v>Error?</v>
      </c>
    </row>
    <row r="723" spans="1:4" x14ac:dyDescent="0.2">
      <c r="A723" s="5">
        <v>662</v>
      </c>
      <c r="B723" s="138">
        <f>'Expenditures 15-22'!C38</f>
        <v>133872</v>
      </c>
      <c r="D723" s="2" t="str">
        <f t="shared" si="10"/>
        <v>Error?</v>
      </c>
    </row>
    <row r="724" spans="1:4" x14ac:dyDescent="0.2">
      <c r="A724" s="5">
        <v>663</v>
      </c>
      <c r="B724" s="138">
        <f>'Expenditures 15-22'!C39</f>
        <v>116970</v>
      </c>
      <c r="D724" s="2" t="str">
        <f t="shared" si="10"/>
        <v>Error?</v>
      </c>
    </row>
    <row r="725" spans="1:4" x14ac:dyDescent="0.2">
      <c r="A725" s="5">
        <v>664</v>
      </c>
      <c r="B725" s="138">
        <f>'Expenditures 15-22'!C40</f>
        <v>241328</v>
      </c>
      <c r="D725" s="2" t="str">
        <f t="shared" si="10"/>
        <v>Error?</v>
      </c>
    </row>
    <row r="726" spans="1:4" x14ac:dyDescent="0.2">
      <c r="A726" s="5">
        <v>665</v>
      </c>
      <c r="B726" s="138">
        <f>'Expenditures 15-22'!C41</f>
        <v>7560</v>
      </c>
      <c r="D726" s="2" t="str">
        <f t="shared" si="10"/>
        <v>Error?</v>
      </c>
    </row>
    <row r="727" spans="1:4" x14ac:dyDescent="0.2">
      <c r="A727" s="5">
        <v>666</v>
      </c>
      <c r="B727" s="138">
        <f>'Expenditures 15-22'!C42</f>
        <v>862565</v>
      </c>
      <c r="C727" s="2" t="s">
        <v>593</v>
      </c>
      <c r="D727" s="2" t="str">
        <f t="shared" si="10"/>
        <v>Error?</v>
      </c>
    </row>
    <row r="728" spans="1:4" x14ac:dyDescent="0.2">
      <c r="A728" s="5">
        <v>667</v>
      </c>
      <c r="B728" s="138">
        <f>'Expenditures 15-22'!C44</f>
        <v>61356</v>
      </c>
      <c r="D728" s="2" t="str">
        <f t="shared" si="10"/>
        <v>Error?</v>
      </c>
    </row>
    <row r="729" spans="1:4" x14ac:dyDescent="0.2">
      <c r="A729" s="5">
        <v>668</v>
      </c>
      <c r="B729" s="138">
        <f>'Expenditures 15-22'!C45</f>
        <v>234721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296077</v>
      </c>
      <c r="C731" s="2" t="s">
        <v>593</v>
      </c>
      <c r="D731" s="2" t="str">
        <f t="shared" si="10"/>
        <v>Error?</v>
      </c>
    </row>
    <row r="732" spans="1:4" x14ac:dyDescent="0.2">
      <c r="A732" s="5">
        <v>671</v>
      </c>
      <c r="B732" s="138">
        <f>'Expenditures 15-22'!C49</f>
        <v>40085</v>
      </c>
      <c r="D732" s="2" t="str">
        <f t="shared" si="10"/>
        <v>Error?</v>
      </c>
    </row>
    <row r="733" spans="1:4" x14ac:dyDescent="0.2">
      <c r="A733" s="5">
        <v>672</v>
      </c>
      <c r="B733" s="138">
        <f>'Expenditures 15-22'!C50</f>
        <v>310939</v>
      </c>
      <c r="D733" s="2" t="str">
        <f t="shared" si="10"/>
        <v>Error?</v>
      </c>
    </row>
    <row r="734" spans="1:4" x14ac:dyDescent="0.2">
      <c r="A734" s="5">
        <v>673</v>
      </c>
      <c r="B734" s="138">
        <f>'Expenditures 15-22'!C53</f>
        <v>351024</v>
      </c>
      <c r="C734" s="2" t="s">
        <v>593</v>
      </c>
      <c r="D734" s="2" t="str">
        <f t="shared" si="10"/>
        <v>Error?</v>
      </c>
    </row>
    <row r="735" spans="1:4" x14ac:dyDescent="0.2">
      <c r="A735" s="5">
        <v>674</v>
      </c>
      <c r="B735" s="138">
        <f>'Expenditures 15-22'!C55</f>
        <v>885255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885255</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121252</v>
      </c>
      <c r="D739" s="2" t="str">
        <f t="shared" si="10"/>
        <v>Error?</v>
      </c>
    </row>
    <row r="740" spans="1:4" x14ac:dyDescent="0.2">
      <c r="A740" s="5">
        <v>679</v>
      </c>
      <c r="B740" s="138">
        <f>'Expenditures 15-22'!C61</f>
        <v>501898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467702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1090852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3485773</v>
      </c>
      <c r="C755" s="2" t="s">
        <v>593</v>
      </c>
      <c r="D755" s="2" t="str">
        <f t="shared" si="10"/>
        <v>Error?</v>
      </c>
    </row>
    <row r="756" spans="1:4" x14ac:dyDescent="0.2">
      <c r="A756" s="5">
        <v>695</v>
      </c>
      <c r="B756" s="138">
        <f>'Expenditures 15-22'!C75</f>
        <v>19957</v>
      </c>
      <c r="D756" s="2" t="str">
        <f t="shared" si="10"/>
        <v>Error?</v>
      </c>
    </row>
    <row r="757" spans="1:4" x14ac:dyDescent="0.2">
      <c r="A757" s="5">
        <v>696</v>
      </c>
      <c r="B757" s="138">
        <f>'Expenditures 15-22'!C114</f>
        <v>13199508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260053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13388</v>
      </c>
      <c r="D775" s="2" t="str">
        <f t="shared" si="11"/>
        <v>Error?</v>
      </c>
    </row>
    <row r="776" spans="1:4" x14ac:dyDescent="0.2">
      <c r="A776" s="5">
        <v>715</v>
      </c>
      <c r="B776" s="138">
        <f>'Expenditures 15-22'!D14</f>
        <v>4496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464864</v>
      </c>
      <c r="C778" s="2" t="s">
        <v>593</v>
      </c>
      <c r="D778" s="2" t="str">
        <f t="shared" si="11"/>
        <v>Error?</v>
      </c>
    </row>
    <row r="779" spans="1:4" x14ac:dyDescent="0.2">
      <c r="A779" s="5">
        <v>718</v>
      </c>
      <c r="B779" s="138">
        <f>'Expenditures 15-22'!D36</f>
        <v>54705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54705</v>
      </c>
      <c r="C785" s="2" t="s">
        <v>593</v>
      </c>
      <c r="D785" s="2" t="str">
        <f t="shared" si="11"/>
        <v>Error?</v>
      </c>
    </row>
    <row r="786" spans="1:4" x14ac:dyDescent="0.2">
      <c r="A786" s="5">
        <v>725</v>
      </c>
      <c r="B786" s="138">
        <f>'Expenditures 15-22'!D44</f>
        <v>3449</v>
      </c>
      <c r="D786" s="2" t="str">
        <f t="shared" si="11"/>
        <v>Error?</v>
      </c>
    </row>
    <row r="787" spans="1:4" x14ac:dyDescent="0.2">
      <c r="A787" s="5">
        <v>726</v>
      </c>
      <c r="B787" s="138">
        <f>'Expenditures 15-22'!D45</f>
        <v>12015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15464</v>
      </c>
      <c r="C789" s="2" t="s">
        <v>593</v>
      </c>
      <c r="D789" s="2" t="str">
        <f t="shared" si="11"/>
        <v>Error?</v>
      </c>
    </row>
    <row r="790" spans="1:4" x14ac:dyDescent="0.2">
      <c r="A790" s="5">
        <v>729</v>
      </c>
      <c r="B790" s="138">
        <f>'Expenditures 15-22'!D49</f>
        <v>278091</v>
      </c>
      <c r="D790" s="2" t="str">
        <f t="shared" si="11"/>
        <v>Error?</v>
      </c>
    </row>
    <row r="791" spans="1:4" x14ac:dyDescent="0.2">
      <c r="A791" s="5">
        <v>730</v>
      </c>
      <c r="B791" s="138">
        <f>'Expenditures 15-22'!D50</f>
        <v>8315</v>
      </c>
      <c r="D791" s="2" t="str">
        <f t="shared" si="11"/>
        <v>Error?</v>
      </c>
    </row>
    <row r="792" spans="1:4" x14ac:dyDescent="0.2">
      <c r="A792" s="5">
        <v>731</v>
      </c>
      <c r="B792" s="138">
        <f>'Expenditures 15-22'!D53</f>
        <v>286406</v>
      </c>
      <c r="C792" s="2" t="s">
        <v>593</v>
      </c>
      <c r="D792" s="2" t="str">
        <f t="shared" si="11"/>
        <v>Error?</v>
      </c>
    </row>
    <row r="793" spans="1:4" x14ac:dyDescent="0.2">
      <c r="A793" s="5">
        <v>732</v>
      </c>
      <c r="B793" s="138">
        <f>'Expenditures 15-22'!D55</f>
        <v>14526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14526</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10217</v>
      </c>
      <c r="D797" s="2" t="str">
        <f t="shared" si="11"/>
        <v>Error?</v>
      </c>
    </row>
    <row r="798" spans="1:4" x14ac:dyDescent="0.2">
      <c r="A798" s="5">
        <v>737</v>
      </c>
      <c r="B798" s="138">
        <f>'Expenditures 15-22'!D61</f>
        <v>50725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56723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117665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488766</v>
      </c>
      <c r="C813" s="2" t="s">
        <v>593</v>
      </c>
      <c r="D813" s="2" t="str">
        <f t="shared" si="11"/>
        <v>Error?</v>
      </c>
    </row>
    <row r="814" spans="1:4" x14ac:dyDescent="0.2">
      <c r="A814" s="5">
        <v>753</v>
      </c>
      <c r="B814" s="138">
        <f>'Expenditures 15-22'!D75</f>
        <v>428</v>
      </c>
      <c r="D814" s="2" t="str">
        <f t="shared" si="11"/>
        <v>Error?</v>
      </c>
    </row>
    <row r="815" spans="1:4" x14ac:dyDescent="0.2">
      <c r="A815" s="5">
        <v>754</v>
      </c>
      <c r="B815" s="138">
        <f>'Expenditures 15-22'!D114</f>
        <v>954058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3635</v>
      </c>
      <c r="D833" s="2" t="str">
        <f t="shared" si="12"/>
        <v>Error?</v>
      </c>
    </row>
    <row r="834" spans="1:4" x14ac:dyDescent="0.2">
      <c r="A834" s="5">
        <v>773</v>
      </c>
      <c r="B834" s="138">
        <f>'Expenditures 15-22'!E14</f>
        <v>45509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99810</v>
      </c>
      <c r="C836" s="2" t="s">
        <v>593</v>
      </c>
      <c r="D836" s="2" t="str">
        <f t="shared" si="12"/>
        <v>Error?</v>
      </c>
    </row>
    <row r="837" spans="1:4" x14ac:dyDescent="0.2">
      <c r="A837" s="5">
        <v>776</v>
      </c>
      <c r="B837" s="138">
        <f>'Expenditures 15-22'!E36</f>
        <v>978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495</v>
      </c>
      <c r="D839" s="2" t="str">
        <f t="shared" si="12"/>
        <v>Error?</v>
      </c>
    </row>
    <row r="840" spans="1:4" x14ac:dyDescent="0.2">
      <c r="A840" s="5">
        <v>779</v>
      </c>
      <c r="B840" s="138">
        <f>'Expenditures 15-22'!E39</f>
        <v>245</v>
      </c>
      <c r="D840" s="2" t="str">
        <f t="shared" si="12"/>
        <v>Error?</v>
      </c>
    </row>
    <row r="841" spans="1:4" x14ac:dyDescent="0.2">
      <c r="A841" s="5">
        <v>780</v>
      </c>
      <c r="B841" s="138">
        <f>'Expenditures 15-22'!E40</f>
        <v>1625</v>
      </c>
      <c r="D841" s="2" t="str">
        <f t="shared" si="12"/>
        <v>Error?</v>
      </c>
    </row>
    <row r="842" spans="1:4" x14ac:dyDescent="0.2">
      <c r="A842" s="5">
        <v>781</v>
      </c>
      <c r="B842" s="138">
        <f>'Expenditures 15-22'!E41</f>
        <v>6400</v>
      </c>
      <c r="D842" s="2" t="str">
        <f t="shared" si="12"/>
        <v>Error?</v>
      </c>
    </row>
    <row r="843" spans="1:4" x14ac:dyDescent="0.2">
      <c r="A843" s="5">
        <v>782</v>
      </c>
      <c r="B843" s="138">
        <f>'Expenditures 15-22'!E42</f>
        <v>9743</v>
      </c>
      <c r="C843" s="2" t="s">
        <v>593</v>
      </c>
      <c r="D843" s="2" t="str">
        <f t="shared" si="12"/>
        <v>Error?</v>
      </c>
    </row>
    <row r="844" spans="1:4" x14ac:dyDescent="0.2">
      <c r="A844" s="5">
        <v>783</v>
      </c>
      <c r="B844" s="138">
        <f>'Expenditures 15-22'!E44</f>
        <v>20498</v>
      </c>
      <c r="D844" s="2" t="str">
        <f t="shared" si="12"/>
        <v>Error?</v>
      </c>
    </row>
    <row r="845" spans="1:4" x14ac:dyDescent="0.2">
      <c r="A845" s="5">
        <v>784</v>
      </c>
      <c r="B845" s="138">
        <f>'Expenditures 15-22'!E45</f>
        <v>87064</v>
      </c>
      <c r="D845" s="2" t="str">
        <f t="shared" si="12"/>
        <v>Error?</v>
      </c>
    </row>
    <row r="846" spans="1:4" x14ac:dyDescent="0.2">
      <c r="A846" s="5">
        <v>785</v>
      </c>
      <c r="B846" s="138">
        <f>'Expenditures 15-22'!E46</f>
        <v>34303</v>
      </c>
      <c r="D846" s="2" t="str">
        <f t="shared" si="12"/>
        <v>Error?</v>
      </c>
    </row>
    <row r="847" spans="1:4" x14ac:dyDescent="0.2">
      <c r="A847" s="5">
        <v>786</v>
      </c>
      <c r="B847" s="138">
        <f>'Expenditures 15-22'!E47</f>
        <v>141865</v>
      </c>
      <c r="C847" s="2" t="s">
        <v>593</v>
      </c>
      <c r="D847" s="2" t="str">
        <f t="shared" si="12"/>
        <v>Error?</v>
      </c>
    </row>
    <row r="848" spans="1:4" x14ac:dyDescent="0.2">
      <c r="A848" s="5">
        <v>787</v>
      </c>
      <c r="B848" s="138">
        <f>'Expenditures 15-22'!E49</f>
        <v>39508</v>
      </c>
      <c r="D848" s="2" t="str">
        <f t="shared" si="12"/>
        <v>Error?</v>
      </c>
    </row>
    <row r="849" spans="1:4" x14ac:dyDescent="0.2">
      <c r="A849" s="5">
        <v>788</v>
      </c>
      <c r="B849" s="138">
        <f>'Expenditures 15-22'!E50</f>
        <v>545</v>
      </c>
      <c r="D849" s="2" t="str">
        <f t="shared" si="12"/>
        <v>Error?</v>
      </c>
    </row>
    <row r="850" spans="1:4" x14ac:dyDescent="0.2">
      <c r="A850" s="5">
        <v>789</v>
      </c>
      <c r="B850" s="138">
        <f>'Expenditures 15-22'!E53</f>
        <v>40053</v>
      </c>
      <c r="C850" s="2" t="s">
        <v>593</v>
      </c>
      <c r="D850" s="2" t="str">
        <f t="shared" si="12"/>
        <v>Error?</v>
      </c>
    </row>
    <row r="851" spans="1:4" x14ac:dyDescent="0.2">
      <c r="A851" s="5">
        <v>790</v>
      </c>
      <c r="B851" s="138">
        <f>'Expenditures 15-22'!E55</f>
        <v>10505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10505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40291</v>
      </c>
      <c r="D855" s="2" t="str">
        <f t="shared" si="12"/>
        <v>Error?</v>
      </c>
    </row>
    <row r="856" spans="1:4" x14ac:dyDescent="0.2">
      <c r="A856" s="5">
        <v>795</v>
      </c>
      <c r="B856" s="138">
        <f>'Expenditures 15-22'!E61</f>
        <v>115169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14648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170108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372274</v>
      </c>
      <c r="C871" s="2" t="s">
        <v>593</v>
      </c>
      <c r="D871" s="2" t="str">
        <f t="shared" si="12"/>
        <v>Error?</v>
      </c>
    </row>
    <row r="872" spans="1:4" x14ac:dyDescent="0.2">
      <c r="A872" s="5">
        <v>811</v>
      </c>
      <c r="B872" s="138">
        <f>'Expenditures 15-22'!E75</f>
        <v>7085</v>
      </c>
      <c r="D872" s="2" t="str">
        <f t="shared" si="12"/>
        <v>Error?</v>
      </c>
    </row>
    <row r="873" spans="1:4" x14ac:dyDescent="0.2">
      <c r="A873" s="5">
        <v>812</v>
      </c>
      <c r="B873" s="138">
        <f>'Expenditures 15-22'!E114</f>
        <v>481393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75153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44038</v>
      </c>
      <c r="D891" s="2" t="str">
        <f t="shared" si="12"/>
        <v>Error?</v>
      </c>
    </row>
    <row r="892" spans="1:4" x14ac:dyDescent="0.2">
      <c r="A892" s="5">
        <v>831</v>
      </c>
      <c r="B892" s="138">
        <f>'Expenditures 15-22'!F14</f>
        <v>18256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189621</v>
      </c>
      <c r="C894" s="2" t="s">
        <v>593</v>
      </c>
      <c r="D894" s="2" t="str">
        <f t="shared" si="12"/>
        <v>Error?</v>
      </c>
    </row>
    <row r="895" spans="1:4" x14ac:dyDescent="0.2">
      <c r="A895" s="5">
        <v>834</v>
      </c>
      <c r="B895" s="138">
        <f>'Expenditures 15-22'!F36</f>
        <v>247</v>
      </c>
      <c r="D895" s="2" t="str">
        <f t="shared" ref="D895:D958" si="13">IF(ISBLANK(B895),"OK",IF(A895-B895=0,"OK","Error?"))</f>
        <v>Error?</v>
      </c>
    </row>
    <row r="896" spans="1:4" x14ac:dyDescent="0.2">
      <c r="A896" s="5">
        <v>835</v>
      </c>
      <c r="B896" s="138">
        <f>'Expenditures 15-22'!F37</f>
        <v>50</v>
      </c>
      <c r="D896" s="2" t="str">
        <f t="shared" si="13"/>
        <v>Error?</v>
      </c>
    </row>
    <row r="897" spans="1:4" x14ac:dyDescent="0.2">
      <c r="A897" s="5">
        <v>836</v>
      </c>
      <c r="B897" s="138">
        <f>'Expenditures 15-22'!F38</f>
        <v>2261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2558</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64569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64569</v>
      </c>
      <c r="C905" s="2" t="s">
        <v>593</v>
      </c>
      <c r="D905" s="2" t="str">
        <f t="shared" si="13"/>
        <v>Error?</v>
      </c>
    </row>
    <row r="906" spans="1:4" x14ac:dyDescent="0.2">
      <c r="A906" s="5">
        <v>845</v>
      </c>
      <c r="B906" s="138">
        <f>'Expenditures 15-22'!F49</f>
        <v>7676</v>
      </c>
      <c r="D906" s="2" t="str">
        <f t="shared" si="13"/>
        <v>Error?</v>
      </c>
    </row>
    <row r="907" spans="1:4" x14ac:dyDescent="0.2">
      <c r="A907" s="5">
        <v>846</v>
      </c>
      <c r="B907" s="138">
        <f>'Expenditures 15-22'!F50</f>
        <v>3137</v>
      </c>
      <c r="D907" s="2" t="str">
        <f t="shared" si="13"/>
        <v>Error?</v>
      </c>
    </row>
    <row r="908" spans="1:4" x14ac:dyDescent="0.2">
      <c r="A908" s="5">
        <v>847</v>
      </c>
      <c r="B908" s="138">
        <f>'Expenditures 15-22'!F53</f>
        <v>10813</v>
      </c>
      <c r="C908" s="2" t="s">
        <v>593</v>
      </c>
      <c r="D908" s="2" t="str">
        <f t="shared" si="13"/>
        <v>Error?</v>
      </c>
    </row>
    <row r="909" spans="1:4" x14ac:dyDescent="0.2">
      <c r="A909" s="5">
        <v>848</v>
      </c>
      <c r="B909" s="138">
        <f>'Expenditures 15-22'!F55</f>
        <v>4602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4602</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2889</v>
      </c>
      <c r="D913" s="2" t="str">
        <f t="shared" si="13"/>
        <v>Error?</v>
      </c>
    </row>
    <row r="914" spans="1:4" x14ac:dyDescent="0.2">
      <c r="A914" s="5">
        <v>853</v>
      </c>
      <c r="B914" s="138">
        <f>'Expenditures 15-22'!F61</f>
        <v>225578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563899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792366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874908</v>
      </c>
      <c r="C929" s="2" t="s">
        <v>593</v>
      </c>
      <c r="D929" s="2" t="str">
        <f t="shared" si="13"/>
        <v>Error?</v>
      </c>
    </row>
    <row r="930" spans="1:4" x14ac:dyDescent="0.2">
      <c r="A930" s="5">
        <v>869</v>
      </c>
      <c r="B930" s="138">
        <f>'Expenditures 15-22'!F75</f>
        <v>5023</v>
      </c>
      <c r="D930" s="2" t="str">
        <f t="shared" si="13"/>
        <v>Error?</v>
      </c>
    </row>
    <row r="931" spans="1:4" x14ac:dyDescent="0.2">
      <c r="A931" s="5">
        <v>870</v>
      </c>
      <c r="B931" s="138">
        <f>'Expenditures 15-22'!F114</f>
        <v>1069552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42079</v>
      </c>
      <c r="D949" s="2" t="str">
        <f t="shared" si="13"/>
        <v>Error?</v>
      </c>
    </row>
    <row r="950" spans="1:4" x14ac:dyDescent="0.2">
      <c r="A950" s="5">
        <v>889</v>
      </c>
      <c r="B950" s="138">
        <f>'Expenditures 15-22'!G14</f>
        <v>8501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59590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22953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22953</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689</v>
      </c>
      <c r="D965" s="2" t="str">
        <f t="shared" si="14"/>
        <v>Error?</v>
      </c>
    </row>
    <row r="966" spans="1:4" x14ac:dyDescent="0.2">
      <c r="A966" s="5">
        <v>905</v>
      </c>
      <c r="B966" s="138">
        <f>'Expenditures 15-22'!G53</f>
        <v>689</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21673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21673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45315</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104905</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26009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460347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2963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2963</v>
      </c>
      <c r="C1021" s="2" t="s">
        <v>593</v>
      </c>
      <c r="D1021" s="2" t="str">
        <f t="shared" si="14"/>
        <v>Error?</v>
      </c>
    </row>
    <row r="1022" spans="1:4" x14ac:dyDescent="0.2">
      <c r="A1022" s="5">
        <v>961</v>
      </c>
      <c r="B1022" s="138">
        <f>'Expenditures 15-22'!H49</f>
        <v>25823</v>
      </c>
      <c r="D1022" s="2" t="str">
        <f t="shared" si="14"/>
        <v>Error?</v>
      </c>
    </row>
    <row r="1023" spans="1:4" x14ac:dyDescent="0.2">
      <c r="A1023" s="5">
        <v>962</v>
      </c>
      <c r="B1023" s="138">
        <f>'Expenditures 15-22'!H50</f>
        <v>690</v>
      </c>
      <c r="D1023" s="2" t="str">
        <f t="shared" ref="D1023:D1086" si="15">IF(ISBLANK(B1023),"OK",IF(A1023-B1023=0,"OK","Error?"))</f>
        <v>Error?</v>
      </c>
    </row>
    <row r="1024" spans="1:4" x14ac:dyDescent="0.2">
      <c r="A1024" s="5">
        <v>963</v>
      </c>
      <c r="B1024" s="138">
        <f>'Expenditures 15-22'!H53</f>
        <v>26513</v>
      </c>
      <c r="C1024" s="2" t="s">
        <v>593</v>
      </c>
      <c r="D1024" s="2" t="str">
        <f t="shared" si="15"/>
        <v>Error?</v>
      </c>
    </row>
    <row r="1025" spans="1:4" x14ac:dyDescent="0.2">
      <c r="A1025" s="5">
        <v>964</v>
      </c>
      <c r="B1025" s="138">
        <f>'Expenditures 15-22'!H55</f>
        <v>1819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1819</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31295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211106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702748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6747624</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462380</v>
      </c>
      <c r="C1105" s="2" t="s">
        <v>593</v>
      </c>
      <c r="D1105" s="2" t="str">
        <f t="shared" si="16"/>
        <v>Error?</v>
      </c>
    </row>
    <row r="1106" spans="1:4" x14ac:dyDescent="0.2">
      <c r="A1106" s="5">
        <v>1045</v>
      </c>
      <c r="B1106" s="138">
        <f>'Expenditures 15-22'!K14</f>
        <v>387969</v>
      </c>
      <c r="C1106" s="2" t="s">
        <v>593</v>
      </c>
      <c r="D1106" s="2" t="str">
        <f t="shared" si="16"/>
        <v>Error?</v>
      </c>
    </row>
    <row r="1107" spans="1:4" x14ac:dyDescent="0.2">
      <c r="A1107" s="5">
        <v>1046</v>
      </c>
      <c r="B1107" s="138">
        <f>'Expenditures 15-22'!K15</f>
        <v>41479</v>
      </c>
      <c r="C1107" s="2" t="s">
        <v>593</v>
      </c>
      <c r="D1107" s="2" t="str">
        <f t="shared" si="16"/>
        <v>Error?</v>
      </c>
    </row>
    <row r="1108" spans="1:4" x14ac:dyDescent="0.2">
      <c r="A1108" s="5">
        <v>1047</v>
      </c>
      <c r="B1108" s="138">
        <f>'Expenditures 15-22'!K33</f>
        <v>10968010</v>
      </c>
      <c r="C1108" s="2" t="s">
        <v>593</v>
      </c>
      <c r="D1108" s="2" t="str">
        <f t="shared" si="16"/>
        <v>Error?</v>
      </c>
    </row>
    <row r="1109" spans="1:4" x14ac:dyDescent="0.2">
      <c r="A1109" s="5">
        <v>1048</v>
      </c>
      <c r="B1109" s="138">
        <f>'Expenditures 15-22'!K36</f>
        <v>339116</v>
      </c>
      <c r="C1109" s="2" t="s">
        <v>593</v>
      </c>
      <c r="D1109" s="2" t="str">
        <f t="shared" si="16"/>
        <v>Error?</v>
      </c>
    </row>
    <row r="1110" spans="1:4" x14ac:dyDescent="0.2">
      <c r="A1110" s="5">
        <v>1049</v>
      </c>
      <c r="B1110" s="138">
        <f>'Expenditures 15-22'!K37</f>
        <v>79699</v>
      </c>
      <c r="C1110" s="2" t="s">
        <v>593</v>
      </c>
      <c r="D1110" s="2" t="str">
        <f t="shared" si="16"/>
        <v>Error?</v>
      </c>
    </row>
    <row r="1111" spans="1:4" x14ac:dyDescent="0.2">
      <c r="A1111" s="5">
        <v>1050</v>
      </c>
      <c r="B1111" s="138">
        <f>'Expenditures 15-22'!K38</f>
        <v>136628</v>
      </c>
      <c r="C1111" s="2" t="s">
        <v>593</v>
      </c>
      <c r="D1111" s="2" t="str">
        <f t="shared" si="16"/>
        <v>Error?</v>
      </c>
    </row>
    <row r="1112" spans="1:4" x14ac:dyDescent="0.2">
      <c r="A1112" s="5">
        <v>1051</v>
      </c>
      <c r="B1112" s="138">
        <f>'Expenditures 15-22'!K39</f>
        <v>117215</v>
      </c>
      <c r="C1112" s="2" t="s">
        <v>593</v>
      </c>
      <c r="D1112" s="2" t="str">
        <f t="shared" si="16"/>
        <v>Error?</v>
      </c>
    </row>
    <row r="1113" spans="1:4" x14ac:dyDescent="0.2">
      <c r="A1113" s="5">
        <v>1052</v>
      </c>
      <c r="B1113" s="138">
        <f>'Expenditures 15-22'!K40</f>
        <v>242953</v>
      </c>
      <c r="C1113" s="2" t="s">
        <v>593</v>
      </c>
      <c r="D1113" s="2" t="str">
        <f t="shared" si="16"/>
        <v>Error?</v>
      </c>
    </row>
    <row r="1114" spans="1:4" x14ac:dyDescent="0.2">
      <c r="A1114" s="5">
        <v>1053</v>
      </c>
      <c r="B1114" s="138">
        <f>'Expenditures 15-22'!K41</f>
        <v>13960</v>
      </c>
      <c r="C1114" s="2" t="s">
        <v>593</v>
      </c>
      <c r="D1114" s="2" t="str">
        <f t="shared" si="16"/>
        <v>Error?</v>
      </c>
    </row>
    <row r="1115" spans="1:4" x14ac:dyDescent="0.2">
      <c r="A1115" s="5">
        <v>1054</v>
      </c>
      <c r="B1115" s="138">
        <f>'Expenditures 15-22'!K42</f>
        <v>929571</v>
      </c>
      <c r="C1115" s="2" t="s">
        <v>593</v>
      </c>
      <c r="D1115" s="2" t="str">
        <f t="shared" si="16"/>
        <v>Error?</v>
      </c>
    </row>
    <row r="1116" spans="1:4" x14ac:dyDescent="0.2">
      <c r="A1116" s="5">
        <v>1055</v>
      </c>
      <c r="B1116" s="138">
        <f>'Expenditures 15-22'!K44</f>
        <v>88266</v>
      </c>
      <c r="C1116" s="2" t="s">
        <v>593</v>
      </c>
      <c r="D1116" s="2" t="str">
        <f t="shared" si="16"/>
        <v>Error?</v>
      </c>
    </row>
    <row r="1117" spans="1:4" x14ac:dyDescent="0.2">
      <c r="A1117" s="5">
        <v>1056</v>
      </c>
      <c r="B1117" s="138">
        <f>'Expenditures 15-22'!K45</f>
        <v>421322</v>
      </c>
      <c r="C1117" s="2" t="s">
        <v>593</v>
      </c>
      <c r="D1117" s="2" t="str">
        <f t="shared" si="16"/>
        <v>Error?</v>
      </c>
    </row>
    <row r="1118" spans="1:4" x14ac:dyDescent="0.2">
      <c r="A1118" s="5">
        <v>1057</v>
      </c>
      <c r="B1118" s="138">
        <f>'Expenditures 15-22'!K46</f>
        <v>34303</v>
      </c>
      <c r="C1118" s="2" t="s">
        <v>593</v>
      </c>
      <c r="D1118" s="2" t="str">
        <f t="shared" si="16"/>
        <v>Error?</v>
      </c>
    </row>
    <row r="1119" spans="1:4" x14ac:dyDescent="0.2">
      <c r="A1119" s="5">
        <v>1058</v>
      </c>
      <c r="B1119" s="138">
        <f>'Expenditures 15-22'!K47</f>
        <v>543891</v>
      </c>
      <c r="C1119" s="2" t="s">
        <v>593</v>
      </c>
      <c r="D1119" s="2" t="str">
        <f t="shared" si="16"/>
        <v>Error?</v>
      </c>
    </row>
    <row r="1120" spans="1:4" x14ac:dyDescent="0.2">
      <c r="A1120" s="5">
        <v>1059</v>
      </c>
      <c r="B1120" s="138">
        <f>'Expenditures 15-22'!K49</f>
        <v>463336</v>
      </c>
      <c r="C1120" s="2" t="s">
        <v>593</v>
      </c>
      <c r="D1120" s="2" t="str">
        <f t="shared" si="16"/>
        <v>Error?</v>
      </c>
    </row>
    <row r="1121" spans="1:4" x14ac:dyDescent="0.2">
      <c r="A1121" s="5">
        <v>1060</v>
      </c>
      <c r="B1121" s="138">
        <f>'Expenditures 15-22'!K50</f>
        <v>324315</v>
      </c>
      <c r="C1121" s="2" t="s">
        <v>593</v>
      </c>
      <c r="D1121" s="2" t="str">
        <f t="shared" si="16"/>
        <v>Error?</v>
      </c>
    </row>
    <row r="1122" spans="1:4" x14ac:dyDescent="0.2">
      <c r="A1122" s="5">
        <v>1061</v>
      </c>
      <c r="B1122" s="138">
        <f>'Expenditures 15-22'!K53</f>
        <v>787651</v>
      </c>
      <c r="C1122" s="2" t="s">
        <v>593</v>
      </c>
      <c r="D1122" s="2" t="str">
        <f t="shared" si="16"/>
        <v>Error?</v>
      </c>
    </row>
    <row r="1123" spans="1:4" x14ac:dyDescent="0.2">
      <c r="A1123" s="5">
        <v>1062</v>
      </c>
      <c r="B1123" s="138">
        <f>'Expenditures 15-22'!K55</f>
        <v>916707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916707</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174649</v>
      </c>
      <c r="C1127" s="2" t="s">
        <v>593</v>
      </c>
      <c r="D1127" s="2" t="str">
        <f t="shared" si="16"/>
        <v>Error?</v>
      </c>
    </row>
    <row r="1128" spans="1:4" x14ac:dyDescent="0.2">
      <c r="A1128" s="5">
        <v>1067</v>
      </c>
      <c r="B1128" s="138">
        <f>'Expenditures 15-22'!K61</f>
        <v>893370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1124645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2192664</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5370484</v>
      </c>
      <c r="C1143" s="2" t="s">
        <v>593</v>
      </c>
      <c r="D1143" s="2" t="str">
        <f t="shared" si="16"/>
        <v>Error?</v>
      </c>
    </row>
    <row r="1144" spans="1:4" x14ac:dyDescent="0.2">
      <c r="A1144" s="5">
        <v>1083</v>
      </c>
      <c r="B1144" s="138">
        <f>'Expenditures 15-22'!K75</f>
        <v>32493</v>
      </c>
      <c r="C1144" s="2" t="s">
        <v>593</v>
      </c>
      <c r="D1144" s="2" t="str">
        <f t="shared" si="16"/>
        <v>Error?</v>
      </c>
    </row>
    <row r="1145" spans="1:4" x14ac:dyDescent="0.2">
      <c r="A1145" s="5">
        <v>1084</v>
      </c>
      <c r="B1145" s="138">
        <f>'Expenditures 15-22'!K102</f>
        <v>213330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16584317</v>
      </c>
      <c r="C1152" s="2" t="s">
        <v>593</v>
      </c>
      <c r="D1152" s="2" t="str">
        <f t="shared" si="17"/>
        <v>Error?</v>
      </c>
    </row>
    <row r="1153" spans="1:4" x14ac:dyDescent="0.2">
      <c r="A1153" s="5">
        <v>1092</v>
      </c>
      <c r="B1153" s="138">
        <f>'Expenditures 15-22'!K115</f>
        <v>2368195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150653</v>
      </c>
      <c r="D1221" s="2" t="str">
        <f t="shared" si="18"/>
        <v>Error?</v>
      </c>
    </row>
    <row r="1222" spans="1:4" x14ac:dyDescent="0.2">
      <c r="A1222" s="10">
        <v>1161</v>
      </c>
      <c r="D1222" s="2" t="str">
        <f t="shared" si="18"/>
        <v>OK</v>
      </c>
    </row>
    <row r="1223" spans="1:4" x14ac:dyDescent="0.2">
      <c r="A1223" s="5">
        <v>1162</v>
      </c>
      <c r="B1223" s="138">
        <f>'Expenditures 15-22'!C127</f>
        <v>150653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150653</v>
      </c>
      <c r="C1225" s="2" t="s">
        <v>593</v>
      </c>
      <c r="D1225" s="2" t="str">
        <f t="shared" si="18"/>
        <v>Error?</v>
      </c>
    </row>
    <row r="1226" spans="1:4" x14ac:dyDescent="0.2">
      <c r="A1226" s="5">
        <v>1165</v>
      </c>
      <c r="B1226" s="138">
        <f>'Expenditures 15-22'!C151</f>
        <v>150653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10864</v>
      </c>
      <c r="D1229" s="2" t="str">
        <f t="shared" si="18"/>
        <v>Error?</v>
      </c>
    </row>
    <row r="1230" spans="1:4" x14ac:dyDescent="0.2">
      <c r="A1230" s="10">
        <v>1169</v>
      </c>
      <c r="D1230" s="2" t="str">
        <f t="shared" si="18"/>
        <v>OK</v>
      </c>
    </row>
    <row r="1231" spans="1:4" x14ac:dyDescent="0.2">
      <c r="A1231" s="5">
        <v>1170</v>
      </c>
      <c r="B1231" s="138">
        <f>'Expenditures 15-22'!D127</f>
        <v>10864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10864</v>
      </c>
      <c r="C1233" s="2" t="s">
        <v>593</v>
      </c>
      <c r="D1233" s="2" t="str">
        <f t="shared" si="18"/>
        <v>Error?</v>
      </c>
    </row>
    <row r="1234" spans="1:4" x14ac:dyDescent="0.2">
      <c r="A1234" s="5">
        <v>1173</v>
      </c>
      <c r="B1234" s="138">
        <f>'Expenditures 15-22'!D151</f>
        <v>10864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173897</v>
      </c>
      <c r="D1237" s="2" t="str">
        <f t="shared" si="18"/>
        <v>Error?</v>
      </c>
    </row>
    <row r="1238" spans="1:4" x14ac:dyDescent="0.2">
      <c r="A1238" s="10">
        <v>1177</v>
      </c>
      <c r="D1238" s="2" t="str">
        <f t="shared" si="18"/>
        <v>OK</v>
      </c>
    </row>
    <row r="1239" spans="1:4" x14ac:dyDescent="0.2">
      <c r="A1239" s="5">
        <v>1178</v>
      </c>
      <c r="B1239" s="138">
        <f>'Expenditures 15-22'!E127</f>
        <v>173897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173897</v>
      </c>
      <c r="C1241" s="2" t="s">
        <v>593</v>
      </c>
      <c r="D1241" s="2" t="str">
        <f t="shared" si="18"/>
        <v>Error?</v>
      </c>
    </row>
    <row r="1242" spans="1:4" x14ac:dyDescent="0.2">
      <c r="A1242" s="5">
        <v>1181</v>
      </c>
      <c r="B1242" s="138">
        <f>'Expenditures 15-22'!E151</f>
        <v>173897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301426</v>
      </c>
      <c r="D1245" s="2" t="str">
        <f t="shared" si="18"/>
        <v>Error?</v>
      </c>
    </row>
    <row r="1246" spans="1:4" x14ac:dyDescent="0.2">
      <c r="A1246" s="10">
        <v>1185</v>
      </c>
      <c r="D1246" s="2" t="str">
        <f t="shared" si="18"/>
        <v>OK</v>
      </c>
    </row>
    <row r="1247" spans="1:4" x14ac:dyDescent="0.2">
      <c r="A1247" s="5">
        <v>1186</v>
      </c>
      <c r="B1247" s="138">
        <f>'Expenditures 15-22'!F127</f>
        <v>301426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301426</v>
      </c>
      <c r="C1249" s="2" t="s">
        <v>593</v>
      </c>
      <c r="D1249" s="2" t="str">
        <f t="shared" si="18"/>
        <v>Error?</v>
      </c>
    </row>
    <row r="1250" spans="1:4" x14ac:dyDescent="0.2">
      <c r="A1250" s="5">
        <v>1189</v>
      </c>
      <c r="B1250" s="138">
        <f>'Expenditures 15-22'!F151</f>
        <v>301426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11206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11206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11206</v>
      </c>
      <c r="C1258" s="2" t="s">
        <v>593</v>
      </c>
      <c r="D1258" s="2" t="str">
        <f t="shared" si="18"/>
        <v>Error?</v>
      </c>
    </row>
    <row r="1259" spans="1:4" x14ac:dyDescent="0.2">
      <c r="A1259" s="5">
        <v>1198</v>
      </c>
      <c r="B1259" s="138">
        <f>'Expenditures 15-22'!G151</f>
        <v>11206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648046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648046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648046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648046</v>
      </c>
      <c r="C1288" s="2" t="s">
        <v>593</v>
      </c>
      <c r="D1288" s="2" t="str">
        <f t="shared" si="19"/>
        <v>Error?</v>
      </c>
    </row>
    <row r="1289" spans="1:4" x14ac:dyDescent="0.2">
      <c r="A1289" s="5">
        <v>1228</v>
      </c>
      <c r="B1289" s="138">
        <f>'Expenditures 15-22'!K152</f>
        <v>379825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553006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1791503</v>
      </c>
      <c r="D1315" s="2" t="str">
        <f t="shared" si="19"/>
        <v>Error?</v>
      </c>
    </row>
    <row r="1316" spans="1:4" x14ac:dyDescent="0.2">
      <c r="A1316" s="5">
        <v>1255</v>
      </c>
      <c r="B1316" s="138">
        <f>'Expenditures 15-22'!H171</f>
        <v>1431</v>
      </c>
      <c r="D1316" s="2" t="str">
        <f t="shared" si="19"/>
        <v>Error?</v>
      </c>
    </row>
    <row r="1317" spans="1:4" x14ac:dyDescent="0.2">
      <c r="A1317" s="5">
        <v>1256</v>
      </c>
      <c r="B1317" s="138">
        <f>'Expenditures 15-22'!H172</f>
        <v>2345940</v>
      </c>
      <c r="C1317" s="2" t="s">
        <v>593</v>
      </c>
      <c r="D1317" s="2" t="str">
        <f t="shared" si="19"/>
        <v>Error?</v>
      </c>
    </row>
    <row r="1318" spans="1:4" x14ac:dyDescent="0.2">
      <c r="A1318" s="5">
        <v>1257</v>
      </c>
      <c r="B1318" s="138">
        <f>'Expenditures 15-22'!H174</f>
        <v>2345940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553006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1791503</v>
      </c>
      <c r="C1329" s="2" t="s">
        <v>593</v>
      </c>
      <c r="D1329" s="2" t="str">
        <f t="shared" si="19"/>
        <v>Error?</v>
      </c>
    </row>
    <row r="1330" spans="1:4" x14ac:dyDescent="0.2">
      <c r="A1330" s="5">
        <v>1269</v>
      </c>
      <c r="B1330" s="138">
        <f>'Expenditures 15-22'!K171</f>
        <v>1431</v>
      </c>
      <c r="C1330" s="2" t="s">
        <v>593</v>
      </c>
      <c r="D1330" s="2" t="str">
        <f t="shared" si="19"/>
        <v>Error?</v>
      </c>
    </row>
    <row r="1331" spans="1:4" x14ac:dyDescent="0.2">
      <c r="A1331" s="5">
        <v>1270</v>
      </c>
      <c r="B1331" s="138">
        <f>'Expenditures 15-22'!K172</f>
        <v>2345940</v>
      </c>
      <c r="C1331" s="2" t="s">
        <v>593</v>
      </c>
      <c r="D1331" s="2" t="str">
        <f t="shared" si="19"/>
        <v>Error?</v>
      </c>
    </row>
    <row r="1332" spans="1:4" x14ac:dyDescent="0.2">
      <c r="A1332" s="5">
        <v>1271</v>
      </c>
      <c r="B1332" s="138">
        <f>'Expenditures 15-22'!K174</f>
        <v>2345940</v>
      </c>
      <c r="C1332" s="2" t="s">
        <v>593</v>
      </c>
      <c r="D1332" s="2" t="str">
        <f t="shared" si="19"/>
        <v>Error?</v>
      </c>
    </row>
    <row r="1333" spans="1:4" x14ac:dyDescent="0.2">
      <c r="A1333" s="5">
        <v>1272</v>
      </c>
      <c r="B1333" s="138">
        <f>'Expenditures 15-22'!K175</f>
        <v>-483797</v>
      </c>
      <c r="C1333" s="2" t="s">
        <v>593</v>
      </c>
      <c r="D1333" s="2" t="str">
        <f t="shared" si="19"/>
        <v>Error?</v>
      </c>
    </row>
    <row r="1334" spans="1:4" x14ac:dyDescent="0.2">
      <c r="A1334" s="10">
        <v>1273</v>
      </c>
      <c r="D1334" s="2" t="str">
        <f t="shared" si="19"/>
        <v>OK</v>
      </c>
    </row>
    <row r="1335" spans="1:4" x14ac:dyDescent="0.2">
      <c r="A1335" s="5">
        <v>1274</v>
      </c>
      <c r="B1335" s="138">
        <f>'Expenditures 15-22'!C182</f>
        <v>604915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604915</v>
      </c>
      <c r="C1339" s="2" t="s">
        <v>593</v>
      </c>
      <c r="D1339" s="2" t="str">
        <f t="shared" si="19"/>
        <v>Error?</v>
      </c>
    </row>
    <row r="1340" spans="1:4" x14ac:dyDescent="0.2">
      <c r="A1340" s="5">
        <v>1279</v>
      </c>
      <c r="B1340" s="138">
        <f>'Expenditures 15-22'!C210</f>
        <v>604915</v>
      </c>
      <c r="C1340" s="2" t="s">
        <v>593</v>
      </c>
      <c r="D1340" s="2" t="str">
        <f t="shared" si="19"/>
        <v>Error?</v>
      </c>
    </row>
    <row r="1341" spans="1:4" x14ac:dyDescent="0.2">
      <c r="A1341" s="5">
        <v>1280</v>
      </c>
      <c r="B1341" s="138">
        <f>'Expenditures 15-22'!D182</f>
        <v>80921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80921</v>
      </c>
      <c r="C1345" s="2" t="s">
        <v>593</v>
      </c>
      <c r="D1345" s="2" t="str">
        <f t="shared" si="20"/>
        <v>Error?</v>
      </c>
    </row>
    <row r="1346" spans="1:4" x14ac:dyDescent="0.2">
      <c r="A1346" s="5">
        <v>1285</v>
      </c>
      <c r="B1346" s="138">
        <f>'Expenditures 15-22'!D210</f>
        <v>80921</v>
      </c>
      <c r="C1346" s="2" t="s">
        <v>593</v>
      </c>
      <c r="D1346" s="2" t="str">
        <f t="shared" si="20"/>
        <v>Error?</v>
      </c>
    </row>
    <row r="1347" spans="1:4" x14ac:dyDescent="0.2">
      <c r="A1347" s="5">
        <v>1286</v>
      </c>
      <c r="B1347" s="138">
        <f>'Expenditures 15-22'!E182</f>
        <v>27953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27953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27953</v>
      </c>
      <c r="C1353" s="2" t="s">
        <v>593</v>
      </c>
      <c r="D1353" s="2" t="str">
        <f t="shared" si="20"/>
        <v>Error?</v>
      </c>
    </row>
    <row r="1354" spans="1:4" x14ac:dyDescent="0.2">
      <c r="A1354" s="5">
        <v>1293</v>
      </c>
      <c r="B1354" s="138">
        <f>'Expenditures 15-22'!F182</f>
        <v>126226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126226</v>
      </c>
      <c r="C1358" s="2" t="s">
        <v>593</v>
      </c>
      <c r="D1358" s="2" t="str">
        <f t="shared" si="20"/>
        <v>Error?</v>
      </c>
    </row>
    <row r="1359" spans="1:4" x14ac:dyDescent="0.2">
      <c r="A1359" s="5">
        <v>1298</v>
      </c>
      <c r="B1359" s="138">
        <f>'Expenditures 15-22'!F210</f>
        <v>126226</v>
      </c>
      <c r="C1359" s="2" t="s">
        <v>593</v>
      </c>
      <c r="D1359" s="2" t="str">
        <f t="shared" si="20"/>
        <v>Error?</v>
      </c>
    </row>
    <row r="1360" spans="1:4" x14ac:dyDescent="0.2">
      <c r="A1360" s="5">
        <v>1299</v>
      </c>
      <c r="B1360" s="138">
        <f>'Expenditures 15-22'!G182</f>
        <v>3096983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3096983</v>
      </c>
      <c r="C1364" s="2" t="s">
        <v>593</v>
      </c>
      <c r="D1364" s="2" t="str">
        <f t="shared" si="20"/>
        <v>Error?</v>
      </c>
    </row>
    <row r="1365" spans="1:4" x14ac:dyDescent="0.2">
      <c r="A1365" s="5">
        <v>1304</v>
      </c>
      <c r="B1365" s="138">
        <f>'Expenditures 15-22'!G210</f>
        <v>3096983</v>
      </c>
      <c r="C1365" s="2" t="s">
        <v>593</v>
      </c>
      <c r="D1365" s="2" t="str">
        <f t="shared" si="20"/>
        <v>Error?</v>
      </c>
    </row>
    <row r="1366" spans="1:4" x14ac:dyDescent="0.2">
      <c r="A1366" s="5">
        <v>1305</v>
      </c>
      <c r="B1366" s="138">
        <f>'Expenditures 15-22'!H182</f>
        <v>3266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3266</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3266</v>
      </c>
      <c r="C1376" s="2" t="s">
        <v>593</v>
      </c>
      <c r="D1376" s="2" t="str">
        <f t="shared" si="20"/>
        <v>Error?</v>
      </c>
    </row>
    <row r="1377" spans="1:4" x14ac:dyDescent="0.2">
      <c r="A1377" s="5">
        <v>1316</v>
      </c>
      <c r="B1377" s="138">
        <f>'Expenditures 15-22'!K182</f>
        <v>3940264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3940264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3940264</v>
      </c>
      <c r="C1388" s="2" t="s">
        <v>593</v>
      </c>
      <c r="D1388" s="2" t="str">
        <f t="shared" si="20"/>
        <v>Error?</v>
      </c>
    </row>
    <row r="1389" spans="1:4" x14ac:dyDescent="0.2">
      <c r="A1389" s="5">
        <v>1328</v>
      </c>
      <c r="B1389" s="138">
        <f>'Expenditures 15-22'!K211</f>
        <v>-2357448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11943</v>
      </c>
      <c r="D1407" s="2" t="str">
        <f t="shared" ref="D1407:D1470" si="21">IF(ISBLANK(B1407),"OK",IF(A1407-B1407=0,"OK","Error?"))</f>
        <v>Error?</v>
      </c>
    </row>
    <row r="1408" spans="1:4" x14ac:dyDescent="0.2">
      <c r="A1408" s="5">
        <v>1347</v>
      </c>
      <c r="B1408" s="138">
        <f>'Expenditures 15-22'!D223</f>
        <v>22657</v>
      </c>
      <c r="D1408" s="2" t="str">
        <f t="shared" si="21"/>
        <v>Error?</v>
      </c>
    </row>
    <row r="1409" spans="1:4" x14ac:dyDescent="0.2">
      <c r="A1409" s="5">
        <v>1348</v>
      </c>
      <c r="B1409" s="138">
        <f>'Expenditures 15-22'!D224</f>
        <v>3524</v>
      </c>
      <c r="D1409" s="2" t="str">
        <f t="shared" si="21"/>
        <v>Error?</v>
      </c>
    </row>
    <row r="1410" spans="1:4" x14ac:dyDescent="0.2">
      <c r="A1410" s="5">
        <v>1349</v>
      </c>
      <c r="B1410" s="138">
        <f>'Expenditures 15-22'!D229</f>
        <v>402327</v>
      </c>
      <c r="C1410" s="2" t="s">
        <v>593</v>
      </c>
      <c r="D1410" s="2" t="str">
        <f t="shared" si="21"/>
        <v>Error?</v>
      </c>
    </row>
    <row r="1411" spans="1:4" x14ac:dyDescent="0.2">
      <c r="A1411" s="5">
        <v>1350</v>
      </c>
      <c r="B1411" s="138">
        <f>'Expenditures 15-22'!D232</f>
        <v>19304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19304</v>
      </c>
      <c r="C1417" s="2" t="s">
        <v>593</v>
      </c>
      <c r="D1417" s="2" t="str">
        <f t="shared" si="21"/>
        <v>Error?</v>
      </c>
    </row>
    <row r="1418" spans="1:4" x14ac:dyDescent="0.2">
      <c r="A1418" s="5">
        <v>1357</v>
      </c>
      <c r="B1418" s="138">
        <f>'Expenditures 15-22'!D240</f>
        <v>936</v>
      </c>
      <c r="D1418" s="2" t="str">
        <f t="shared" si="21"/>
        <v>Error?</v>
      </c>
    </row>
    <row r="1419" spans="1:4" x14ac:dyDescent="0.2">
      <c r="A1419" s="5">
        <v>1358</v>
      </c>
      <c r="B1419" s="138">
        <f>'Expenditures 15-22'!D241</f>
        <v>66166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67102</v>
      </c>
      <c r="C1421" s="2" t="s">
        <v>593</v>
      </c>
      <c r="D1421" s="2" t="str">
        <f t="shared" si="21"/>
        <v>Error?</v>
      </c>
    </row>
    <row r="1422" spans="1:4" x14ac:dyDescent="0.2">
      <c r="A1422" s="5">
        <v>1361</v>
      </c>
      <c r="B1422" s="138">
        <f>'Expenditures 15-22'!D245</f>
        <v>19246</v>
      </c>
      <c r="D1422" s="2" t="str">
        <f t="shared" si="21"/>
        <v>Error?</v>
      </c>
    </row>
    <row r="1423" spans="1:4" x14ac:dyDescent="0.2">
      <c r="A1423" s="5">
        <v>1362</v>
      </c>
      <c r="B1423" s="138">
        <f>'Expenditures 15-22'!D246</f>
        <v>11760</v>
      </c>
      <c r="D1423" s="2" t="str">
        <f t="shared" si="21"/>
        <v>Error?</v>
      </c>
    </row>
    <row r="1424" spans="1:4" x14ac:dyDescent="0.2">
      <c r="A1424" s="5">
        <v>1363</v>
      </c>
      <c r="B1424" s="138">
        <f>'Expenditures 15-22'!D257</f>
        <v>105408</v>
      </c>
      <c r="C1424" s="2" t="s">
        <v>593</v>
      </c>
      <c r="D1424" s="2" t="str">
        <f t="shared" si="21"/>
        <v>Error?</v>
      </c>
    </row>
    <row r="1425" spans="1:4" x14ac:dyDescent="0.2">
      <c r="A1425" s="5">
        <v>1364</v>
      </c>
      <c r="B1425" s="138">
        <f>'Expenditures 15-22'!D259</f>
        <v>83399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83399</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33296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177248</v>
      </c>
      <c r="D1431" s="2" t="str">
        <f t="shared" si="21"/>
        <v>Error?</v>
      </c>
    </row>
    <row r="1432" spans="1:4" x14ac:dyDescent="0.2">
      <c r="A1432" s="5">
        <v>1371</v>
      </c>
      <c r="B1432" s="138">
        <f>'Expenditures 15-22'!D267</f>
        <v>166833</v>
      </c>
      <c r="D1432" s="2" t="str">
        <f t="shared" si="21"/>
        <v>Error?</v>
      </c>
    </row>
    <row r="1433" spans="1:4" x14ac:dyDescent="0.2">
      <c r="A1433" s="5">
        <v>1372</v>
      </c>
      <c r="B1433" s="138">
        <f>'Expenditures 15-22'!D268</f>
        <v>120261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497638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772851</v>
      </c>
      <c r="C1446" s="2" t="s">
        <v>593</v>
      </c>
      <c r="D1446" s="2" t="str">
        <f t="shared" si="21"/>
        <v>Error?</v>
      </c>
    </row>
    <row r="1447" spans="1:4" x14ac:dyDescent="0.2">
      <c r="A1447" s="5">
        <v>1386</v>
      </c>
      <c r="B1447" s="138">
        <f>'Expenditures 15-22'!D280</f>
        <v>3492</v>
      </c>
      <c r="D1447" s="2" t="str">
        <f t="shared" si="21"/>
        <v>Error?</v>
      </c>
    </row>
    <row r="1448" spans="1:4" x14ac:dyDescent="0.2">
      <c r="A1448" s="5">
        <v>1387</v>
      </c>
      <c r="B1448" s="138">
        <f>'Expenditures 15-22'!D295</f>
        <v>1178670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11943</v>
      </c>
      <c r="C1471" s="2" t="s">
        <v>593</v>
      </c>
      <c r="D1471" s="2" t="str">
        <f t="shared" ref="D1471:D1534" si="22">IF(ISBLANK(B1471),"OK",IF(A1471-B1471=0,"OK","Error?"))</f>
        <v>Error?</v>
      </c>
    </row>
    <row r="1472" spans="1:4" x14ac:dyDescent="0.2">
      <c r="A1472" s="5">
        <v>1411</v>
      </c>
      <c r="B1472" s="138">
        <f>'Expenditures 15-22'!K223</f>
        <v>22657</v>
      </c>
      <c r="C1472" s="2" t="s">
        <v>593</v>
      </c>
      <c r="D1472" s="2" t="str">
        <f t="shared" si="22"/>
        <v>Error?</v>
      </c>
    </row>
    <row r="1473" spans="1:4" x14ac:dyDescent="0.2">
      <c r="A1473" s="5">
        <v>1412</v>
      </c>
      <c r="B1473" s="138">
        <f>'Expenditures 15-22'!K224</f>
        <v>3524</v>
      </c>
      <c r="C1473" s="2" t="s">
        <v>593</v>
      </c>
      <c r="D1473" s="2" t="str">
        <f t="shared" si="22"/>
        <v>Error?</v>
      </c>
    </row>
    <row r="1474" spans="1:4" x14ac:dyDescent="0.2">
      <c r="A1474" s="5">
        <v>1413</v>
      </c>
      <c r="B1474" s="138">
        <f>'Expenditures 15-22'!K229</f>
        <v>402327</v>
      </c>
      <c r="C1474" s="2" t="s">
        <v>593</v>
      </c>
      <c r="D1474" s="2" t="str">
        <f t="shared" si="22"/>
        <v>Error?</v>
      </c>
    </row>
    <row r="1475" spans="1:4" x14ac:dyDescent="0.2">
      <c r="A1475" s="5">
        <v>1414</v>
      </c>
      <c r="B1475" s="138">
        <f>'Expenditures 15-22'!K232</f>
        <v>19304</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19304</v>
      </c>
      <c r="C1481" s="2" t="s">
        <v>593</v>
      </c>
      <c r="D1481" s="2" t="str">
        <f t="shared" si="22"/>
        <v>Error?</v>
      </c>
    </row>
    <row r="1482" spans="1:4" x14ac:dyDescent="0.2">
      <c r="A1482" s="5">
        <v>1421</v>
      </c>
      <c r="B1482" s="138">
        <f>'Expenditures 15-22'!K240</f>
        <v>936</v>
      </c>
      <c r="C1482" s="2" t="s">
        <v>593</v>
      </c>
      <c r="D1482" s="2" t="str">
        <f t="shared" si="22"/>
        <v>Error?</v>
      </c>
    </row>
    <row r="1483" spans="1:4" x14ac:dyDescent="0.2">
      <c r="A1483" s="5">
        <v>1422</v>
      </c>
      <c r="B1483" s="138">
        <f>'Expenditures 15-22'!K241</f>
        <v>66166</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67102</v>
      </c>
      <c r="C1485" s="2" t="s">
        <v>593</v>
      </c>
      <c r="D1485" s="2" t="str">
        <f t="shared" si="22"/>
        <v>Error?</v>
      </c>
    </row>
    <row r="1486" spans="1:4" x14ac:dyDescent="0.2">
      <c r="A1486" s="5">
        <v>1425</v>
      </c>
      <c r="B1486" s="138">
        <f>'Expenditures 15-22'!K245</f>
        <v>19246</v>
      </c>
      <c r="C1486" s="2" t="s">
        <v>593</v>
      </c>
      <c r="D1486" s="2" t="str">
        <f t="shared" si="22"/>
        <v>Error?</v>
      </c>
    </row>
    <row r="1487" spans="1:4" x14ac:dyDescent="0.2">
      <c r="A1487" s="5">
        <v>1426</v>
      </c>
      <c r="B1487" s="138">
        <f>'Expenditures 15-22'!K246</f>
        <v>11760</v>
      </c>
      <c r="C1487" s="2" t="s">
        <v>593</v>
      </c>
      <c r="D1487" s="2" t="str">
        <f t="shared" si="22"/>
        <v>Error?</v>
      </c>
    </row>
    <row r="1488" spans="1:4" x14ac:dyDescent="0.2">
      <c r="A1488" s="5">
        <v>1427</v>
      </c>
      <c r="B1488" s="138">
        <f>'Expenditures 15-22'!K257</f>
        <v>105408</v>
      </c>
      <c r="C1488" s="2" t="s">
        <v>593</v>
      </c>
      <c r="D1488" s="2" t="str">
        <f t="shared" si="22"/>
        <v>Error?</v>
      </c>
    </row>
    <row r="1489" spans="1:4" x14ac:dyDescent="0.2">
      <c r="A1489" s="5">
        <v>1428</v>
      </c>
      <c r="B1489" s="138">
        <f>'Expenditures 15-22'!K259</f>
        <v>83399</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83399</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33296</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177248</v>
      </c>
      <c r="C1495" s="2" t="s">
        <v>593</v>
      </c>
      <c r="D1495" s="2" t="str">
        <f t="shared" si="22"/>
        <v>Error?</v>
      </c>
    </row>
    <row r="1496" spans="1:4" x14ac:dyDescent="0.2">
      <c r="A1496" s="5">
        <v>1435</v>
      </c>
      <c r="B1496" s="138">
        <f>'Expenditures 15-22'!K267</f>
        <v>166833</v>
      </c>
      <c r="C1496" s="2" t="s">
        <v>593</v>
      </c>
      <c r="D1496" s="2" t="str">
        <f t="shared" si="22"/>
        <v>Error?</v>
      </c>
    </row>
    <row r="1497" spans="1:4" x14ac:dyDescent="0.2">
      <c r="A1497" s="5">
        <v>1436</v>
      </c>
      <c r="B1497" s="138">
        <f>'Expenditures 15-22'!K268</f>
        <v>120261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497638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772851</v>
      </c>
      <c r="C1510" s="2" t="s">
        <v>593</v>
      </c>
      <c r="D1510" s="2" t="str">
        <f t="shared" si="22"/>
        <v>Error?</v>
      </c>
    </row>
    <row r="1511" spans="1:4" x14ac:dyDescent="0.2">
      <c r="A1511" s="5">
        <v>1450</v>
      </c>
      <c r="B1511" s="138">
        <f>'Expenditures 15-22'!K280</f>
        <v>3492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1178670</v>
      </c>
      <c r="C1517" s="2" t="s">
        <v>593</v>
      </c>
      <c r="D1517" s="2" t="str">
        <f t="shared" si="22"/>
        <v>Error?</v>
      </c>
    </row>
    <row r="1518" spans="1:4" x14ac:dyDescent="0.2">
      <c r="A1518" s="5">
        <v>1457</v>
      </c>
      <c r="B1518" s="138">
        <f>'Expenditures 15-22'!K296</f>
        <v>-78119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208794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208794</v>
      </c>
      <c r="C1547" s="2" t="s">
        <v>593</v>
      </c>
      <c r="D1547" s="2" t="str">
        <f t="shared" si="23"/>
        <v>Error?</v>
      </c>
    </row>
    <row r="1548" spans="1:4" x14ac:dyDescent="0.2">
      <c r="A1548" s="5">
        <v>1487</v>
      </c>
      <c r="B1548" s="138">
        <f>'Expenditures 15-22'!G312</f>
        <v>208794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208794</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208794</v>
      </c>
      <c r="C1559" s="2" t="s">
        <v>593</v>
      </c>
      <c r="D1559" s="2" t="str">
        <f t="shared" si="23"/>
        <v>Error?</v>
      </c>
    </row>
    <row r="1560" spans="1:4" x14ac:dyDescent="0.2">
      <c r="A1560" s="5">
        <v>1499</v>
      </c>
      <c r="B1560" s="138">
        <f>'Expenditures 15-22'!K312</f>
        <v>208794</v>
      </c>
      <c r="C1560" s="2" t="s">
        <v>593</v>
      </c>
      <c r="D1560" s="2" t="str">
        <f t="shared" si="23"/>
        <v>Error?</v>
      </c>
    </row>
    <row r="1561" spans="1:4" x14ac:dyDescent="0.2">
      <c r="A1561" s="5">
        <v>1500</v>
      </c>
      <c r="B1561" s="138">
        <f>'Expenditures 15-22'!K313</f>
        <v>-204930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-272596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2772394</v>
      </c>
      <c r="C1630" s="2" t="s">
        <v>593</v>
      </c>
      <c r="D1630" s="2" t="str">
        <f t="shared" si="24"/>
        <v>Error?</v>
      </c>
    </row>
    <row r="1631" spans="1:4" x14ac:dyDescent="0.2">
      <c r="A1631" s="5">
        <v>1570</v>
      </c>
      <c r="B1631" s="138">
        <f>'Acct Summary 7-8'!D79</f>
        <v>443390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825015</v>
      </c>
      <c r="C1644" s="2" t="s">
        <v>593</v>
      </c>
      <c r="D1644" s="2" t="str">
        <f t="shared" si="24"/>
        <v>Error?</v>
      </c>
    </row>
    <row r="1645" spans="1:4" x14ac:dyDescent="0.2">
      <c r="A1645" s="5">
        <v>1584</v>
      </c>
      <c r="B1645" s="138">
        <f>'Acct Summary 7-8'!E79</f>
        <v>82016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46798</v>
      </c>
      <c r="C1658" s="2" t="s">
        <v>593</v>
      </c>
      <c r="D1658" s="2" t="str">
        <f t="shared" si="24"/>
        <v>Error?</v>
      </c>
    </row>
    <row r="1659" spans="1:4" x14ac:dyDescent="0.2">
      <c r="A1659" s="5">
        <v>1598</v>
      </c>
      <c r="B1659" s="138">
        <f>'Acct Summary 7-8'!F79</f>
        <v>-336566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354390</v>
      </c>
      <c r="C1672" s="2" t="s">
        <v>593</v>
      </c>
      <c r="D1672" s="2" t="str">
        <f t="shared" si="25"/>
        <v>Error?</v>
      </c>
    </row>
    <row r="1673" spans="1:4" x14ac:dyDescent="0.2">
      <c r="A1673" s="5">
        <v>1612</v>
      </c>
      <c r="B1673" s="138">
        <f>'Acct Summary 7-8'!G79</f>
        <v>175925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97806</v>
      </c>
      <c r="C1686" s="2" t="s">
        <v>593</v>
      </c>
      <c r="D1686" s="2" t="str">
        <f t="shared" si="25"/>
        <v>Error?</v>
      </c>
    </row>
    <row r="1687" spans="1:4" x14ac:dyDescent="0.2">
      <c r="A1687" s="5">
        <v>1626</v>
      </c>
      <c r="B1687" s="138">
        <f>'Acct Summary 7-8'!H79</f>
        <v>444377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239447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3533155</v>
      </c>
      <c r="C1744" s="2" t="s">
        <v>593</v>
      </c>
      <c r="D1744" s="2" t="str">
        <f t="shared" si="26"/>
        <v>Error?</v>
      </c>
    </row>
    <row r="1745" spans="1:5" x14ac:dyDescent="0.2">
      <c r="A1745" s="5">
        <v>1684</v>
      </c>
      <c r="B1745" s="138">
        <f>'Tax Sched 23'!B5</f>
        <v>960095</v>
      </c>
      <c r="C1745" s="2" t="s">
        <v>593</v>
      </c>
      <c r="D1745" s="2" t="str">
        <f t="shared" si="26"/>
        <v>Error?</v>
      </c>
    </row>
    <row r="1746" spans="1:5" x14ac:dyDescent="0.2">
      <c r="A1746" s="5">
        <v>1685</v>
      </c>
      <c r="B1746" s="138">
        <f>'Tax Sched 23'!B6</f>
        <v>1827856</v>
      </c>
      <c r="C1746" s="2" t="s">
        <v>593</v>
      </c>
      <c r="D1746" s="2" t="str">
        <f t="shared" si="26"/>
        <v>Error?</v>
      </c>
    </row>
    <row r="1747" spans="1:5" x14ac:dyDescent="0.2">
      <c r="A1747" s="5">
        <v>1686</v>
      </c>
      <c r="B1747" s="138">
        <f>'Tax Sched 23'!B7</f>
        <v>384036</v>
      </c>
      <c r="C1747" s="2" t="s">
        <v>593</v>
      </c>
      <c r="D1747" s="2" t="str">
        <f t="shared" si="26"/>
        <v>Error?</v>
      </c>
    </row>
    <row r="1748" spans="1:5" x14ac:dyDescent="0.2">
      <c r="A1748" s="5">
        <v>1687</v>
      </c>
      <c r="B1748" s="138">
        <f>'Tax Sched 23'!B8</f>
        <v>650579</v>
      </c>
      <c r="C1748" s="2" t="s">
        <v>593</v>
      </c>
      <c r="D1748" s="2" t="str">
        <f t="shared" si="26"/>
        <v>Error?</v>
      </c>
    </row>
    <row r="1749" spans="1:5" x14ac:dyDescent="0.2">
      <c r="A1749" s="5">
        <v>1688</v>
      </c>
      <c r="B1749" s="138">
        <f>'Tax Sched 23'!B10</f>
        <v>96007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2028170</v>
      </c>
      <c r="C1752" s="2" t="s">
        <v>593</v>
      </c>
      <c r="D1752" s="2" t="str">
        <f t="shared" si="26"/>
        <v>Error?</v>
      </c>
    </row>
    <row r="1753" spans="1:5" x14ac:dyDescent="0.2">
      <c r="A1753" s="5">
        <v>1692</v>
      </c>
      <c r="B1753" s="138">
        <f>'Tax Sched 23'!B12</f>
        <v>96007</v>
      </c>
      <c r="C1753" s="2" t="s">
        <v>593</v>
      </c>
      <c r="D1753" s="2" t="str">
        <f t="shared" si="26"/>
        <v>Error?</v>
      </c>
    </row>
    <row r="1754" spans="1:5" x14ac:dyDescent="0.2">
      <c r="A1754" s="5">
        <v>1693</v>
      </c>
      <c r="B1754" s="138">
        <f>'Tax Sched 23'!B14</f>
        <v>76811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10179072</v>
      </c>
      <c r="C1759" s="2" t="s">
        <v>593</v>
      </c>
      <c r="D1759" s="2" t="str">
        <f t="shared" si="26"/>
        <v>Error?</v>
      </c>
    </row>
    <row r="1760" spans="1:5" x14ac:dyDescent="0.2">
      <c r="A1760" s="5">
        <v>1699</v>
      </c>
      <c r="B1760" s="138">
        <f>'Tax Sched 23'!D4</f>
        <v>3371370</v>
      </c>
      <c r="C1760" s="2" t="s">
        <v>593</v>
      </c>
      <c r="D1760" s="2" t="str">
        <f t="shared" si="26"/>
        <v>Error?</v>
      </c>
    </row>
    <row r="1761" spans="1:5" x14ac:dyDescent="0.2">
      <c r="A1761" s="5">
        <v>1700</v>
      </c>
      <c r="B1761" s="138">
        <f>'Tax Sched 23'!D5</f>
        <v>916131</v>
      </c>
      <c r="C1761" s="2" t="s">
        <v>593</v>
      </c>
      <c r="D1761" s="2" t="str">
        <f t="shared" si="26"/>
        <v>Error?</v>
      </c>
    </row>
    <row r="1762" spans="1:5" s="8" customFormat="1" x14ac:dyDescent="0.2">
      <c r="A1762" s="5">
        <v>1701</v>
      </c>
      <c r="B1762" s="138">
        <f>'Tax Sched 23'!D6</f>
        <v>1747614</v>
      </c>
      <c r="C1762" s="2" t="s">
        <v>593</v>
      </c>
      <c r="D1762" s="2" t="str">
        <f t="shared" si="26"/>
        <v>Error?</v>
      </c>
      <c r="E1762" s="9"/>
    </row>
    <row r="1763" spans="1:5" x14ac:dyDescent="0.2">
      <c r="A1763" s="5">
        <v>1702</v>
      </c>
      <c r="B1763" s="138">
        <f>'Tax Sched 23'!D7</f>
        <v>366450</v>
      </c>
      <c r="C1763" s="2" t="s">
        <v>593</v>
      </c>
      <c r="D1763" s="2" t="str">
        <f t="shared" si="26"/>
        <v>Error?</v>
      </c>
    </row>
    <row r="1764" spans="1:5" x14ac:dyDescent="0.2">
      <c r="A1764" s="5">
        <v>1703</v>
      </c>
      <c r="B1764" s="138">
        <f>'Tax Sched 23'!D8</f>
        <v>612524</v>
      </c>
      <c r="C1764" s="2" t="s">
        <v>593</v>
      </c>
      <c r="D1764" s="2" t="str">
        <f t="shared" si="26"/>
        <v>Error?</v>
      </c>
    </row>
    <row r="1765" spans="1:5" x14ac:dyDescent="0.2">
      <c r="A1765" s="5">
        <v>1704</v>
      </c>
      <c r="B1765" s="138">
        <f>'Tax Sched 23'!D10</f>
        <v>91611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1951357</v>
      </c>
      <c r="C1768" s="2" t="s">
        <v>593</v>
      </c>
      <c r="D1768" s="2" t="str">
        <f t="shared" si="26"/>
        <v>Error?</v>
      </c>
    </row>
    <row r="1769" spans="1:5" x14ac:dyDescent="0.2">
      <c r="A1769" s="5">
        <v>1708</v>
      </c>
      <c r="B1769" s="138">
        <f>'Tax Sched 23'!D12</f>
        <v>91611</v>
      </c>
      <c r="C1769" s="2" t="s">
        <v>593</v>
      </c>
      <c r="D1769" s="2" t="str">
        <f t="shared" si="26"/>
        <v>Error?</v>
      </c>
    </row>
    <row r="1770" spans="1:5" x14ac:dyDescent="0.2">
      <c r="A1770" s="5">
        <v>1709</v>
      </c>
      <c r="B1770" s="138">
        <f>'Tax Sched 23'!D14</f>
        <v>73294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9721984</v>
      </c>
      <c r="C1775" s="2" t="s">
        <v>593</v>
      </c>
      <c r="D1775" s="2" t="str">
        <f t="shared" si="26"/>
        <v>Error?</v>
      </c>
    </row>
    <row r="1776" spans="1:5" x14ac:dyDescent="0.2">
      <c r="A1776" s="5">
        <v>1715</v>
      </c>
      <c r="B1776" s="138">
        <f>'Tax Sched 23'!C4</f>
        <v>161785</v>
      </c>
      <c r="D1776" s="2" t="str">
        <f t="shared" si="26"/>
        <v>Error?</v>
      </c>
    </row>
    <row r="1777" spans="1:4" x14ac:dyDescent="0.2">
      <c r="A1777" s="5">
        <v>1716</v>
      </c>
      <c r="B1777" s="138">
        <f>'Tax Sched 23'!C5</f>
        <v>43964</v>
      </c>
      <c r="D1777" s="2" t="str">
        <f t="shared" si="26"/>
        <v>Error?</v>
      </c>
    </row>
    <row r="1778" spans="1:4" x14ac:dyDescent="0.2">
      <c r="A1778" s="5">
        <v>1717</v>
      </c>
      <c r="B1778" s="138">
        <f>'Tax Sched 23'!C6</f>
        <v>80242</v>
      </c>
      <c r="D1778" s="2" t="str">
        <f t="shared" si="26"/>
        <v>Error?</v>
      </c>
    </row>
    <row r="1779" spans="1:4" x14ac:dyDescent="0.2">
      <c r="A1779" s="5">
        <v>1718</v>
      </c>
      <c r="B1779" s="138">
        <f>'Tax Sched 23'!C7</f>
        <v>17586</v>
      </c>
      <c r="D1779" s="2" t="str">
        <f t="shared" si="26"/>
        <v>Error?</v>
      </c>
    </row>
    <row r="1780" spans="1:4" x14ac:dyDescent="0.2">
      <c r="A1780" s="5">
        <v>1719</v>
      </c>
      <c r="B1780" s="138">
        <f>'Tax Sched 23'!C8</f>
        <v>38055</v>
      </c>
      <c r="D1780" s="2" t="str">
        <f t="shared" si="26"/>
        <v>Error?</v>
      </c>
    </row>
    <row r="1781" spans="1:4" x14ac:dyDescent="0.2">
      <c r="A1781" s="5">
        <v>1720</v>
      </c>
      <c r="B1781" s="138">
        <f>'Tax Sched 23'!C10</f>
        <v>4396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76813</v>
      </c>
      <c r="D1784" s="2" t="str">
        <f t="shared" si="26"/>
        <v>Error?</v>
      </c>
    </row>
    <row r="1785" spans="1:4" x14ac:dyDescent="0.2">
      <c r="A1785" s="5">
        <v>1724</v>
      </c>
      <c r="B1785" s="138">
        <f>'Tax Sched 23'!C12</f>
        <v>4396</v>
      </c>
      <c r="D1785" s="2" t="str">
        <f t="shared" si="26"/>
        <v>Error?</v>
      </c>
    </row>
    <row r="1786" spans="1:4" x14ac:dyDescent="0.2">
      <c r="A1786" s="5">
        <v>1725</v>
      </c>
      <c r="B1786" s="138">
        <f>'Tax Sched 23'!C14</f>
        <v>3517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457088</v>
      </c>
      <c r="C1791" s="2" t="s">
        <v>593</v>
      </c>
      <c r="D1791" s="2" t="str">
        <f t="shared" ref="D1791:D1854" si="27">IF(ISBLANK(B1791),"OK",IF(A1791-B1791=0,"OK","Error?"))</f>
        <v>Error?</v>
      </c>
    </row>
    <row r="1792" spans="1:4" x14ac:dyDescent="0.2">
      <c r="A1792" s="5">
        <v>1731</v>
      </c>
      <c r="B1792" s="138">
        <f>'Tax Sched 23'!F4</f>
        <v>3662027</v>
      </c>
      <c r="C1792" s="2" t="s">
        <v>593</v>
      </c>
      <c r="D1792" s="2" t="str">
        <f t="shared" si="27"/>
        <v>Error?</v>
      </c>
    </row>
    <row r="1793" spans="1:4" x14ac:dyDescent="0.2">
      <c r="A1793" s="5">
        <v>1732</v>
      </c>
      <c r="B1793" s="138">
        <f>'Tax Sched 23'!F5</f>
        <v>995115</v>
      </c>
      <c r="C1793" s="2" t="s">
        <v>593</v>
      </c>
      <c r="D1793" s="2" t="str">
        <f t="shared" si="27"/>
        <v>Error?</v>
      </c>
    </row>
    <row r="1794" spans="1:4" x14ac:dyDescent="0.2">
      <c r="A1794" s="5">
        <v>1733</v>
      </c>
      <c r="B1794" s="138">
        <f>'Tax Sched 23'!F6</f>
        <v>1816285</v>
      </c>
      <c r="C1794" s="2" t="s">
        <v>593</v>
      </c>
      <c r="D1794" s="2" t="str">
        <f t="shared" si="27"/>
        <v>Error?</v>
      </c>
    </row>
    <row r="1795" spans="1:4" x14ac:dyDescent="0.2">
      <c r="A1795" s="5">
        <v>1734</v>
      </c>
      <c r="B1795" s="138">
        <f>'Tax Sched 23'!F7</f>
        <v>398046</v>
      </c>
      <c r="C1795" s="2" t="s">
        <v>593</v>
      </c>
      <c r="D1795" s="2" t="str">
        <f t="shared" si="27"/>
        <v>Error?</v>
      </c>
    </row>
    <row r="1796" spans="1:4" x14ac:dyDescent="0.2">
      <c r="A1796" s="5">
        <v>1735</v>
      </c>
      <c r="B1796" s="138">
        <f>'Tax Sched 23'!F8</f>
        <v>861372</v>
      </c>
      <c r="C1796" s="2" t="s">
        <v>593</v>
      </c>
      <c r="D1796" s="2" t="str">
        <f t="shared" si="27"/>
        <v>Error?</v>
      </c>
    </row>
    <row r="1797" spans="1:4" x14ac:dyDescent="0.2">
      <c r="A1797" s="5">
        <v>1736</v>
      </c>
      <c r="B1797" s="138">
        <f>'Tax Sched 23'!F10</f>
        <v>99512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1738666</v>
      </c>
      <c r="C1800" s="2" t="s">
        <v>593</v>
      </c>
      <c r="D1800" s="2" t="str">
        <f t="shared" si="27"/>
        <v>Error?</v>
      </c>
    </row>
    <row r="1801" spans="1:4" x14ac:dyDescent="0.2">
      <c r="A1801" s="5">
        <v>1740</v>
      </c>
      <c r="B1801" s="138">
        <f>'Tax Sched 23'!F12</f>
        <v>99512</v>
      </c>
      <c r="C1801" s="2" t="s">
        <v>593</v>
      </c>
      <c r="D1801" s="2" t="str">
        <f t="shared" si="27"/>
        <v>Error?</v>
      </c>
    </row>
    <row r="1802" spans="1:4" x14ac:dyDescent="0.2">
      <c r="A1802" s="5">
        <v>1741</v>
      </c>
      <c r="B1802" s="138">
        <f>'Tax Sched 23'!F14</f>
        <v>79609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10346219</v>
      </c>
      <c r="C1807" s="2" t="s">
        <v>593</v>
      </c>
      <c r="D1807" s="2" t="str">
        <f t="shared" si="27"/>
        <v>Error?</v>
      </c>
    </row>
    <row r="1808" spans="1:4" x14ac:dyDescent="0.2">
      <c r="A1808" s="5">
        <v>1747</v>
      </c>
      <c r="B1808" s="138">
        <f>'Tax Sched 23'!E4</f>
        <v>3823812</v>
      </c>
      <c r="D1808" s="2" t="str">
        <f t="shared" si="27"/>
        <v>Error?</v>
      </c>
    </row>
    <row r="1809" spans="1:4" x14ac:dyDescent="0.2">
      <c r="A1809" s="5">
        <v>1748</v>
      </c>
      <c r="B1809" s="138">
        <f>'Tax Sched 23'!E5</f>
        <v>1039079</v>
      </c>
      <c r="D1809" s="2" t="str">
        <f t="shared" si="27"/>
        <v>Error?</v>
      </c>
    </row>
    <row r="1810" spans="1:4" x14ac:dyDescent="0.2">
      <c r="A1810" s="5">
        <v>1749</v>
      </c>
      <c r="B1810" s="138">
        <f>'Tax Sched 23'!E6</f>
        <v>1896527</v>
      </c>
      <c r="D1810" s="2" t="str">
        <f t="shared" si="27"/>
        <v>Error?</v>
      </c>
    </row>
    <row r="1811" spans="1:4" x14ac:dyDescent="0.2">
      <c r="A1811" s="5">
        <v>1750</v>
      </c>
      <c r="B1811" s="138">
        <f>'Tax Sched 23'!E7</f>
        <v>415632</v>
      </c>
      <c r="D1811" s="2" t="str">
        <f t="shared" si="27"/>
        <v>Error?</v>
      </c>
    </row>
    <row r="1812" spans="1:4" x14ac:dyDescent="0.2">
      <c r="A1812" s="5">
        <v>1751</v>
      </c>
      <c r="B1812" s="138">
        <f>'Tax Sched 23'!E8</f>
        <v>899427</v>
      </c>
      <c r="D1812" s="2" t="str">
        <f t="shared" si="27"/>
        <v>Error?</v>
      </c>
    </row>
    <row r="1813" spans="1:4" x14ac:dyDescent="0.2">
      <c r="A1813" s="5">
        <v>1752</v>
      </c>
      <c r="B1813" s="138">
        <f>'Tax Sched 23'!E10</f>
        <v>103908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1815479</v>
      </c>
      <c r="D1816" s="2" t="str">
        <f t="shared" si="27"/>
        <v>Error?</v>
      </c>
    </row>
    <row r="1817" spans="1:4" x14ac:dyDescent="0.2">
      <c r="A1817" s="5">
        <v>1756</v>
      </c>
      <c r="B1817" s="138">
        <f>'Tax Sched 23'!E12</f>
        <v>103908</v>
      </c>
      <c r="D1817" s="2" t="str">
        <f t="shared" si="27"/>
        <v>Error?</v>
      </c>
    </row>
    <row r="1818" spans="1:4" x14ac:dyDescent="0.2">
      <c r="A1818" s="5">
        <v>1757</v>
      </c>
      <c r="B1818" s="138">
        <f>'Tax Sched 23'!E14</f>
        <v>83126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10803307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16779324</v>
      </c>
      <c r="C1939" s="2" t="s">
        <v>593</v>
      </c>
      <c r="D1939" s="2" t="str">
        <f t="shared" si="29"/>
        <v>Error?</v>
      </c>
    </row>
    <row r="1940" spans="1:5" x14ac:dyDescent="0.2">
      <c r="A1940" s="5">
        <v>1879</v>
      </c>
      <c r="B1940" s="138">
        <f>'Short-Term Long-Term Debt 24'!F49</f>
        <v>3096983</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76811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76811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76811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309151</v>
      </c>
      <c r="D2008" s="2" t="str">
        <f t="shared" si="30"/>
        <v>Error?</v>
      </c>
    </row>
    <row r="2009" spans="1:4" x14ac:dyDescent="0.2">
      <c r="A2009" s="5">
        <v>1948</v>
      </c>
      <c r="B2009" s="138">
        <f>'Cap Outlay Deprec 26'!C8</f>
        <v>41608779</v>
      </c>
      <c r="D2009" s="2" t="str">
        <f t="shared" si="30"/>
        <v>Error?</v>
      </c>
    </row>
    <row r="2010" spans="1:4" x14ac:dyDescent="0.2">
      <c r="A2010" s="5">
        <v>1949</v>
      </c>
      <c r="B2010" s="138">
        <f>'Cap Outlay Deprec 26'!C10</f>
        <v>259516</v>
      </c>
      <c r="D2010" s="2" t="str">
        <f t="shared" si="30"/>
        <v>Error?</v>
      </c>
    </row>
    <row r="2011" spans="1:4" x14ac:dyDescent="0.2">
      <c r="A2011" s="5">
        <v>1950</v>
      </c>
      <c r="B2011" s="138">
        <f>'Cap Outlay Deprec 26'!C12</f>
        <v>5359190</v>
      </c>
      <c r="D2011" s="2" t="str">
        <f t="shared" si="30"/>
        <v>Error?</v>
      </c>
    </row>
    <row r="2012" spans="1:4" x14ac:dyDescent="0.2">
      <c r="A2012" s="5">
        <v>1951</v>
      </c>
      <c r="B2012" s="138">
        <f>'Cap Outlay Deprec 26'!C13</f>
        <v>3390569</v>
      </c>
      <c r="D2012" s="2" t="str">
        <f t="shared" si="30"/>
        <v>Error?</v>
      </c>
    </row>
    <row r="2013" spans="1:4" x14ac:dyDescent="0.2">
      <c r="A2013" s="5">
        <v>1952</v>
      </c>
      <c r="B2013" s="138">
        <f>'Cap Outlay Deprec 26'!C16</f>
        <v>50927205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1204577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116111</v>
      </c>
      <c r="D2017" s="2" t="str">
        <f t="shared" si="30"/>
        <v>Error?</v>
      </c>
    </row>
    <row r="2018" spans="1:4" x14ac:dyDescent="0.2">
      <c r="A2018" s="5">
        <v>1957</v>
      </c>
      <c r="B2018" s="138">
        <f>'Cap Outlay Deprec 26'!D13</f>
        <v>3096983</v>
      </c>
      <c r="D2018" s="2" t="str">
        <f t="shared" si="30"/>
        <v>Error?</v>
      </c>
    </row>
    <row r="2019" spans="1:4" x14ac:dyDescent="0.2">
      <c r="A2019" s="5">
        <v>1958</v>
      </c>
      <c r="B2019" s="138">
        <f>'Cap Outlay Deprec 26'!D16</f>
        <v>4417671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407358</v>
      </c>
      <c r="D2023" s="2" t="str">
        <f t="shared" si="30"/>
        <v>Error?</v>
      </c>
    </row>
    <row r="2024" spans="1:4" x14ac:dyDescent="0.2">
      <c r="A2024" s="5">
        <v>1963</v>
      </c>
      <c r="B2024" s="138">
        <f>'Cap Outlay Deprec 26'!E13</f>
        <v>32640</v>
      </c>
      <c r="D2024" s="2" t="str">
        <f t="shared" si="30"/>
        <v>Error?</v>
      </c>
    </row>
    <row r="2025" spans="1:4" x14ac:dyDescent="0.2">
      <c r="A2025" s="5">
        <v>1964</v>
      </c>
      <c r="B2025" s="138">
        <f>'Cap Outlay Deprec 26'!E16</f>
        <v>439998</v>
      </c>
      <c r="C2025" s="2" t="s">
        <v>593</v>
      </c>
      <c r="D2025" s="2" t="str">
        <f t="shared" si="30"/>
        <v>Error?</v>
      </c>
    </row>
    <row r="2026" spans="1:4" x14ac:dyDescent="0.2">
      <c r="A2026" s="5">
        <v>1965</v>
      </c>
      <c r="B2026" s="138">
        <f>'Cap Outlay Deprec 26'!F5</f>
        <v>309151</v>
      </c>
      <c r="C2026" s="2" t="s">
        <v>593</v>
      </c>
      <c r="D2026" s="2" t="str">
        <f t="shared" si="30"/>
        <v>Error?</v>
      </c>
    </row>
    <row r="2027" spans="1:4" x14ac:dyDescent="0.2">
      <c r="A2027" s="5">
        <v>1966</v>
      </c>
      <c r="B2027" s="138">
        <f>'Cap Outlay Deprec 26'!F8</f>
        <v>42813356</v>
      </c>
      <c r="C2027" s="2" t="s">
        <v>593</v>
      </c>
      <c r="D2027" s="2" t="str">
        <f t="shared" si="30"/>
        <v>Error?</v>
      </c>
    </row>
    <row r="2028" spans="1:4" x14ac:dyDescent="0.2">
      <c r="A2028" s="5">
        <v>1967</v>
      </c>
      <c r="B2028" s="138">
        <f>'Cap Outlay Deprec 26'!F10</f>
        <v>259516</v>
      </c>
      <c r="C2028" s="2" t="s">
        <v>593</v>
      </c>
      <c r="D2028" s="2" t="str">
        <f t="shared" si="30"/>
        <v>Error?</v>
      </c>
    </row>
    <row r="2029" spans="1:4" x14ac:dyDescent="0.2">
      <c r="A2029" s="5">
        <v>1968</v>
      </c>
      <c r="B2029" s="138">
        <f>'Cap Outlay Deprec 26'!F12</f>
        <v>5067943</v>
      </c>
      <c r="C2029" s="2" t="s">
        <v>593</v>
      </c>
      <c r="D2029" s="2" t="str">
        <f t="shared" si="30"/>
        <v>Error?</v>
      </c>
    </row>
    <row r="2030" spans="1:4" x14ac:dyDescent="0.2">
      <c r="A2030" s="5">
        <v>1969</v>
      </c>
      <c r="B2030" s="138">
        <f>'Cap Outlay Deprec 26'!F13</f>
        <v>6454912</v>
      </c>
      <c r="C2030" s="2" t="s">
        <v>593</v>
      </c>
      <c r="D2030" s="2" t="str">
        <f t="shared" si="30"/>
        <v>Error?</v>
      </c>
    </row>
    <row r="2031" spans="1:4" x14ac:dyDescent="0.2">
      <c r="A2031" s="5">
        <v>1970</v>
      </c>
      <c r="B2031" s="138">
        <f>'Cap Outlay Deprec 26'!F16</f>
        <v>54904878</v>
      </c>
      <c r="C2031" s="2" t="s">
        <v>593</v>
      </c>
      <c r="D2031" s="2" t="str">
        <f t="shared" si="30"/>
        <v>Error?</v>
      </c>
    </row>
    <row r="2032" spans="1:4" x14ac:dyDescent="0.2">
      <c r="A2032" s="10">
        <v>1971</v>
      </c>
      <c r="D2032" s="2" t="str">
        <f t="shared" si="30"/>
        <v>OK</v>
      </c>
    </row>
    <row r="2033" spans="1:4" x14ac:dyDescent="0.2">
      <c r="A2033" s="5">
        <v>1972</v>
      </c>
      <c r="B2033" s="138">
        <f>'Cap Outlay Deprec 26'!H8</f>
        <v>14859147</v>
      </c>
      <c r="D2033" s="2" t="str">
        <f t="shared" si="30"/>
        <v>Error?</v>
      </c>
    </row>
    <row r="2034" spans="1:4" x14ac:dyDescent="0.2">
      <c r="A2034" s="5">
        <v>1973</v>
      </c>
      <c r="B2034" s="138">
        <f>'Cap Outlay Deprec 26'!H10</f>
        <v>216688</v>
      </c>
      <c r="D2034" s="2" t="str">
        <f t="shared" si="30"/>
        <v>Error?</v>
      </c>
    </row>
    <row r="2035" spans="1:4" x14ac:dyDescent="0.2">
      <c r="A2035" s="5">
        <v>1974</v>
      </c>
      <c r="B2035" s="138">
        <f>'Cap Outlay Deprec 26'!H12</f>
        <v>2592911</v>
      </c>
      <c r="D2035" s="2" t="str">
        <f t="shared" si="30"/>
        <v>Error?</v>
      </c>
    </row>
    <row r="2036" spans="1:4" x14ac:dyDescent="0.2">
      <c r="A2036" s="5">
        <v>1975</v>
      </c>
      <c r="B2036" s="138">
        <f>'Cap Outlay Deprec 26'!H13</f>
        <v>2675833</v>
      </c>
      <c r="D2036" s="2" t="str">
        <f t="shared" si="30"/>
        <v>Error?</v>
      </c>
    </row>
    <row r="2037" spans="1:4" x14ac:dyDescent="0.2">
      <c r="A2037" s="5">
        <v>1976</v>
      </c>
      <c r="B2037" s="138">
        <f>'Cap Outlay Deprec 26'!H16</f>
        <v>20344579</v>
      </c>
      <c r="C2037" s="2" t="s">
        <v>593</v>
      </c>
      <c r="D2037" s="2" t="str">
        <f t="shared" si="30"/>
        <v>Error?</v>
      </c>
    </row>
    <row r="2038" spans="1:4" x14ac:dyDescent="0.2">
      <c r="A2038" s="10">
        <v>1977</v>
      </c>
      <c r="D2038" s="2" t="str">
        <f t="shared" si="30"/>
        <v>OK</v>
      </c>
    </row>
    <row r="2039" spans="1:4" x14ac:dyDescent="0.2">
      <c r="A2039" s="5">
        <v>1978</v>
      </c>
      <c r="B2039" s="138">
        <f>'Cap Outlay Deprec 26'!I8</f>
        <v>762084</v>
      </c>
      <c r="D2039" s="2" t="str">
        <f t="shared" si="30"/>
        <v>Error?</v>
      </c>
    </row>
    <row r="2040" spans="1:4" x14ac:dyDescent="0.2">
      <c r="A2040" s="5">
        <v>1979</v>
      </c>
      <c r="B2040" s="138">
        <f>'Cap Outlay Deprec 26'!I10</f>
        <v>7138</v>
      </c>
      <c r="D2040" s="2" t="str">
        <f t="shared" si="30"/>
        <v>Error?</v>
      </c>
    </row>
    <row r="2041" spans="1:4" x14ac:dyDescent="0.2">
      <c r="A2041" s="5">
        <v>1980</v>
      </c>
      <c r="B2041" s="138">
        <f>'Cap Outlay Deprec 26'!I12</f>
        <v>505434</v>
      </c>
      <c r="D2041" s="2" t="str">
        <f t="shared" si="30"/>
        <v>Error?</v>
      </c>
    </row>
    <row r="2042" spans="1:4" x14ac:dyDescent="0.2">
      <c r="A2042" s="5">
        <v>1981</v>
      </c>
      <c r="B2042" s="138">
        <f>'Cap Outlay Deprec 26'!I13</f>
        <v>1257171</v>
      </c>
      <c r="D2042" s="2" t="str">
        <f t="shared" si="30"/>
        <v>Error?</v>
      </c>
    </row>
    <row r="2043" spans="1:4" x14ac:dyDescent="0.2">
      <c r="A2043" s="5">
        <v>1982</v>
      </c>
      <c r="B2043" s="138">
        <f>'Cap Outlay Deprec 26'!I16</f>
        <v>2531827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407358</v>
      </c>
      <c r="D2047" s="2" t="str">
        <f t="shared" ref="D2047:D2110" si="31">IF(ISBLANK(B2047),"OK",IF(A2047-B2047=0,"OK","Error?"))</f>
        <v>Error?</v>
      </c>
    </row>
    <row r="2048" spans="1:4" x14ac:dyDescent="0.2">
      <c r="A2048" s="5">
        <v>1987</v>
      </c>
      <c r="B2048" s="138">
        <f>'Cap Outlay Deprec 26'!J13</f>
        <v>32640</v>
      </c>
      <c r="D2048" s="2" t="str">
        <f t="shared" si="31"/>
        <v>Error?</v>
      </c>
    </row>
    <row r="2049" spans="1:4" x14ac:dyDescent="0.2">
      <c r="A2049" s="5">
        <v>1988</v>
      </c>
      <c r="B2049" s="138">
        <f>'Cap Outlay Deprec 26'!J16</f>
        <v>439998</v>
      </c>
      <c r="C2049" s="2" t="s">
        <v>593</v>
      </c>
      <c r="D2049" s="2" t="str">
        <f t="shared" si="31"/>
        <v>Error?</v>
      </c>
    </row>
    <row r="2050" spans="1:4" x14ac:dyDescent="0.2">
      <c r="A2050" s="10">
        <v>1989</v>
      </c>
      <c r="D2050" s="2" t="str">
        <f t="shared" si="31"/>
        <v>OK</v>
      </c>
    </row>
    <row r="2051" spans="1:4" x14ac:dyDescent="0.2">
      <c r="A2051" s="5">
        <v>1990</v>
      </c>
      <c r="B2051" s="138">
        <f>'Cap Outlay Deprec 26'!K8</f>
        <v>15621231</v>
      </c>
      <c r="C2051" s="2" t="s">
        <v>593</v>
      </c>
      <c r="D2051" s="2" t="str">
        <f t="shared" si="31"/>
        <v>Error?</v>
      </c>
    </row>
    <row r="2052" spans="1:4" x14ac:dyDescent="0.2">
      <c r="A2052" s="5">
        <v>1991</v>
      </c>
      <c r="B2052" s="138">
        <f>'Cap Outlay Deprec 26'!K10</f>
        <v>223826</v>
      </c>
      <c r="C2052" s="2" t="s">
        <v>593</v>
      </c>
      <c r="D2052" s="2" t="str">
        <f t="shared" si="31"/>
        <v>Error?</v>
      </c>
    </row>
    <row r="2053" spans="1:4" x14ac:dyDescent="0.2">
      <c r="A2053" s="5">
        <v>1992</v>
      </c>
      <c r="B2053" s="138">
        <f>'Cap Outlay Deprec 26'!K12</f>
        <v>2690987</v>
      </c>
      <c r="C2053" s="2" t="s">
        <v>593</v>
      </c>
      <c r="D2053" s="2" t="str">
        <f t="shared" si="31"/>
        <v>Error?</v>
      </c>
    </row>
    <row r="2054" spans="1:4" x14ac:dyDescent="0.2">
      <c r="A2054" s="5">
        <v>1993</v>
      </c>
      <c r="B2054" s="138">
        <f>'Cap Outlay Deprec 26'!K13</f>
        <v>3900364</v>
      </c>
      <c r="C2054" s="2" t="s">
        <v>593</v>
      </c>
      <c r="D2054" s="2" t="str">
        <f t="shared" si="31"/>
        <v>Error?</v>
      </c>
    </row>
    <row r="2055" spans="1:4" x14ac:dyDescent="0.2">
      <c r="A2055" s="5">
        <v>1994</v>
      </c>
      <c r="B2055" s="138">
        <f>'Cap Outlay Deprec 26'!K16</f>
        <v>22436408</v>
      </c>
      <c r="C2055" s="2" t="s">
        <v>593</v>
      </c>
      <c r="D2055" s="2" t="str">
        <f t="shared" si="31"/>
        <v>Error?</v>
      </c>
    </row>
    <row r="2056" spans="1:4" x14ac:dyDescent="0.2">
      <c r="A2056" s="5">
        <v>1995</v>
      </c>
      <c r="B2056" s="138">
        <f>'Cap Outlay Deprec 26'!L5</f>
        <v>309151</v>
      </c>
      <c r="C2056" s="2" t="s">
        <v>593</v>
      </c>
      <c r="D2056" s="2" t="str">
        <f t="shared" si="31"/>
        <v>Error?</v>
      </c>
    </row>
    <row r="2057" spans="1:4" x14ac:dyDescent="0.2">
      <c r="A2057" s="5">
        <v>1996</v>
      </c>
      <c r="B2057" s="138">
        <f>'Cap Outlay Deprec 26'!L8</f>
        <v>27192125</v>
      </c>
      <c r="C2057" s="2" t="s">
        <v>593</v>
      </c>
      <c r="D2057" s="2" t="str">
        <f t="shared" si="31"/>
        <v>Error?</v>
      </c>
    </row>
    <row r="2058" spans="1:4" x14ac:dyDescent="0.2">
      <c r="A2058" s="5">
        <v>1997</v>
      </c>
      <c r="B2058" s="138">
        <f>'Cap Outlay Deprec 26'!L10</f>
        <v>35690</v>
      </c>
      <c r="C2058" s="2" t="s">
        <v>593</v>
      </c>
      <c r="D2058" s="2" t="str">
        <f t="shared" si="31"/>
        <v>Error?</v>
      </c>
    </row>
    <row r="2059" spans="1:4" x14ac:dyDescent="0.2">
      <c r="A2059" s="5">
        <v>1998</v>
      </c>
      <c r="B2059" s="138">
        <f>'Cap Outlay Deprec 26'!L12</f>
        <v>2376956</v>
      </c>
      <c r="C2059" s="2" t="s">
        <v>593</v>
      </c>
      <c r="D2059" s="2" t="str">
        <f t="shared" si="31"/>
        <v>Error?</v>
      </c>
    </row>
    <row r="2060" spans="1:4" x14ac:dyDescent="0.2">
      <c r="A2060" s="5">
        <v>1999</v>
      </c>
      <c r="B2060" s="138">
        <f>'Cap Outlay Deprec 26'!L13</f>
        <v>2554548</v>
      </c>
      <c r="C2060" s="2" t="s">
        <v>593</v>
      </c>
      <c r="D2060" s="2" t="str">
        <f t="shared" si="31"/>
        <v>Error?</v>
      </c>
    </row>
    <row r="2061" spans="1:4" x14ac:dyDescent="0.2">
      <c r="A2061" s="5">
        <v>2000</v>
      </c>
      <c r="B2061" s="138">
        <f>'Cap Outlay Deprec 26'!L16</f>
        <v>32468470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76775</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78999</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181294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4898007</v>
      </c>
      <c r="C2551" s="2" t="s">
        <v>593</v>
      </c>
      <c r="D2551" s="2" t="str">
        <f t="shared" si="38"/>
        <v>Error?</v>
      </c>
    </row>
    <row r="2552" spans="1:4" x14ac:dyDescent="0.2">
      <c r="A2552" s="10">
        <v>2491</v>
      </c>
      <c r="D2552" s="2" t="str">
        <f t="shared" si="38"/>
        <v>OK</v>
      </c>
    </row>
    <row r="2553" spans="1:4" x14ac:dyDescent="0.2">
      <c r="A2553" s="5">
        <v>2492</v>
      </c>
      <c r="B2553" s="138">
        <f>'Acct Summary 7-8'!C6</f>
        <v>11348527</v>
      </c>
      <c r="C2553" s="2" t="s">
        <v>593</v>
      </c>
      <c r="D2553" s="2" t="str">
        <f t="shared" si="38"/>
        <v>Error?</v>
      </c>
    </row>
    <row r="2554" spans="1:4" x14ac:dyDescent="0.2">
      <c r="A2554" s="5">
        <v>2493</v>
      </c>
      <c r="B2554" s="138">
        <f>'Acct Summary 7-8'!C7</f>
        <v>2705978</v>
      </c>
      <c r="C2554" s="2" t="s">
        <v>593</v>
      </c>
      <c r="D2554" s="2" t="str">
        <f t="shared" si="38"/>
        <v>Error?</v>
      </c>
    </row>
    <row r="2555" spans="1:4" x14ac:dyDescent="0.2">
      <c r="A2555" s="5">
        <v>2494</v>
      </c>
      <c r="B2555" s="138">
        <f>'Acct Summary 7-8'!C8</f>
        <v>18952512</v>
      </c>
      <c r="C2555" s="2" t="s">
        <v>593</v>
      </c>
      <c r="D2555" s="2" t="str">
        <f t="shared" si="38"/>
        <v>Error?</v>
      </c>
    </row>
    <row r="2556" spans="1:4" x14ac:dyDescent="0.2">
      <c r="A2556" s="5">
        <v>2495</v>
      </c>
      <c r="B2556" s="138">
        <f>'Acct Summary 7-8'!C12</f>
        <v>10968010</v>
      </c>
      <c r="C2556" s="2" t="s">
        <v>593</v>
      </c>
      <c r="D2556" s="2" t="str">
        <f t="shared" si="38"/>
        <v>Error?</v>
      </c>
    </row>
    <row r="2557" spans="1:4" x14ac:dyDescent="0.2">
      <c r="A2557" s="5">
        <v>2496</v>
      </c>
      <c r="B2557" s="138">
        <f>'Acct Summary 7-8'!C13</f>
        <v>5370484</v>
      </c>
      <c r="C2557" s="2" t="s">
        <v>593</v>
      </c>
      <c r="D2557" s="2" t="str">
        <f t="shared" si="38"/>
        <v>Error?</v>
      </c>
    </row>
    <row r="2558" spans="1:4" x14ac:dyDescent="0.2">
      <c r="A2558" s="5">
        <v>2497</v>
      </c>
      <c r="B2558" s="138">
        <f>'Acct Summary 7-8'!C14</f>
        <v>32493</v>
      </c>
      <c r="C2558" s="2" t="s">
        <v>593</v>
      </c>
      <c r="D2558" s="2" t="str">
        <f t="shared" si="38"/>
        <v>Error?</v>
      </c>
    </row>
    <row r="2559" spans="1:4" x14ac:dyDescent="0.2">
      <c r="A2559" s="5">
        <v>2498</v>
      </c>
      <c r="B2559" s="138">
        <f>'Acct Summary 7-8'!C15</f>
        <v>213330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16584317</v>
      </c>
      <c r="C2561" s="2" t="s">
        <v>593</v>
      </c>
      <c r="D2561" s="2" t="str">
        <f t="shared" si="39"/>
        <v>Error?</v>
      </c>
    </row>
    <row r="2562" spans="1:4" x14ac:dyDescent="0.2">
      <c r="A2562" s="5">
        <v>2501</v>
      </c>
      <c r="B2562" s="138">
        <f>'Acct Summary 7-8'!C20</f>
        <v>2368195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1027871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1027871</v>
      </c>
      <c r="C2568" s="2" t="s">
        <v>593</v>
      </c>
      <c r="D2568" s="2" t="str">
        <f t="shared" si="39"/>
        <v>Error?</v>
      </c>
    </row>
    <row r="2569" spans="1:4" x14ac:dyDescent="0.2">
      <c r="A2569" s="5">
        <v>2508</v>
      </c>
      <c r="B2569" s="138">
        <f>'Acct Summary 7-8'!D13</f>
        <v>648046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648046</v>
      </c>
      <c r="C2573" s="2" t="s">
        <v>593</v>
      </c>
      <c r="D2573" s="2" t="str">
        <f t="shared" si="39"/>
        <v>Error?</v>
      </c>
    </row>
    <row r="2574" spans="1:4" x14ac:dyDescent="0.2">
      <c r="A2574" s="5">
        <v>2513</v>
      </c>
      <c r="B2574" s="138">
        <f>'Acct Summary 7-8'!D20</f>
        <v>379825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398250</v>
      </c>
      <c r="C2591" s="2" t="s">
        <v>593</v>
      </c>
      <c r="D2591" s="2" t="str">
        <f t="shared" si="39"/>
        <v>Error?</v>
      </c>
    </row>
    <row r="2592" spans="1:4" x14ac:dyDescent="0.2">
      <c r="A2592" s="10">
        <v>2531</v>
      </c>
      <c r="D2592" s="2" t="str">
        <f t="shared" si="39"/>
        <v>OK</v>
      </c>
    </row>
    <row r="2593" spans="1:4" x14ac:dyDescent="0.2">
      <c r="A2593" s="5">
        <v>2532</v>
      </c>
      <c r="B2593" s="138">
        <f>'Acct Summary 7-8'!F6</f>
        <v>1184566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1582816</v>
      </c>
      <c r="C2595" s="2" t="s">
        <v>593</v>
      </c>
      <c r="D2595" s="2" t="str">
        <f t="shared" si="39"/>
        <v>Error?</v>
      </c>
    </row>
    <row r="2596" spans="1:4" x14ac:dyDescent="0.2">
      <c r="A2596" s="5">
        <v>2535</v>
      </c>
      <c r="B2596" s="138">
        <f>'Acct Summary 7-8'!F13</f>
        <v>3940264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3940264</v>
      </c>
      <c r="C2600" s="2" t="s">
        <v>593</v>
      </c>
      <c r="D2600" s="2" t="str">
        <f t="shared" si="39"/>
        <v>Error?</v>
      </c>
    </row>
    <row r="2601" spans="1:4" x14ac:dyDescent="0.2">
      <c r="A2601" s="5">
        <v>2540</v>
      </c>
      <c r="B2601" s="138">
        <f>'Acct Summary 7-8'!F20</f>
        <v>-2357448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1100551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1100551</v>
      </c>
      <c r="C2606" s="2" t="s">
        <v>593</v>
      </c>
      <c r="D2606" s="2" t="str">
        <f t="shared" si="39"/>
        <v>Error?</v>
      </c>
    </row>
    <row r="2607" spans="1:4" x14ac:dyDescent="0.2">
      <c r="A2607" s="5">
        <v>2546</v>
      </c>
      <c r="B2607" s="138">
        <f>'Acct Summary 7-8'!G12</f>
        <v>402327</v>
      </c>
      <c r="C2607" s="2" t="s">
        <v>593</v>
      </c>
      <c r="D2607" s="2" t="str">
        <f t="shared" si="39"/>
        <v>Error?</v>
      </c>
    </row>
    <row r="2608" spans="1:4" x14ac:dyDescent="0.2">
      <c r="A2608" s="5">
        <v>2547</v>
      </c>
      <c r="B2608" s="138">
        <f>'Acct Summary 7-8'!G13</f>
        <v>772851</v>
      </c>
      <c r="C2608" s="2" t="s">
        <v>593</v>
      </c>
      <c r="D2608" s="2" t="str">
        <f t="shared" si="39"/>
        <v>Error?</v>
      </c>
    </row>
    <row r="2609" spans="1:4" x14ac:dyDescent="0.2">
      <c r="A2609" s="5">
        <v>2548</v>
      </c>
      <c r="B2609" s="138">
        <f>'Acct Summary 7-8'!G14</f>
        <v>3492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1178670</v>
      </c>
      <c r="C2612" s="2" t="s">
        <v>593</v>
      </c>
      <c r="D2612" s="2" t="str">
        <f t="shared" si="39"/>
        <v>Error?</v>
      </c>
    </row>
    <row r="2613" spans="1:4" x14ac:dyDescent="0.2">
      <c r="A2613" s="5">
        <v>2552</v>
      </c>
      <c r="B2613" s="138">
        <f>'Acct Summary 7-8'!G20</f>
        <v>-78119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1862143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1862143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2345940</v>
      </c>
      <c r="C2634" s="2" t="s">
        <v>593</v>
      </c>
      <c r="D2634" s="2" t="str">
        <f t="shared" si="40"/>
        <v>Error?</v>
      </c>
    </row>
    <row r="2635" spans="1:4" x14ac:dyDescent="0.2">
      <c r="A2635" s="5">
        <v>2574</v>
      </c>
      <c r="B2635" s="138">
        <f>'Acct Summary 7-8'!E17</f>
        <v>2345940</v>
      </c>
      <c r="C2635" s="2" t="s">
        <v>593</v>
      </c>
      <c r="D2635" s="2" t="str">
        <f t="shared" si="40"/>
        <v>Error?</v>
      </c>
    </row>
    <row r="2636" spans="1:4" x14ac:dyDescent="0.2">
      <c r="A2636" s="5">
        <v>2575</v>
      </c>
      <c r="B2636" s="138">
        <f>'Acct Summary 7-8'!E20</f>
        <v>-483797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3864</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3864</v>
      </c>
      <c r="C2658" s="2" t="s">
        <v>593</v>
      </c>
      <c r="D2658" s="2" t="str">
        <f t="shared" si="40"/>
        <v>Error?</v>
      </c>
    </row>
    <row r="2659" spans="1:4" x14ac:dyDescent="0.2">
      <c r="A2659" s="5">
        <v>2598</v>
      </c>
      <c r="B2659" s="138">
        <f>'Acct Summary 7-8'!H13</f>
        <v>208794</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208794</v>
      </c>
      <c r="C2661" s="2" t="s">
        <v>593</v>
      </c>
      <c r="D2661" s="2" t="str">
        <f t="shared" si="40"/>
        <v>Error?</v>
      </c>
    </row>
    <row r="2662" spans="1:4" x14ac:dyDescent="0.2">
      <c r="A2662" s="5">
        <v>2601</v>
      </c>
      <c r="B2662" s="138">
        <f>'Acct Summary 7-8'!H20</f>
        <v>-204930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2224</v>
      </c>
      <c r="C2789" s="2" t="s">
        <v>593</v>
      </c>
      <c r="D2789" s="2" t="str">
        <f t="shared" si="42"/>
        <v>Error?</v>
      </c>
    </row>
    <row r="2790" spans="1:4" x14ac:dyDescent="0.2">
      <c r="A2790" s="5">
        <v>2729</v>
      </c>
      <c r="B2790" s="138">
        <f>'Expenditures 15-22'!E102</f>
        <v>2224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1201471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388999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1201471</v>
      </c>
      <c r="D2912" s="2" t="str">
        <f t="shared" si="44"/>
        <v>Error?</v>
      </c>
    </row>
    <row r="2913" spans="1:4" x14ac:dyDescent="0.2">
      <c r="A2913" s="5">
        <v>2852</v>
      </c>
      <c r="B2913" s="138">
        <f>'Assets-Liab 5-6'!I41</f>
        <v>1201471</v>
      </c>
      <c r="C2913" s="2" t="s">
        <v>593</v>
      </c>
      <c r="D2913" s="2" t="str">
        <f t="shared" si="44"/>
        <v>Error?</v>
      </c>
    </row>
    <row r="2914" spans="1:4" x14ac:dyDescent="0.2">
      <c r="A2914" s="5">
        <v>2853</v>
      </c>
      <c r="B2914" s="138">
        <f>'Assets-Liab 5-6'!L33</f>
        <v>388999</v>
      </c>
      <c r="D2914" s="2" t="str">
        <f t="shared" si="44"/>
        <v>Error?</v>
      </c>
    </row>
    <row r="2915" spans="1:4" x14ac:dyDescent="0.2">
      <c r="A2915" s="10">
        <v>2854</v>
      </c>
      <c r="D2915" s="2" t="str">
        <f t="shared" si="44"/>
        <v>OK</v>
      </c>
    </row>
    <row r="2916" spans="1:4" x14ac:dyDescent="0.2">
      <c r="A2916" s="5">
        <v>2855</v>
      </c>
      <c r="B2916" s="138">
        <f>'Assets-Liab 5-6'!L34</f>
        <v>388999</v>
      </c>
      <c r="C2916" s="2" t="s">
        <v>593</v>
      </c>
      <c r="D2916" s="2" t="str">
        <f t="shared" si="44"/>
        <v>Error?</v>
      </c>
    </row>
    <row r="2917" spans="1:4" x14ac:dyDescent="0.2">
      <c r="A2917" s="5">
        <v>2856</v>
      </c>
      <c r="B2917" s="138">
        <f>'Assets-Liab 5-6'!L41</f>
        <v>388999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2224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76775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76775</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2224</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453251</v>
      </c>
      <c r="D3055" s="2" t="str">
        <f t="shared" si="46"/>
        <v>Error?</v>
      </c>
    </row>
    <row r="3056" spans="1:4" x14ac:dyDescent="0.2">
      <c r="A3056" s="5">
        <v>2995</v>
      </c>
      <c r="B3056" s="138">
        <f>'Expenditures 15-22'!D10</f>
        <v>66398</v>
      </c>
      <c r="D3056" s="2" t="str">
        <f t="shared" si="46"/>
        <v>Error?</v>
      </c>
    </row>
    <row r="3057" spans="1:4" x14ac:dyDescent="0.2">
      <c r="A3057" s="5">
        <v>2996</v>
      </c>
      <c r="B3057" s="138">
        <f>'Expenditures 15-22'!E10</f>
        <v>1589</v>
      </c>
      <c r="D3057" s="2" t="str">
        <f t="shared" si="46"/>
        <v>Error?</v>
      </c>
    </row>
    <row r="3058" spans="1:4" x14ac:dyDescent="0.2">
      <c r="A3058" s="5">
        <v>2997</v>
      </c>
      <c r="B3058" s="138">
        <f>'Expenditures 15-22'!F10</f>
        <v>31783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553021</v>
      </c>
      <c r="C3062" s="2" t="s">
        <v>593</v>
      </c>
      <c r="D3062" s="2" t="str">
        <f t="shared" si="46"/>
        <v>Error?</v>
      </c>
    </row>
    <row r="3063" spans="1:4" x14ac:dyDescent="0.2">
      <c r="A3063" s="10">
        <v>3002</v>
      </c>
      <c r="D3063" s="2" t="str">
        <f t="shared" si="46"/>
        <v>OK</v>
      </c>
    </row>
    <row r="3064" spans="1:4" x14ac:dyDescent="0.2">
      <c r="A3064" s="5">
        <v>3003</v>
      </c>
      <c r="B3064" s="138">
        <f>'Expenditures 15-22'!D219</f>
        <v>62937</v>
      </c>
      <c r="D3064" s="2" t="str">
        <f t="shared" si="46"/>
        <v>Error?</v>
      </c>
    </row>
    <row r="3065" spans="1:4" x14ac:dyDescent="0.2">
      <c r="A3065" s="5">
        <v>3004</v>
      </c>
      <c r="B3065" s="138">
        <f>'Expenditures 15-22'!K219</f>
        <v>62937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3096983</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108344</v>
      </c>
      <c r="C3225" s="2" t="s">
        <v>593</v>
      </c>
      <c r="D3225" s="2" t="str">
        <f t="shared" si="49"/>
        <v>Error?</v>
      </c>
    </row>
    <row r="3226" spans="1:4" x14ac:dyDescent="0.2">
      <c r="A3226" s="5">
        <v>3165</v>
      </c>
      <c r="B3226" s="138">
        <f>'Acct Summary 7-8'!I8</f>
        <v>108344</v>
      </c>
      <c r="C3226" s="2" t="s">
        <v>593</v>
      </c>
      <c r="D3226" s="2" t="str">
        <f t="shared" si="49"/>
        <v>Error?</v>
      </c>
    </row>
    <row r="3227" spans="1:4" x14ac:dyDescent="0.2">
      <c r="A3227" s="5">
        <v>3166</v>
      </c>
      <c r="B3227" s="138">
        <f>'Acct Summary 7-8'!I20</f>
        <v>108344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676795</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676795</v>
      </c>
      <c r="C3232" s="2" t="s">
        <v>593</v>
      </c>
      <c r="D3232" s="2" t="str">
        <f t="shared" si="49"/>
        <v>Error?</v>
      </c>
    </row>
    <row r="3233" spans="1:4" x14ac:dyDescent="0.2">
      <c r="A3233" s="5">
        <v>3172</v>
      </c>
      <c r="B3233" s="138">
        <f>'Acct Summary 7-8'!C78</f>
        <v>3044990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1800</v>
      </c>
      <c r="C3238" s="2" t="s">
        <v>593</v>
      </c>
      <c r="D3238" s="2" t="str">
        <f t="shared" si="49"/>
        <v>Error?</v>
      </c>
    </row>
    <row r="3239" spans="1:4" x14ac:dyDescent="0.2">
      <c r="A3239" s="5">
        <v>3178</v>
      </c>
      <c r="B3239" s="138">
        <f>'Acct Summary 7-8'!D78</f>
        <v>381625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3496983</v>
      </c>
      <c r="C3252" s="2" t="s">
        <v>593</v>
      </c>
      <c r="D3252" s="2" t="str">
        <f t="shared" si="49"/>
        <v>Error?</v>
      </c>
    </row>
    <row r="3253" spans="1:4" x14ac:dyDescent="0.2">
      <c r="A3253" s="5">
        <v>3192</v>
      </c>
      <c r="B3253" s="138">
        <f>'Acct Summary 7-8'!F75</f>
        <v>448579</v>
      </c>
      <c r="D3253" s="2" t="str">
        <f t="shared" si="49"/>
        <v>Error?</v>
      </c>
    </row>
    <row r="3254" spans="1:4" x14ac:dyDescent="0.2">
      <c r="A3254" s="5">
        <v>3193</v>
      </c>
      <c r="B3254" s="138">
        <f>'Acct Summary 7-8'!F76</f>
        <v>448579</v>
      </c>
      <c r="C3254" s="2" t="s">
        <v>593</v>
      </c>
      <c r="D3254" s="2" t="str">
        <f t="shared" si="49"/>
        <v>Error?</v>
      </c>
    </row>
    <row r="3255" spans="1:4" x14ac:dyDescent="0.2">
      <c r="A3255" s="5">
        <v>3194</v>
      </c>
      <c r="B3255" s="138">
        <f>'Acct Summary 7-8'!F77</f>
        <v>3048404</v>
      </c>
      <c r="C3255" s="2" t="s">
        <v>593</v>
      </c>
      <c r="D3255" s="2" t="str">
        <f t="shared" si="49"/>
        <v>Error?</v>
      </c>
    </row>
    <row r="3256" spans="1:4" x14ac:dyDescent="0.2">
      <c r="A3256" s="5">
        <v>3195</v>
      </c>
      <c r="B3256" s="138">
        <f>'Acct Summary 7-8'!F78</f>
        <v>690956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-78119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448579</v>
      </c>
      <c r="D3273" s="2" t="str">
        <f t="shared" si="50"/>
        <v>Error?</v>
      </c>
    </row>
    <row r="3274" spans="1:4" x14ac:dyDescent="0.2">
      <c r="A3274" s="5">
        <v>3213</v>
      </c>
      <c r="B3274" s="138">
        <f>'Acct Summary 7-8'!E44</f>
        <v>448579</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448579</v>
      </c>
      <c r="C3277" s="2" t="s">
        <v>593</v>
      </c>
      <c r="D3277" s="2" t="str">
        <f t="shared" si="50"/>
        <v>Error?</v>
      </c>
    </row>
    <row r="3278" spans="1:4" x14ac:dyDescent="0.2">
      <c r="A3278" s="5">
        <v>3217</v>
      </c>
      <c r="B3278" s="138">
        <f>'Acct Summary 7-8'!E78</f>
        <v>-35218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-204930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900000</v>
      </c>
      <c r="C3318" s="2" t="s">
        <v>593</v>
      </c>
      <c r="D3318" s="2" t="str">
        <f t="shared" si="50"/>
        <v>Error?</v>
      </c>
    </row>
    <row r="3319" spans="1:4" x14ac:dyDescent="0.2">
      <c r="A3319" s="5">
        <v>3258</v>
      </c>
      <c r="B3319" s="138">
        <f>'Acct Summary 7-8'!I77</f>
        <v>-900000</v>
      </c>
      <c r="C3319" s="2" t="s">
        <v>593</v>
      </c>
      <c r="D3319" s="2" t="str">
        <f t="shared" si="50"/>
        <v>Error?</v>
      </c>
    </row>
    <row r="3320" spans="1:4" x14ac:dyDescent="0.2">
      <c r="A3320" s="5">
        <v>3259</v>
      </c>
      <c r="B3320" s="138">
        <f>'Acct Summary 7-8'!I78</f>
        <v>-791656</v>
      </c>
      <c r="C3320" s="2" t="s">
        <v>593</v>
      </c>
      <c r="D3320" s="2" t="str">
        <f t="shared" si="50"/>
        <v>Error?</v>
      </c>
    </row>
    <row r="3321" spans="1:4" x14ac:dyDescent="0.2">
      <c r="A3321" s="5">
        <v>3260</v>
      </c>
      <c r="B3321" s="138">
        <f>'Acct Summary 7-8'!I79</f>
        <v>1993127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1201471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1947201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105872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44655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11490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2109719</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114173</v>
      </c>
      <c r="D3387" s="2" t="str">
        <f t="shared" si="51"/>
        <v>Error?</v>
      </c>
    </row>
    <row r="3388" spans="1:4" x14ac:dyDescent="0.2">
      <c r="A3388" s="5">
        <v>3327</v>
      </c>
      <c r="B3388" s="138">
        <f>'Expenditures 15-22'!D217</f>
        <v>168629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114173</v>
      </c>
      <c r="C3390" s="2" t="s">
        <v>593</v>
      </c>
      <c r="D3390" s="2" t="str">
        <f t="shared" si="51"/>
        <v>Error?</v>
      </c>
    </row>
    <row r="3391" spans="1:4" x14ac:dyDescent="0.2">
      <c r="A3391" s="5">
        <v>3330</v>
      </c>
      <c r="B3391" s="138">
        <f>'Expenditures 15-22'!K217</f>
        <v>168629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2602038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825015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46798</v>
      </c>
      <c r="D3417" s="2" t="str">
        <f t="shared" si="52"/>
        <v>Error?</v>
      </c>
    </row>
    <row r="3418" spans="1:4" x14ac:dyDescent="0.2">
      <c r="A3418" s="10">
        <v>3357</v>
      </c>
      <c r="D3418" s="2" t="str">
        <f t="shared" si="52"/>
        <v>OK</v>
      </c>
    </row>
    <row r="3419" spans="1:4" x14ac:dyDescent="0.2">
      <c r="A3419" s="5">
        <v>3358</v>
      </c>
      <c r="B3419" s="138">
        <f>'Assets-Liab 5-6'!F4</f>
        <v>354390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97806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239447</v>
      </c>
      <c r="D3425" s="2" t="str">
        <f t="shared" si="52"/>
        <v>Error?</v>
      </c>
    </row>
    <row r="3426" spans="1:4" x14ac:dyDescent="0.2">
      <c r="A3426" s="10">
        <v>3365</v>
      </c>
      <c r="D3426" s="2" t="str">
        <f t="shared" si="52"/>
        <v>OK</v>
      </c>
    </row>
    <row r="3427" spans="1:4" x14ac:dyDescent="0.2">
      <c r="A3427" s="5">
        <v>3366</v>
      </c>
      <c r="B3427" s="138">
        <f>'Assets-Liab 5-6'!I4</f>
        <v>1201471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388999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430349</v>
      </c>
      <c r="C3446" s="2" t="s">
        <v>593</v>
      </c>
      <c r="D3446" s="2" t="str">
        <f t="shared" si="52"/>
        <v>Error?</v>
      </c>
    </row>
    <row r="3447" spans="1:4" x14ac:dyDescent="0.2">
      <c r="A3447" s="5">
        <v>3386</v>
      </c>
      <c r="B3447" s="138">
        <f>'Tax Sched 23'!D16</f>
        <v>408411</v>
      </c>
      <c r="C3447" s="2" t="s">
        <v>593</v>
      </c>
      <c r="D3447" s="2" t="str">
        <f t="shared" si="52"/>
        <v>Error?</v>
      </c>
    </row>
    <row r="3448" spans="1:4" x14ac:dyDescent="0.2">
      <c r="A3448" s="5">
        <v>3387</v>
      </c>
      <c r="B3448" s="138">
        <f>'Tax Sched 23'!C16</f>
        <v>21938</v>
      </c>
      <c r="D3448" s="2" t="str">
        <f t="shared" si="52"/>
        <v>Error?</v>
      </c>
    </row>
    <row r="3449" spans="1:4" x14ac:dyDescent="0.2">
      <c r="A3449" s="5">
        <v>3388</v>
      </c>
      <c r="B3449" s="138">
        <f>'Tax Sched 23'!F16</f>
        <v>496563</v>
      </c>
      <c r="C3449" s="2" t="s">
        <v>593</v>
      </c>
      <c r="D3449" s="2" t="str">
        <f t="shared" si="52"/>
        <v>Error?</v>
      </c>
    </row>
    <row r="3450" spans="1:4" x14ac:dyDescent="0.2">
      <c r="A3450" s="5">
        <v>3389</v>
      </c>
      <c r="B3450" s="138">
        <f>'Tax Sched 23'!E16</f>
        <v>518501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176795</v>
      </c>
      <c r="D3530" s="2" t="str">
        <f t="shared" si="54"/>
        <v>Error?</v>
      </c>
    </row>
    <row r="3531" spans="1:4" x14ac:dyDescent="0.2">
      <c r="A3531" s="5">
        <v>3470</v>
      </c>
      <c r="B3531" s="138">
        <f>'Acct Summary 7-8'!D36</f>
        <v>1800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407768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407768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407768</v>
      </c>
      <c r="D3567" s="2" t="str">
        <f t="shared" si="54"/>
        <v>Error?</v>
      </c>
    </row>
    <row r="3568" spans="1:4" x14ac:dyDescent="0.2">
      <c r="A3568" s="5">
        <v>3507</v>
      </c>
      <c r="B3568" s="138">
        <f>'Assets-Liab 5-6'!K41</f>
        <v>407768</v>
      </c>
      <c r="C3568" s="2" t="s">
        <v>593</v>
      </c>
      <c r="D3568" s="2" t="str">
        <f t="shared" si="54"/>
        <v>Error?</v>
      </c>
    </row>
    <row r="3569" spans="1:4" x14ac:dyDescent="0.2">
      <c r="A3569" s="5">
        <v>3508</v>
      </c>
      <c r="B3569" s="138">
        <f>'Acct Summary 7-8'!K4</f>
        <v>102985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102985</v>
      </c>
      <c r="C3571" s="2" t="s">
        <v>593</v>
      </c>
      <c r="D3571" s="2" t="str">
        <f t="shared" si="54"/>
        <v>Error?</v>
      </c>
    </row>
    <row r="3572" spans="1:4" x14ac:dyDescent="0.2">
      <c r="A3572" s="5">
        <v>3511</v>
      </c>
      <c r="B3572" s="138">
        <f>'Acct Summary 7-8'!K13</f>
        <v>1008208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1008208</v>
      </c>
      <c r="C3575" s="2" t="s">
        <v>593</v>
      </c>
      <c r="D3575" s="2" t="str">
        <f t="shared" si="54"/>
        <v>Error?</v>
      </c>
    </row>
    <row r="3576" spans="1:4" x14ac:dyDescent="0.2">
      <c r="A3576" s="5">
        <v>3515</v>
      </c>
      <c r="B3576" s="138">
        <f>'Acct Summary 7-8'!K20</f>
        <v>-905223</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-905223</v>
      </c>
      <c r="C3588" s="2" t="s">
        <v>593</v>
      </c>
      <c r="D3588" s="2" t="str">
        <f t="shared" si="55"/>
        <v>Error?</v>
      </c>
    </row>
    <row r="3589" spans="1:4" x14ac:dyDescent="0.2">
      <c r="A3589" s="5">
        <v>3528</v>
      </c>
      <c r="B3589" s="138">
        <f>'Acct Summary 7-8'!K79</f>
        <v>1312991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407768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12425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12425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12425</v>
      </c>
      <c r="C3635" s="2" t="s">
        <v>593</v>
      </c>
      <c r="D3635" s="2" t="str">
        <f t="shared" si="55"/>
        <v>Error?</v>
      </c>
    </row>
    <row r="3636" spans="1:4" x14ac:dyDescent="0.2">
      <c r="A3636" s="5">
        <v>3575</v>
      </c>
      <c r="B3636" s="138">
        <f>'Expenditures 15-22'!E367</f>
        <v>12425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995783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995783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995783</v>
      </c>
      <c r="C3649" s="2" t="s">
        <v>593</v>
      </c>
      <c r="D3649" s="2" t="str">
        <f t="shared" si="56"/>
        <v>Error?</v>
      </c>
    </row>
    <row r="3650" spans="1:4" x14ac:dyDescent="0.2">
      <c r="A3650" s="5">
        <v>3589</v>
      </c>
      <c r="B3650" s="138">
        <f>'Expenditures 15-22'!G367</f>
        <v>995783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1008208</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1008208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1008208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1008208</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-905223</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96007</v>
      </c>
      <c r="C3725" s="2" t="s">
        <v>593</v>
      </c>
      <c r="D3725" s="2" t="str">
        <f t="shared" si="57"/>
        <v>Error?</v>
      </c>
    </row>
    <row r="3726" spans="1:4" x14ac:dyDescent="0.2">
      <c r="A3726" s="5">
        <v>3665</v>
      </c>
      <c r="B3726" s="138">
        <f>'Tax Sched 23'!D13</f>
        <v>91611</v>
      </c>
      <c r="C3726" s="2" t="s">
        <v>593</v>
      </c>
      <c r="D3726" s="2" t="str">
        <f t="shared" si="57"/>
        <v>Error?</v>
      </c>
    </row>
    <row r="3727" spans="1:4" x14ac:dyDescent="0.2">
      <c r="A3727" s="5">
        <v>3666</v>
      </c>
      <c r="B3727" s="138">
        <f>'Tax Sched 23'!C13</f>
        <v>4396</v>
      </c>
      <c r="D3727" s="2" t="str">
        <f t="shared" si="57"/>
        <v>Error?</v>
      </c>
    </row>
    <row r="3728" spans="1:4" x14ac:dyDescent="0.2">
      <c r="A3728" s="5">
        <v>3667</v>
      </c>
      <c r="B3728" s="138">
        <f>'Tax Sched 23'!F13</f>
        <v>99512</v>
      </c>
      <c r="C3728" s="2" t="s">
        <v>593</v>
      </c>
      <c r="D3728" s="2" t="str">
        <f t="shared" si="57"/>
        <v>Error?</v>
      </c>
    </row>
    <row r="3729" spans="1:4" x14ac:dyDescent="0.2">
      <c r="A3729" s="5">
        <v>3668</v>
      </c>
      <c r="B3729" s="138">
        <f>'Tax Sched 23'!E13</f>
        <v>103908</v>
      </c>
      <c r="D3729" s="2" t="str">
        <f t="shared" si="57"/>
        <v>Error?</v>
      </c>
    </row>
    <row r="3730" spans="1:4" x14ac:dyDescent="0.2">
      <c r="A3730" s="5">
        <v>3669</v>
      </c>
      <c r="B3730" s="138">
        <f>'ICR Computation 30'!E10</f>
        <v>578547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8158287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27110799</v>
      </c>
      <c r="C4122" s="2" t="s">
        <v>593</v>
      </c>
      <c r="D4122" s="2" t="str">
        <f t="shared" si="63"/>
        <v>Error?</v>
      </c>
    </row>
    <row r="4123" spans="1:4" x14ac:dyDescent="0.2">
      <c r="A4123" s="5">
        <v>4062</v>
      </c>
      <c r="B4123" s="138">
        <f>'Acct Summary 7-8'!D10</f>
        <v>1027871</v>
      </c>
      <c r="C4123" s="2" t="s">
        <v>593</v>
      </c>
      <c r="D4123" s="2" t="str">
        <f t="shared" si="63"/>
        <v>Error?</v>
      </c>
    </row>
    <row r="4124" spans="1:4" x14ac:dyDescent="0.2">
      <c r="A4124" s="5">
        <v>4063</v>
      </c>
      <c r="B4124" s="138">
        <f>'Acct Summary 7-8'!E10</f>
        <v>1862143</v>
      </c>
      <c r="C4124" s="2" t="s">
        <v>593</v>
      </c>
      <c r="D4124" s="2" t="str">
        <f t="shared" si="63"/>
        <v>Error?</v>
      </c>
    </row>
    <row r="4125" spans="1:4" x14ac:dyDescent="0.2">
      <c r="A4125" s="5">
        <v>4064</v>
      </c>
      <c r="B4125" s="138">
        <f>'Acct Summary 7-8'!F10</f>
        <v>1582816</v>
      </c>
      <c r="C4125" s="2" t="s">
        <v>593</v>
      </c>
      <c r="D4125" s="2" t="str">
        <f t="shared" si="63"/>
        <v>Error?</v>
      </c>
    </row>
    <row r="4126" spans="1:4" x14ac:dyDescent="0.2">
      <c r="A4126" s="5">
        <v>4065</v>
      </c>
      <c r="B4126" s="138">
        <f>'Acct Summary 7-8'!G10</f>
        <v>1100551</v>
      </c>
      <c r="C4126" s="2" t="s">
        <v>593</v>
      </c>
      <c r="D4126" s="2" t="str">
        <f t="shared" si="63"/>
        <v>Error?</v>
      </c>
    </row>
    <row r="4127" spans="1:4" x14ac:dyDescent="0.2">
      <c r="A4127" s="5">
        <v>4066</v>
      </c>
      <c r="B4127" s="138">
        <f>'Acct Summary 7-8'!H10</f>
        <v>3864</v>
      </c>
      <c r="C4127" s="2" t="s">
        <v>593</v>
      </c>
      <c r="D4127" s="2" t="str">
        <f t="shared" si="63"/>
        <v>Error?</v>
      </c>
    </row>
    <row r="4128" spans="1:4" x14ac:dyDescent="0.2">
      <c r="A4128" s="5">
        <v>4067</v>
      </c>
      <c r="B4128" s="138">
        <f>'Acct Summary 7-8'!I10</f>
        <v>108344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102985</v>
      </c>
      <c r="C4130" s="2" t="s">
        <v>593</v>
      </c>
      <c r="D4130" s="2" t="str">
        <f t="shared" si="63"/>
        <v>Error?</v>
      </c>
    </row>
    <row r="4131" spans="1:4" x14ac:dyDescent="0.2">
      <c r="A4131" s="5">
        <v>4070</v>
      </c>
      <c r="B4131" s="138">
        <f>'Acct Summary 7-8'!C18</f>
        <v>8158287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24742604</v>
      </c>
      <c r="C4136" s="2" t="s">
        <v>593</v>
      </c>
      <c r="D4136" s="2" t="str">
        <f t="shared" si="63"/>
        <v>Error?</v>
      </c>
    </row>
    <row r="4137" spans="1:4" x14ac:dyDescent="0.2">
      <c r="A4137" s="5">
        <v>4076</v>
      </c>
      <c r="B4137" s="138">
        <f>'Acct Summary 7-8'!D19</f>
        <v>648046</v>
      </c>
      <c r="C4137" s="2" t="s">
        <v>593</v>
      </c>
      <c r="D4137" s="2" t="str">
        <f t="shared" si="63"/>
        <v>Error?</v>
      </c>
    </row>
    <row r="4138" spans="1:4" x14ac:dyDescent="0.2">
      <c r="A4138" s="5">
        <v>4077</v>
      </c>
      <c r="B4138" s="138">
        <f>'Acct Summary 7-8'!E19</f>
        <v>2345940</v>
      </c>
      <c r="C4138" s="2" t="s">
        <v>593</v>
      </c>
      <c r="D4138" s="2" t="str">
        <f t="shared" si="63"/>
        <v>Error?</v>
      </c>
    </row>
    <row r="4139" spans="1:4" x14ac:dyDescent="0.2">
      <c r="A4139" s="5">
        <v>4078</v>
      </c>
      <c r="B4139" s="138">
        <f>'Acct Summary 7-8'!F19</f>
        <v>3940264</v>
      </c>
      <c r="C4139" s="2" t="s">
        <v>593</v>
      </c>
      <c r="D4139" s="2" t="str">
        <f t="shared" si="63"/>
        <v>Error?</v>
      </c>
    </row>
    <row r="4140" spans="1:4" x14ac:dyDescent="0.2">
      <c r="A4140" s="5">
        <v>4079</v>
      </c>
      <c r="B4140" s="138">
        <f>'Acct Summary 7-8'!G19</f>
        <v>1178670</v>
      </c>
      <c r="C4140" s="2" t="s">
        <v>593</v>
      </c>
      <c r="D4140" s="2" t="str">
        <f t="shared" si="63"/>
        <v>Error?</v>
      </c>
    </row>
    <row r="4141" spans="1:4" x14ac:dyDescent="0.2">
      <c r="A4141" s="5">
        <v>4080</v>
      </c>
      <c r="B4141" s="138">
        <f>'Acct Summary 7-8'!H19</f>
        <v>208794</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1008208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17972365</v>
      </c>
      <c r="C4171" s="2" t="s">
        <v>593</v>
      </c>
      <c r="D4171" s="2" t="str">
        <f t="shared" si="64"/>
        <v>Error?</v>
      </c>
    </row>
    <row r="4172" spans="1:4" x14ac:dyDescent="0.2">
      <c r="A4172" s="5">
        <v>4111</v>
      </c>
      <c r="B4172" s="138">
        <f>'Short-Term Long-Term Debt 24'!J49</f>
        <v>17925567</v>
      </c>
      <c r="C4172" s="2" t="s">
        <v>593</v>
      </c>
      <c r="D4172" s="2" t="str">
        <f t="shared" si="64"/>
        <v>Error?</v>
      </c>
    </row>
    <row r="4173" spans="1:4" x14ac:dyDescent="0.2">
      <c r="A4173" s="5">
        <v>4112</v>
      </c>
      <c r="B4173" s="138">
        <f>'Short-Term Long-Term Debt 24'!H49</f>
        <v>1791503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-112439</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2540</v>
      </c>
      <c r="C4268" s="2" t="s">
        <v>593</v>
      </c>
      <c r="D4268" s="2" t="str">
        <f t="shared" si="65"/>
        <v>Error?</v>
      </c>
    </row>
    <row r="4269" spans="1:5" x14ac:dyDescent="0.2">
      <c r="A4269" s="12">
        <v>4208</v>
      </c>
      <c r="B4269" s="138">
        <f>'FP Info 3'!J16</f>
        <v>5153270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105513</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33554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85972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2315</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137279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13014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207815865</v>
      </c>
      <c r="D4995" s="2" t="str">
        <f t="shared" si="77"/>
        <v>Error?</v>
      </c>
    </row>
    <row r="4996" spans="1:4" x14ac:dyDescent="0.2">
      <c r="A4996" s="12">
        <v>4935</v>
      </c>
      <c r="B4996" s="138">
        <f>'FP Info 3'!H31</f>
        <v>28678589.370000001</v>
      </c>
      <c r="D4996" s="2" t="str">
        <f t="shared" si="77"/>
        <v>Error?</v>
      </c>
    </row>
    <row r="4997" spans="1:4" x14ac:dyDescent="0.2">
      <c r="A4997" s="12">
        <v>4936</v>
      </c>
      <c r="B4997" s="138">
        <f>'FP Info 3'!H37</f>
        <v>17972365</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96007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3533155</v>
      </c>
      <c r="D5061" s="2" t="str">
        <f t="shared" si="78"/>
        <v>Error?</v>
      </c>
    </row>
    <row r="5062" spans="1:4" x14ac:dyDescent="0.2">
      <c r="A5062" s="10">
        <v>5001</v>
      </c>
      <c r="D5062" s="2" t="str">
        <f t="shared" si="78"/>
        <v>OK</v>
      </c>
    </row>
    <row r="5063" spans="1:4" x14ac:dyDescent="0.2">
      <c r="A5063" s="5">
        <v>5002</v>
      </c>
      <c r="B5063" s="138">
        <f>'Revenues 9-14'!C7</f>
        <v>76811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3705973</v>
      </c>
      <c r="C5066" s="2" t="s">
        <v>593</v>
      </c>
      <c r="D5066" s="2" t="str">
        <f t="shared" si="78"/>
        <v>Error?</v>
      </c>
    </row>
    <row r="5067" spans="1:4" x14ac:dyDescent="0.2">
      <c r="A5067" s="5">
        <v>5006</v>
      </c>
      <c r="B5067" s="138">
        <f>'Revenues 9-14'!C14</f>
        <v>6345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257701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264046</v>
      </c>
      <c r="C5071" s="2" t="s">
        <v>593</v>
      </c>
      <c r="D5071" s="2" t="str">
        <f t="shared" si="78"/>
        <v>Error?</v>
      </c>
    </row>
    <row r="5072" spans="1:4" x14ac:dyDescent="0.2">
      <c r="A5072" s="5">
        <v>5011</v>
      </c>
      <c r="B5072" s="138">
        <f>'Revenues 9-14'!C20</f>
        <v>13102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12880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25982</v>
      </c>
      <c r="C5087" s="2" t="s">
        <v>593</v>
      </c>
      <c r="D5087" s="2" t="str">
        <f t="shared" si="78"/>
        <v>Error?</v>
      </c>
    </row>
    <row r="5088" spans="1:4" x14ac:dyDescent="0.2">
      <c r="A5088" s="5">
        <v>5027</v>
      </c>
      <c r="B5088" s="138">
        <f>'Revenues 9-14'!C65</f>
        <v>24374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24374</v>
      </c>
      <c r="C5090" s="2" t="s">
        <v>593</v>
      </c>
      <c r="D5090" s="2" t="str">
        <f t="shared" si="78"/>
        <v>Error?</v>
      </c>
    </row>
    <row r="5091" spans="1:4" x14ac:dyDescent="0.2">
      <c r="A5091" s="5">
        <v>5030</v>
      </c>
      <c r="B5091" s="138">
        <f>'Revenues 9-14'!C70</f>
        <v>158</v>
      </c>
      <c r="D5091" s="2" t="str">
        <f t="shared" si="78"/>
        <v>Error?</v>
      </c>
    </row>
    <row r="5092" spans="1:4" x14ac:dyDescent="0.2">
      <c r="A5092" s="5">
        <v>5031</v>
      </c>
      <c r="B5092" s="138">
        <f>'Revenues 9-14'!C71</f>
        <v>115800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2381</v>
      </c>
      <c r="D5094" s="2" t="str">
        <f t="shared" si="78"/>
        <v>Error?</v>
      </c>
    </row>
    <row r="5095" spans="1:4" x14ac:dyDescent="0.2">
      <c r="A5095" s="5">
        <v>5034</v>
      </c>
      <c r="B5095" s="138">
        <f>'Revenues 9-14'!C74</f>
        <v>13155</v>
      </c>
      <c r="D5095" s="2" t="str">
        <f t="shared" si="78"/>
        <v>Error?</v>
      </c>
    </row>
    <row r="5096" spans="1:4" x14ac:dyDescent="0.2">
      <c r="A5096" s="5">
        <v>5035</v>
      </c>
      <c r="B5096" s="138">
        <f>'Revenues 9-14'!C75</f>
        <v>483365</v>
      </c>
      <c r="C5096" s="2" t="s">
        <v>593</v>
      </c>
      <c r="D5096" s="2" t="str">
        <f t="shared" si="78"/>
        <v>Error?</v>
      </c>
    </row>
    <row r="5097" spans="1:4" x14ac:dyDescent="0.2">
      <c r="A5097" s="5">
        <v>5036</v>
      </c>
      <c r="B5097" s="138">
        <f>'Revenues 9-14'!C77</f>
        <v>44489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43992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88481</v>
      </c>
      <c r="C5102" s="2" t="s">
        <v>593</v>
      </c>
      <c r="D5102" s="2" t="str">
        <f t="shared" si="78"/>
        <v>Error?</v>
      </c>
    </row>
    <row r="5103" spans="1:4" x14ac:dyDescent="0.2">
      <c r="A5103" s="5">
        <v>5042</v>
      </c>
      <c r="B5103" s="138">
        <f>'Revenues 9-14'!C84</f>
        <v>112789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694</v>
      </c>
      <c r="D5111" s="2" t="str">
        <f t="shared" si="78"/>
        <v>Error?</v>
      </c>
    </row>
    <row r="5112" spans="1:4" x14ac:dyDescent="0.2">
      <c r="A5112" s="5">
        <v>5051</v>
      </c>
      <c r="B5112" s="138">
        <f>'Revenues 9-14'!C93</f>
        <v>113483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10000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166200</v>
      </c>
      <c r="D5119" s="2" t="str">
        <f t="shared" ref="D5119:D5182" si="79">IF(ISBLANK(B5119),"OK",IF(A5119-B5119=0,"OK","Error?"))</f>
        <v>Error?</v>
      </c>
    </row>
    <row r="5120" spans="1:4" x14ac:dyDescent="0.2">
      <c r="A5120" s="5">
        <v>5059</v>
      </c>
      <c r="B5120" s="138">
        <f>'Revenues 9-14'!C108</f>
        <v>192303</v>
      </c>
      <c r="C5120" s="2" t="s">
        <v>593</v>
      </c>
      <c r="D5120" s="2" t="str">
        <f t="shared" si="79"/>
        <v>Error?</v>
      </c>
    </row>
    <row r="5121" spans="1:4" x14ac:dyDescent="0.2">
      <c r="A5121" s="5">
        <v>5060</v>
      </c>
      <c r="B5121" s="138">
        <f>'Revenues 9-14'!C109</f>
        <v>4898007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10430457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10430457</v>
      </c>
      <c r="C5132" s="2" t="s">
        <v>593</v>
      </c>
      <c r="D5132" s="2" t="str">
        <f t="shared" si="79"/>
        <v>Error?</v>
      </c>
    </row>
    <row r="5133" spans="1:4" x14ac:dyDescent="0.2">
      <c r="A5133" s="5">
        <v>5072</v>
      </c>
      <c r="B5133" s="138">
        <f>'Revenues 9-14'!C124</f>
        <v>87401</v>
      </c>
      <c r="D5133" s="2" t="str">
        <f t="shared" si="79"/>
        <v>Error?</v>
      </c>
    </row>
    <row r="5134" spans="1:4" x14ac:dyDescent="0.2">
      <c r="A5134" s="5">
        <v>5073</v>
      </c>
      <c r="B5134" s="138">
        <f>'Revenues 9-14'!C125</f>
        <v>161650</v>
      </c>
      <c r="D5134" s="2" t="str">
        <f t="shared" si="79"/>
        <v>Error?</v>
      </c>
    </row>
    <row r="5135" spans="1:4" x14ac:dyDescent="0.2">
      <c r="A5135" s="5">
        <v>5074</v>
      </c>
      <c r="B5135" s="138">
        <f>'Revenues 9-14'!C126</f>
        <v>226453</v>
      </c>
      <c r="D5135" s="2" t="str">
        <f t="shared" si="79"/>
        <v>Error?</v>
      </c>
    </row>
    <row r="5136" spans="1:4" x14ac:dyDescent="0.2">
      <c r="A5136" s="10">
        <v>5075</v>
      </c>
      <c r="D5136" s="2" t="str">
        <f t="shared" si="79"/>
        <v>OK</v>
      </c>
    </row>
    <row r="5137" spans="1:4" x14ac:dyDescent="0.2">
      <c r="A5137" s="5">
        <v>5076</v>
      </c>
      <c r="B5137" s="138">
        <f>'Revenues 9-14'!C127</f>
        <v>77754</v>
      </c>
      <c r="D5137" s="2" t="str">
        <f t="shared" si="79"/>
        <v>Error?</v>
      </c>
    </row>
    <row r="5138" spans="1:4" x14ac:dyDescent="0.2">
      <c r="A5138" s="10">
        <v>5077</v>
      </c>
      <c r="D5138" s="2" t="str">
        <f t="shared" si="79"/>
        <v>OK</v>
      </c>
    </row>
    <row r="5139" spans="1:4" x14ac:dyDescent="0.2">
      <c r="A5139" s="5">
        <v>5078</v>
      </c>
      <c r="B5139" s="138">
        <f>'Revenues 9-14'!C128</f>
        <v>11906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33099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598263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57716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57716</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10239</v>
      </c>
      <c r="D5167" s="2" t="str">
        <f t="shared" si="79"/>
        <v>Error?</v>
      </c>
    </row>
    <row r="5168" spans="1:4" x14ac:dyDescent="0.2">
      <c r="A5168" s="5">
        <v>5107</v>
      </c>
      <c r="B5168" s="138">
        <f>'Revenues 9-14'!C147</f>
        <v>25779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226073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918070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11348527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543735</v>
      </c>
      <c r="D5239" s="2" t="str">
        <f t="shared" si="80"/>
        <v>Error?</v>
      </c>
    </row>
    <row r="5240" spans="1:4" x14ac:dyDescent="0.2">
      <c r="A5240" s="5">
        <v>5179</v>
      </c>
      <c r="B5240" s="138">
        <f>'Revenues 9-14'!C195</f>
        <v>1300</v>
      </c>
      <c r="D5240" s="2" t="str">
        <f t="shared" si="80"/>
        <v>Error?</v>
      </c>
    </row>
    <row r="5241" spans="1:4" x14ac:dyDescent="0.2">
      <c r="A5241" s="5">
        <v>5180</v>
      </c>
      <c r="B5241" s="138">
        <f>'Revenues 9-14'!C196</f>
        <v>185099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835647</v>
      </c>
      <c r="C5246" s="2" t="s">
        <v>593</v>
      </c>
      <c r="D5246" s="2" t="str">
        <f t="shared" si="80"/>
        <v>Error?</v>
      </c>
    </row>
    <row r="5247" spans="1:4" x14ac:dyDescent="0.2">
      <c r="A5247" s="5">
        <v>5186</v>
      </c>
      <c r="B5247" s="138">
        <f>'Revenues 9-14'!C203</f>
        <v>863112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2315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863112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28549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679589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708138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26947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26947</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2705978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2705978</v>
      </c>
      <c r="C5326" s="2" t="s">
        <v>593</v>
      </c>
      <c r="D5326" s="2" t="str">
        <f t="shared" si="82"/>
        <v>Error?</v>
      </c>
    </row>
    <row r="5327" spans="1:4" x14ac:dyDescent="0.2">
      <c r="A5327" s="5">
        <v>5266</v>
      </c>
      <c r="B5327" s="138">
        <f>'Revenues 9-14'!C275</f>
        <v>18952512</v>
      </c>
      <c r="C5327" s="2" t="s">
        <v>593</v>
      </c>
      <c r="D5327" s="2" t="str">
        <f t="shared" si="82"/>
        <v>Error?</v>
      </c>
    </row>
    <row r="5328" spans="1:4" x14ac:dyDescent="0.2">
      <c r="A5328" s="5">
        <v>5267</v>
      </c>
      <c r="B5328" s="138">
        <f>'Revenues 9-14'!D5</f>
        <v>960095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960095</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10461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10461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39575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17740</v>
      </c>
      <c r="D5354" s="2" t="str">
        <f t="shared" si="82"/>
        <v>Error?</v>
      </c>
    </row>
    <row r="5355" spans="1:4" x14ac:dyDescent="0.2">
      <c r="A5355" s="5">
        <v>5294</v>
      </c>
      <c r="B5355" s="138">
        <f>'Revenues 9-14'!D108</f>
        <v>57315</v>
      </c>
      <c r="C5355" s="2" t="s">
        <v>593</v>
      </c>
      <c r="D5355" s="2" t="str">
        <f t="shared" si="82"/>
        <v>Error?</v>
      </c>
    </row>
    <row r="5356" spans="1:4" x14ac:dyDescent="0.2">
      <c r="A5356" s="5">
        <v>5295</v>
      </c>
      <c r="B5356" s="138">
        <f>'Revenues 9-14'!D109</f>
        <v>1027871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1027871</v>
      </c>
      <c r="C5508" s="2" t="s">
        <v>593</v>
      </c>
      <c r="D5508" s="2" t="str">
        <f t="shared" si="85"/>
        <v>Error?</v>
      </c>
    </row>
    <row r="5509" spans="1:4" x14ac:dyDescent="0.2">
      <c r="A5509" s="5">
        <v>5448</v>
      </c>
      <c r="B5509" s="138">
        <f>'Revenues 9-14'!E5</f>
        <v>1827856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1827856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9764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9764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24523</v>
      </c>
      <c r="D5525" s="2" t="str">
        <f t="shared" si="85"/>
        <v>Error?</v>
      </c>
    </row>
    <row r="5526" spans="1:4" x14ac:dyDescent="0.2">
      <c r="A5526" s="5">
        <v>5465</v>
      </c>
      <c r="B5526" s="138">
        <f>'Revenues 9-14'!E108</f>
        <v>24523</v>
      </c>
      <c r="C5526" s="2" t="s">
        <v>593</v>
      </c>
      <c r="D5526" s="2" t="str">
        <f t="shared" si="85"/>
        <v>Error?</v>
      </c>
    </row>
    <row r="5527" spans="1:4" x14ac:dyDescent="0.2">
      <c r="A5527" s="5">
        <v>5466</v>
      </c>
      <c r="B5527" s="138">
        <f>'Revenues 9-14'!E109</f>
        <v>1862143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1862143</v>
      </c>
      <c r="C5552" s="2" t="s">
        <v>593</v>
      </c>
      <c r="D5552" s="2" t="str">
        <f t="shared" si="85"/>
        <v>Error?</v>
      </c>
    </row>
    <row r="5553" spans="1:4" x14ac:dyDescent="0.2">
      <c r="A5553" s="5">
        <v>5492</v>
      </c>
      <c r="B5553" s="138">
        <f>'Revenues 9-14'!F5</f>
        <v>384036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384036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12024</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12024</v>
      </c>
      <c r="C5579" s="2" t="s">
        <v>593</v>
      </c>
      <c r="D5579" s="2" t="str">
        <f t="shared" si="86"/>
        <v>Error?</v>
      </c>
    </row>
    <row r="5580" spans="1:4" x14ac:dyDescent="0.2">
      <c r="A5580" s="5">
        <v>5519</v>
      </c>
      <c r="B5580" s="138">
        <f>'Revenues 9-14'!F65</f>
        <v>2044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2044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146</v>
      </c>
      <c r="D5586" s="2" t="str">
        <f t="shared" si="86"/>
        <v>Error?</v>
      </c>
    </row>
    <row r="5587" spans="1:4" x14ac:dyDescent="0.2">
      <c r="A5587" s="5">
        <v>5526</v>
      </c>
      <c r="B5587" s="138">
        <f>'Revenues 9-14'!F108</f>
        <v>146</v>
      </c>
      <c r="C5587" s="2" t="s">
        <v>593</v>
      </c>
      <c r="D5587" s="2" t="str">
        <f t="shared" si="86"/>
        <v>Error?</v>
      </c>
    </row>
    <row r="5588" spans="1:4" x14ac:dyDescent="0.2">
      <c r="A5588" s="5">
        <v>5527</v>
      </c>
      <c r="B5588" s="138">
        <f>'Revenues 9-14'!F109</f>
        <v>398250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180000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503095</v>
      </c>
      <c r="D5615" s="2" t="str">
        <f t="shared" si="86"/>
        <v>Error?</v>
      </c>
    </row>
    <row r="5616" spans="1:4" x14ac:dyDescent="0.2">
      <c r="A5616" s="10">
        <v>5555</v>
      </c>
      <c r="D5616" s="2" t="str">
        <f t="shared" si="86"/>
        <v>OK</v>
      </c>
    </row>
    <row r="5617" spans="1:4" x14ac:dyDescent="0.2">
      <c r="A5617" s="5">
        <v>5556</v>
      </c>
      <c r="B5617" s="138">
        <f>'Revenues 9-14'!F152</f>
        <v>501471</v>
      </c>
      <c r="D5617" s="2" t="str">
        <f t="shared" si="86"/>
        <v>Error?</v>
      </c>
    </row>
    <row r="5618" spans="1:4" x14ac:dyDescent="0.2">
      <c r="A5618" s="5">
        <v>5557</v>
      </c>
      <c r="B5618" s="138">
        <f>'Revenues 9-14'!F154</f>
        <v>1004566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1004566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1184566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1582816</v>
      </c>
      <c r="C5720" s="2" t="s">
        <v>593</v>
      </c>
      <c r="D5720" s="2" t="str">
        <f t="shared" si="88"/>
        <v>Error?</v>
      </c>
    </row>
    <row r="5721" spans="1:4" x14ac:dyDescent="0.2">
      <c r="A5721" s="5">
        <v>5660</v>
      </c>
      <c r="B5721" s="138">
        <f>'Revenues 9-14'!G5</f>
        <v>650579</v>
      </c>
      <c r="D5721" s="2" t="str">
        <f t="shared" si="88"/>
        <v>Error?</v>
      </c>
    </row>
    <row r="5722" spans="1:4" x14ac:dyDescent="0.2">
      <c r="A5722" s="5">
        <v>5661</v>
      </c>
      <c r="B5722" s="138">
        <f>'Revenues 9-14'!G7</f>
        <v>0</v>
      </c>
      <c r="D5722" s="2" t="str">
        <f t="shared" si="88"/>
        <v>Error?</v>
      </c>
    </row>
    <row r="5723" spans="1:4" x14ac:dyDescent="0.2">
      <c r="A5723" s="5">
        <v>5662</v>
      </c>
      <c r="B5723" s="138">
        <f>'Revenues 9-14'!G8</f>
        <v>430349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1080928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15177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15177</v>
      </c>
      <c r="C5730" s="2" t="s">
        <v>593</v>
      </c>
      <c r="D5730" s="2" t="str">
        <f t="shared" si="88"/>
        <v>Error?</v>
      </c>
    </row>
    <row r="5731" spans="1:4" x14ac:dyDescent="0.2">
      <c r="A5731" s="5">
        <v>5670</v>
      </c>
      <c r="B5731" s="138">
        <f>'Revenues 9-14'!G65</f>
        <v>4443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4443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3</v>
      </c>
      <c r="D5736" s="2" t="str">
        <f t="shared" si="88"/>
        <v>Error?</v>
      </c>
    </row>
    <row r="5737" spans="1:4" x14ac:dyDescent="0.2">
      <c r="A5737" s="5">
        <v>5676</v>
      </c>
      <c r="B5737" s="138">
        <f>'Revenues 9-14'!G108</f>
        <v>3</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1100551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3864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3864</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3864</v>
      </c>
      <c r="C5915" s="2" t="s">
        <v>593</v>
      </c>
      <c r="D5915" s="2" t="str">
        <f t="shared" si="91"/>
        <v>Error?</v>
      </c>
    </row>
    <row r="5916" spans="1:4" x14ac:dyDescent="0.2">
      <c r="A5916" s="5">
        <v>5855</v>
      </c>
      <c r="B5916" s="138">
        <f>'Revenues 9-14'!I5</f>
        <v>96007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96007</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12337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12337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108344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96007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96007</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6978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6978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102985</v>
      </c>
      <c r="C6023" s="2" t="s">
        <v>593</v>
      </c>
      <c r="D6023" s="2" t="str">
        <f t="shared" si="93"/>
        <v>Error?</v>
      </c>
    </row>
    <row r="6024" spans="1:5" x14ac:dyDescent="0.2">
      <c r="A6024" s="5">
        <v>5963</v>
      </c>
      <c r="B6024" s="138">
        <f>'Revenues 9-14'!G109</f>
        <v>1100551</v>
      </c>
      <c r="C6024" s="2" t="s">
        <v>593</v>
      </c>
      <c r="D6024" s="2" t="str">
        <f t="shared" si="93"/>
        <v>Error?</v>
      </c>
    </row>
    <row r="6025" spans="1:5" x14ac:dyDescent="0.2">
      <c r="A6025" s="5">
        <v>5964</v>
      </c>
      <c r="B6025" s="138">
        <f>'Revenues 9-14'!H109</f>
        <v>3864</v>
      </c>
      <c r="C6025" s="2" t="s">
        <v>593</v>
      </c>
      <c r="D6025" s="2" t="str">
        <f t="shared" si="93"/>
        <v>Error?</v>
      </c>
    </row>
    <row r="6026" spans="1:5" x14ac:dyDescent="0.2">
      <c r="A6026" s="5">
        <v>5965</v>
      </c>
      <c r="B6026" s="138">
        <f>'Revenues 9-14'!I109</f>
        <v>108344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102985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351871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105513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2270.6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801134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801134</v>
      </c>
      <c r="D6215" s="2" t="str">
        <f t="shared" si="96"/>
        <v>Error?</v>
      </c>
      <c r="E6215" s="2" t="s">
        <v>199</v>
      </c>
    </row>
    <row r="6216" spans="1:5" x14ac:dyDescent="0.2">
      <c r="A6216">
        <v>6155</v>
      </c>
      <c r="B6216" s="138">
        <f>'Assets-Liab 5-6'!J41</f>
        <v>801134</v>
      </c>
      <c r="D6216" s="2" t="str">
        <f t="shared" si="96"/>
        <v>Error?</v>
      </c>
      <c r="E6216" s="2" t="s">
        <v>199</v>
      </c>
    </row>
    <row r="6217" spans="1:5" x14ac:dyDescent="0.2">
      <c r="A6217">
        <v>6156</v>
      </c>
      <c r="B6217" s="138">
        <f>'Assets-Liab 5-6'!J4</f>
        <v>801134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2047767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2047767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2047767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1262732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1262732</v>
      </c>
      <c r="D6229" s="2" t="str">
        <f t="shared" si="96"/>
        <v>Error?</v>
      </c>
      <c r="E6229" s="2" t="s">
        <v>199</v>
      </c>
    </row>
    <row r="6230" spans="1:5" x14ac:dyDescent="0.2">
      <c r="A6230">
        <v>6169</v>
      </c>
      <c r="B6230" s="138">
        <f>'Acct Summary 7-8'!J20</f>
        <v>785035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785035</v>
      </c>
      <c r="D6263" s="2" t="str">
        <f t="shared" si="96"/>
        <v>Error?</v>
      </c>
      <c r="E6263" s="2" t="s">
        <v>199</v>
      </c>
    </row>
    <row r="6264" spans="1:5" x14ac:dyDescent="0.2">
      <c r="A6264">
        <v>6203</v>
      </c>
      <c r="B6264" s="138">
        <f>'Acct Summary 7-8'!J79</f>
        <v>16099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801134</v>
      </c>
      <c r="D6266" s="2" t="str">
        <f t="shared" si="96"/>
        <v>Error?</v>
      </c>
      <c r="E6266" s="2" t="s">
        <v>199</v>
      </c>
    </row>
    <row r="6267" spans="1:5" x14ac:dyDescent="0.2">
      <c r="A6267">
        <v>6206</v>
      </c>
      <c r="B6267" s="138">
        <f>'Acct Summary 7-8'!C82</f>
        <v>3044990</v>
      </c>
      <c r="D6267" s="2" t="str">
        <f t="shared" si="96"/>
        <v>Error?</v>
      </c>
      <c r="E6267" s="2" t="s">
        <v>199</v>
      </c>
    </row>
    <row r="6268" spans="1:5" x14ac:dyDescent="0.2">
      <c r="A6268">
        <v>6207</v>
      </c>
      <c r="B6268" s="138">
        <f>'Acct Summary 7-8'!D82</f>
        <v>381625</v>
      </c>
      <c r="D6268" s="2" t="str">
        <f t="shared" si="96"/>
        <v>Error?</v>
      </c>
      <c r="E6268" s="2" t="s">
        <v>199</v>
      </c>
    </row>
    <row r="6269" spans="1:5" x14ac:dyDescent="0.2">
      <c r="A6269">
        <v>6208</v>
      </c>
      <c r="B6269" s="138">
        <f>'Acct Summary 7-8'!E82</f>
        <v>-35218</v>
      </c>
      <c r="D6269" s="2" t="str">
        <f t="shared" si="96"/>
        <v>Error?</v>
      </c>
      <c r="E6269" s="2" t="s">
        <v>199</v>
      </c>
    </row>
    <row r="6270" spans="1:5" x14ac:dyDescent="0.2">
      <c r="A6270">
        <v>6209</v>
      </c>
      <c r="B6270" s="138">
        <f>'Acct Summary 7-8'!F82</f>
        <v>690956</v>
      </c>
      <c r="D6270" s="2" t="str">
        <f t="shared" si="96"/>
        <v>Error?</v>
      </c>
      <c r="E6270" s="2" t="s">
        <v>199</v>
      </c>
    </row>
    <row r="6271" spans="1:5" x14ac:dyDescent="0.2">
      <c r="A6271">
        <v>6210</v>
      </c>
      <c r="B6271" s="138">
        <f>'Acct Summary 7-8'!G82</f>
        <v>-78119</v>
      </c>
      <c r="D6271" s="2" t="str">
        <f t="shared" ref="D6271:D6334" si="97">IF(ISBLANK(B6271),"OK",IF(A6271-B6271=0,"OK","Error?"))</f>
        <v>Error?</v>
      </c>
      <c r="E6271" s="2" t="s">
        <v>199</v>
      </c>
    </row>
    <row r="6272" spans="1:5" x14ac:dyDescent="0.2">
      <c r="A6272">
        <v>6211</v>
      </c>
      <c r="B6272" s="138">
        <f>'Acct Summary 7-8'!H82</f>
        <v>-204930</v>
      </c>
      <c r="D6272" s="2" t="str">
        <f t="shared" si="97"/>
        <v>Error?</v>
      </c>
      <c r="E6272" s="2" t="s">
        <v>199</v>
      </c>
    </row>
    <row r="6273" spans="1:5" x14ac:dyDescent="0.2">
      <c r="A6273">
        <v>6212</v>
      </c>
      <c r="B6273" s="138">
        <f>'Acct Summary 7-8'!I82</f>
        <v>-791656</v>
      </c>
      <c r="D6273" s="2" t="str">
        <f t="shared" si="97"/>
        <v>Error?</v>
      </c>
      <c r="E6273" s="2" t="s">
        <v>199</v>
      </c>
    </row>
    <row r="6274" spans="1:5" x14ac:dyDescent="0.2">
      <c r="A6274">
        <v>6213</v>
      </c>
      <c r="B6274" s="138">
        <f>'Acct Summary 7-8'!J82</f>
        <v>785035</v>
      </c>
      <c r="D6274" s="2" t="str">
        <f t="shared" si="97"/>
        <v>Error?</v>
      </c>
      <c r="E6274" s="2" t="s">
        <v>199</v>
      </c>
    </row>
    <row r="6275" spans="1:5" x14ac:dyDescent="0.2">
      <c r="A6275">
        <v>6214</v>
      </c>
      <c r="B6275" s="138">
        <f>'Acct Summary 7-8'!K82</f>
        <v>-905223</v>
      </c>
      <c r="D6275" s="2" t="str">
        <f t="shared" si="97"/>
        <v>Error?</v>
      </c>
      <c r="E6275" s="2" t="s">
        <v>199</v>
      </c>
    </row>
    <row r="6276" spans="1:5" x14ac:dyDescent="0.2">
      <c r="A6276">
        <v>6215</v>
      </c>
      <c r="B6276" s="138">
        <f>'Acct Summary 7-8'!C83</f>
        <v>1.0983251298336383</v>
      </c>
      <c r="D6276" s="2" t="str">
        <f t="shared" si="97"/>
        <v>Error?</v>
      </c>
      <c r="E6276" s="2" t="s">
        <v>199</v>
      </c>
    </row>
    <row r="6277" spans="1:5" x14ac:dyDescent="0.2">
      <c r="A6277">
        <v>6216</v>
      </c>
      <c r="B6277" s="138">
        <f>'Acct Summary 7-8'!D83</f>
        <v>0.46256734726035287</v>
      </c>
      <c r="D6277" s="2" t="str">
        <f t="shared" si="97"/>
        <v>Error?</v>
      </c>
      <c r="E6277" s="2" t="s">
        <v>199</v>
      </c>
    </row>
    <row r="6278" spans="1:5" x14ac:dyDescent="0.2">
      <c r="A6278">
        <v>6217</v>
      </c>
      <c r="B6278" s="138">
        <f>'Acct Summary 7-8'!E83</f>
        <v>-0.75255352792854391</v>
      </c>
      <c r="D6278" s="2" t="str">
        <f t="shared" si="97"/>
        <v>Error?</v>
      </c>
      <c r="E6278" s="2" t="s">
        <v>199</v>
      </c>
    </row>
    <row r="6279" spans="1:5" x14ac:dyDescent="0.2">
      <c r="A6279">
        <v>6218</v>
      </c>
      <c r="B6279" s="138">
        <f>'Acct Summary 7-8'!F83</f>
        <v>1.9497051271198398</v>
      </c>
      <c r="D6279" s="2" t="str">
        <f t="shared" si="97"/>
        <v>Error?</v>
      </c>
      <c r="E6279" s="2" t="s">
        <v>199</v>
      </c>
    </row>
    <row r="6280" spans="1:5" x14ac:dyDescent="0.2">
      <c r="A6280">
        <v>6219</v>
      </c>
      <c r="B6280" s="138">
        <f>'Acct Summary 7-8'!G83</f>
        <v>-0.79871378034067442</v>
      </c>
      <c r="D6280" s="2" t="str">
        <f t="shared" si="97"/>
        <v>Error?</v>
      </c>
      <c r="E6280" s="2" t="s">
        <v>199</v>
      </c>
    </row>
    <row r="6281" spans="1:5" x14ac:dyDescent="0.2">
      <c r="A6281">
        <v>6220</v>
      </c>
      <c r="B6281" s="138">
        <f>'Acct Summary 7-8'!H83</f>
        <v>-0.85584701416179776</v>
      </c>
      <c r="D6281" s="2" t="str">
        <f t="shared" si="97"/>
        <v>Error?</v>
      </c>
      <c r="E6281" s="2" t="s">
        <v>199</v>
      </c>
    </row>
    <row r="6282" spans="1:5" x14ac:dyDescent="0.2">
      <c r="A6282">
        <v>6221</v>
      </c>
      <c r="B6282" s="138">
        <f>'Acct Summary 7-8'!I83</f>
        <v>-0.65890562485486537</v>
      </c>
      <c r="D6282" s="2" t="str">
        <f t="shared" si="97"/>
        <v>Error?</v>
      </c>
      <c r="E6282" s="2" t="s">
        <v>199</v>
      </c>
    </row>
    <row r="6283" spans="1:5" x14ac:dyDescent="0.2">
      <c r="A6283">
        <v>6222</v>
      </c>
      <c r="B6283" s="138">
        <f>'Acct Summary 7-8'!J83</f>
        <v>0.97990473503808351</v>
      </c>
      <c r="D6283" s="2" t="str">
        <f t="shared" si="97"/>
        <v>Error?</v>
      </c>
      <c r="E6283" s="2" t="s">
        <v>199</v>
      </c>
    </row>
    <row r="6284" spans="1:5" x14ac:dyDescent="0.2">
      <c r="A6284">
        <v>6223</v>
      </c>
      <c r="B6284" s="138">
        <f>'Acct Summary 7-8'!K83</f>
        <v>-2.2199461458476391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2028170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2028170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13622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13622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5975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16103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5975</v>
      </c>
      <c r="D6351" s="2" t="str">
        <f t="shared" si="98"/>
        <v>Error?</v>
      </c>
      <c r="E6351" s="2" t="s">
        <v>199</v>
      </c>
    </row>
    <row r="6352" spans="1:5" x14ac:dyDescent="0.2">
      <c r="A6352">
        <v>6291</v>
      </c>
      <c r="B6352" s="138">
        <f>'Revenues 9-14'!J109</f>
        <v>2047767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85395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107744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92584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31152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434338</v>
      </c>
      <c r="D6880" s="2" t="str">
        <f t="shared" si="106"/>
        <v>Error?</v>
      </c>
    </row>
    <row r="6881" spans="1:4" x14ac:dyDescent="0.2">
      <c r="A6881">
        <v>6820</v>
      </c>
      <c r="B6881" s="138">
        <f>'Expenditures 15-22'!K22</f>
        <v>434338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72153</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72153</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72153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134331</v>
      </c>
      <c r="D6998" s="2" t="str">
        <f t="shared" si="108"/>
        <v>Error?</v>
      </c>
    </row>
    <row r="6999" spans="1:4" x14ac:dyDescent="0.2">
      <c r="A6999">
        <v>6938</v>
      </c>
      <c r="B6999" s="138">
        <f>'Expenditures 15-22'!K94</f>
        <v>134331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134331</v>
      </c>
      <c r="D7012" s="2" t="str">
        <f t="shared" si="108"/>
        <v>Error?</v>
      </c>
    </row>
    <row r="7013" spans="1:4" x14ac:dyDescent="0.2">
      <c r="A7013">
        <v>6952</v>
      </c>
      <c r="B7013" s="138">
        <f>'Expenditures 15-22'!K100</f>
        <v>134331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72153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1262732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2047767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6423</v>
      </c>
      <c r="D7073" s="2" t="str">
        <f t="shared" si="109"/>
        <v>Error?</v>
      </c>
    </row>
    <row r="7074" spans="1:4" x14ac:dyDescent="0.2">
      <c r="A7074">
        <v>7013</v>
      </c>
      <c r="B7074" s="138">
        <f>'Expenditures 15-22'!K216</f>
        <v>6423</v>
      </c>
      <c r="D7074" s="2" t="str">
        <f t="shared" si="109"/>
        <v>Error?</v>
      </c>
    </row>
    <row r="7075" spans="1:4" x14ac:dyDescent="0.2">
      <c r="A7075">
        <v>7014</v>
      </c>
      <c r="B7075" s="138">
        <f>'Expenditures 15-22'!D218</f>
        <v>11629</v>
      </c>
      <c r="D7075" s="2" t="str">
        <f t="shared" si="109"/>
        <v>Error?</v>
      </c>
    </row>
    <row r="7076" spans="1:4" x14ac:dyDescent="0.2">
      <c r="A7076">
        <v>7015</v>
      </c>
      <c r="B7076" s="138">
        <f>'Expenditures 15-22'!K218</f>
        <v>11629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412</v>
      </c>
      <c r="D7079" s="2" t="str">
        <f t="shared" si="109"/>
        <v>Error?</v>
      </c>
    </row>
    <row r="7080" spans="1:4" x14ac:dyDescent="0.2">
      <c r="A7080">
        <v>7019</v>
      </c>
      <c r="B7080" s="138">
        <f>'Expenditures 15-22'!K226</f>
        <v>412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74402</v>
      </c>
      <c r="D7093" s="2" t="str">
        <f t="shared" si="109"/>
        <v>Error?</v>
      </c>
    </row>
    <row r="7094" spans="1:4" x14ac:dyDescent="0.2">
      <c r="A7094">
        <v>7033</v>
      </c>
      <c r="B7094" s="138">
        <f>'Expenditures 15-22'!K254</f>
        <v>74402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196303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196303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16503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16503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147952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147952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3027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3027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5885</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5885</v>
      </c>
      <c r="D7171" s="2" t="str">
        <f t="shared" si="111"/>
        <v>Error?</v>
      </c>
    </row>
    <row r="7172" spans="1:4" x14ac:dyDescent="0.2">
      <c r="A7172">
        <v>7111</v>
      </c>
      <c r="B7172" s="138">
        <f>'Expenditures 15-22'!C325</f>
        <v>739682</v>
      </c>
      <c r="D7172" s="2" t="str">
        <f t="shared" si="111"/>
        <v>Error?</v>
      </c>
    </row>
    <row r="7173" spans="1:4" x14ac:dyDescent="0.2">
      <c r="A7173">
        <v>7112</v>
      </c>
      <c r="B7173" s="138">
        <f>'Expenditures 15-22'!D325</f>
        <v>43939</v>
      </c>
      <c r="D7173" s="2" t="str">
        <f t="shared" si="111"/>
        <v>Error?</v>
      </c>
    </row>
    <row r="7174" spans="1:4" x14ac:dyDescent="0.2">
      <c r="A7174">
        <v>7113</v>
      </c>
      <c r="B7174" s="138">
        <f>'Expenditures 15-22'!E325</f>
        <v>109441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893062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739682</v>
      </c>
      <c r="D7199" s="2" t="str">
        <f t="shared" si="111"/>
        <v>Error?</v>
      </c>
    </row>
    <row r="7200" spans="1:4" x14ac:dyDescent="0.2">
      <c r="A7200">
        <v>7139</v>
      </c>
      <c r="B7200" s="138">
        <f>'Expenditures 15-22'!D330</f>
        <v>43939</v>
      </c>
      <c r="D7200" s="2" t="str">
        <f t="shared" si="111"/>
        <v>Error?</v>
      </c>
    </row>
    <row r="7201" spans="1:4" x14ac:dyDescent="0.2">
      <c r="A7201">
        <v>7140</v>
      </c>
      <c r="B7201" s="138">
        <f>'Expenditures 15-22'!E330</f>
        <v>479111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1262732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739682</v>
      </c>
      <c r="D7216" s="2" t="str">
        <f t="shared" si="111"/>
        <v>Error?</v>
      </c>
    </row>
    <row r="7217" spans="1:4" x14ac:dyDescent="0.2">
      <c r="A7217">
        <v>7156</v>
      </c>
      <c r="B7217" s="138">
        <f>'Expenditures 15-22'!D342</f>
        <v>43939</v>
      </c>
      <c r="D7217" s="2" t="str">
        <f t="shared" si="111"/>
        <v>Error?</v>
      </c>
    </row>
    <row r="7218" spans="1:4" x14ac:dyDescent="0.2">
      <c r="A7218">
        <v>7157</v>
      </c>
      <c r="B7218" s="138">
        <f>'Expenditures 15-22'!E342</f>
        <v>479111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1262732</v>
      </c>
      <c r="D7224" s="2" t="str">
        <f t="shared" si="111"/>
        <v>Error?</v>
      </c>
    </row>
    <row r="7225" spans="1:4" x14ac:dyDescent="0.2">
      <c r="A7225">
        <v>7164</v>
      </c>
      <c r="B7225" s="138">
        <f>'Expenditures 15-22'!K343</f>
        <v>785035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5678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8162</v>
      </c>
      <c r="D7248" s="2" t="str">
        <f t="shared" si="112"/>
        <v>Error?</v>
      </c>
    </row>
    <row r="7249" spans="1:4" x14ac:dyDescent="0.2">
      <c r="A7249">
        <f t="shared" si="113"/>
        <v>7188</v>
      </c>
      <c r="B7249" s="138">
        <f>'Expenditures 15-22'!G7</f>
        <v>8509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84813</v>
      </c>
      <c r="D7251" s="2" t="str">
        <f t="shared" si="112"/>
        <v>Error?</v>
      </c>
    </row>
    <row r="7252" spans="1:4" x14ac:dyDescent="0.2">
      <c r="A7252">
        <f t="shared" si="113"/>
        <v>7191</v>
      </c>
      <c r="B7252" s="138">
        <f>'Expenditures 15-22'!D9</f>
        <v>7280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491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29205</v>
      </c>
      <c r="D7263" s="2" t="str">
        <f t="shared" si="112"/>
        <v>Error?</v>
      </c>
    </row>
    <row r="7264" spans="1:4" x14ac:dyDescent="0.2">
      <c r="A7264">
        <f t="shared" si="113"/>
        <v>7203</v>
      </c>
      <c r="B7264" s="138">
        <f>'Expenditures 15-22'!D17</f>
        <v>1699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248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2531827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16103</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16103</v>
      </c>
      <c r="D7719" s="2" t="str">
        <f t="shared" si="126"/>
        <v>Error?</v>
      </c>
      <c r="E7719" s="2" t="s">
        <v>880</v>
      </c>
    </row>
    <row r="7720" spans="1:6" x14ac:dyDescent="0.2">
      <c r="A7720">
        <v>7659</v>
      </c>
      <c r="B7720" s="138">
        <f>'Rest Tax Levies-Tort Im 25'!H14</f>
        <v>76811</v>
      </c>
      <c r="D7720" s="2" t="str">
        <f t="shared" si="126"/>
        <v>Error?</v>
      </c>
      <c r="E7720" s="2" t="s">
        <v>880</v>
      </c>
    </row>
    <row r="7721" spans="1:6" x14ac:dyDescent="0.2">
      <c r="A7721">
        <v>7660</v>
      </c>
      <c r="B7721" s="138">
        <f>'Rest Tax Levies-Tort Im 25'!K14</f>
        <v>16103</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500000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400000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15000</v>
      </c>
      <c r="D7797" s="2" t="str">
        <f t="shared" si="127"/>
        <v>Error?</v>
      </c>
      <c r="E7797" s="4" t="s">
        <v>2016</v>
      </c>
    </row>
    <row r="7798" spans="1:5" x14ac:dyDescent="0.2">
      <c r="A7798">
        <v>7737</v>
      </c>
      <c r="B7798" s="138">
        <f>'Contracts Paid in CY 29'!F141</f>
        <v>15000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A4" zoomScale="110" zoomScaleNormal="110" workbookViewId="0">
      <selection activeCell="AA7" sqref="AA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1252</v>
      </c>
      <c r="B2" s="2400"/>
      <c r="C2" s="2400"/>
      <c r="D2" s="2400"/>
      <c r="E2" s="2400"/>
      <c r="F2" s="2400"/>
      <c r="G2" s="2400"/>
      <c r="H2" s="2400"/>
      <c r="I2" s="2400"/>
      <c r="J2" s="2400"/>
      <c r="K2" s="2400"/>
      <c r="L2" s="2400"/>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00" t="s">
        <v>1798</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2" t="str">
        <f>COVER!A17</f>
        <v>Bethalto CUSD 8</v>
      </c>
      <c r="B7" s="2423"/>
      <c r="C7" s="2423"/>
      <c r="D7" s="2424"/>
      <c r="E7" s="2425">
        <f>COVER!A13</f>
        <v>41057008026</v>
      </c>
      <c r="F7" s="2426"/>
      <c r="G7" s="2432" t="str">
        <f>COVER!T23</f>
        <v>066-005060</v>
      </c>
      <c r="H7" s="2433"/>
      <c r="I7" s="2433"/>
      <c r="J7" s="2433"/>
      <c r="K7" s="2433"/>
      <c r="L7" s="243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5"/>
      <c r="B9" s="2436"/>
      <c r="C9" s="2436"/>
      <c r="D9" s="2436"/>
      <c r="E9" s="2436"/>
      <c r="F9" s="2437"/>
      <c r="G9" s="2406" t="str">
        <f>COVER!T13</f>
        <v>DENNIS ROSE &amp; ASSOCIATES, P.C.</v>
      </c>
      <c r="H9" s="2438"/>
      <c r="I9" s="2438"/>
      <c r="J9" s="2438"/>
      <c r="K9" s="2438"/>
      <c r="L9" s="2439"/>
    </row>
    <row r="10" spans="1:29" ht="13.5" customHeight="1" x14ac:dyDescent="0.2">
      <c r="A10" s="2412">
        <f>COVER!A38</f>
        <v>0</v>
      </c>
      <c r="B10" s="2413"/>
      <c r="C10" s="2413"/>
      <c r="D10" s="2413"/>
      <c r="E10" s="2413"/>
      <c r="F10" s="2414"/>
      <c r="G10" s="2406" t="str">
        <f>COVER!T17</f>
        <v xml:space="preserve">1904 STATE STREET </v>
      </c>
      <c r="H10" s="2407"/>
      <c r="I10" s="2407"/>
      <c r="J10" s="2407"/>
      <c r="K10" s="2407"/>
      <c r="L10" s="2408"/>
    </row>
    <row r="11" spans="1:29" ht="13.5" customHeight="1" x14ac:dyDescent="0.2">
      <c r="A11" s="1185" t="s">
        <v>1598</v>
      </c>
      <c r="B11" s="1186"/>
      <c r="C11" s="1187"/>
      <c r="D11" s="1192"/>
      <c r="E11" s="1187"/>
      <c r="F11" s="1191"/>
      <c r="G11" s="2406" t="str">
        <f>COVER!T19</f>
        <v>ALTON</v>
      </c>
      <c r="H11" s="2407"/>
      <c r="I11" s="2407"/>
      <c r="J11" s="2407"/>
      <c r="K11" s="2407"/>
      <c r="L11" s="2408"/>
    </row>
    <row r="12" spans="1:29" ht="13.5" customHeight="1" x14ac:dyDescent="0.2">
      <c r="A12" s="2415" t="s">
        <v>1597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1599</v>
      </c>
      <c r="H13" s="2402"/>
      <c r="I13" s="2418" t="str">
        <f>COVER!T25</f>
        <v>DROSECPA@DRA-CPA.COM</v>
      </c>
      <c r="J13" s="2419"/>
      <c r="K13" s="2419"/>
      <c r="L13" s="2420"/>
    </row>
    <row r="14" spans="1:29" ht="13.5" customHeight="1" x14ac:dyDescent="0.2">
      <c r="A14" s="2406" t="str">
        <f>COVER!A19</f>
        <v>610 TEXAS BLVD</v>
      </c>
      <c r="B14" s="2407"/>
      <c r="C14" s="2407"/>
      <c r="D14" s="2407"/>
      <c r="E14" s="2407"/>
      <c r="F14" s="2408"/>
      <c r="G14" s="1196" t="s">
        <v>1246</v>
      </c>
      <c r="H14" s="1194"/>
      <c r="I14" s="1194"/>
      <c r="J14" s="1194"/>
      <c r="K14" s="1194"/>
      <c r="L14" s="1195"/>
    </row>
    <row r="15" spans="1:29" ht="13.5" customHeight="1" x14ac:dyDescent="0.2">
      <c r="A15" s="2406" t="str">
        <f>COVER!A21</f>
        <v>BETHALTO</v>
      </c>
      <c r="B15" s="2407"/>
      <c r="C15" s="2407"/>
      <c r="D15" s="2407"/>
      <c r="E15" s="2407"/>
      <c r="F15" s="2408"/>
      <c r="G15" s="2403" t="str">
        <f>COVER!T15</f>
        <v>DENNIS ROSE</v>
      </c>
      <c r="H15" s="2404"/>
      <c r="I15" s="2404"/>
      <c r="J15" s="2404"/>
      <c r="K15" s="2404"/>
      <c r="L15" s="2405"/>
    </row>
    <row r="16" spans="1:29" ht="12.2" customHeight="1" x14ac:dyDescent="0.2">
      <c r="A16" s="2428">
        <f>COVER!A25</f>
        <v>62010</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1245</v>
      </c>
      <c r="H17" s="1194"/>
      <c r="I17" s="1194"/>
      <c r="J17" s="1194"/>
      <c r="K17" s="1198" t="s">
        <v>1244</v>
      </c>
      <c r="L17" s="1191"/>
      <c r="M17" s="1184"/>
    </row>
    <row r="18" spans="1:13" ht="12.2" customHeight="1" x14ac:dyDescent="0.2">
      <c r="A18" s="2412"/>
      <c r="B18" s="2413"/>
      <c r="C18" s="2413"/>
      <c r="D18" s="2413"/>
      <c r="E18" s="2413"/>
      <c r="F18" s="2414"/>
      <c r="G18" s="2422" t="str">
        <f>COVER!T21</f>
        <v>618-465-4999</v>
      </c>
      <c r="H18" s="2423"/>
      <c r="I18" s="2423"/>
      <c r="J18" s="2423"/>
      <c r="K18" s="2422" t="str">
        <f>COVER!X21</f>
        <v>618-465-5050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55" fitToHeight="0" orientation="portrait" r:id="rId1"/>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61" zoomScale="125" zoomScaleNormal="125" workbookViewId="0">
      <selection activeCell="I33" sqref="I3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Bethalto CUSD 8</v>
      </c>
      <c r="B1" s="2421"/>
      <c r="C1" s="2421"/>
      <c r="D1" s="2421"/>
    </row>
    <row r="2" spans="1:11" s="1215" customFormat="1" ht="12.75" x14ac:dyDescent="0.2">
      <c r="A2" s="2445">
        <f>'Single Audit Cover'!E7</f>
        <v>41057008026</v>
      </c>
      <c r="B2" s="2446"/>
      <c r="C2" s="2446"/>
      <c r="D2" s="2446"/>
    </row>
    <row r="3" spans="1:11" s="1215" customFormat="1" ht="12.75" x14ac:dyDescent="0.2">
      <c r="A3" s="2444" t="s">
        <v>1592</v>
      </c>
      <c r="B3" s="2421"/>
      <c r="C3" s="2421"/>
      <c r="D3" s="242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75" right="0.75" top="1" bottom="0.5" header="0.5" footer="0.5"/>
  <pageSetup scale="64" firstPageNumber="36"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Bethalto CUSD 8</v>
      </c>
      <c r="B1" s="2448"/>
      <c r="C1" s="2448"/>
      <c r="D1" s="2448"/>
      <c r="E1" s="2448"/>
    </row>
    <row r="2" spans="1:5" x14ac:dyDescent="0.2">
      <c r="A2" s="2449">
        <f>'Single Audit Cover'!E7</f>
        <v>41057008026</v>
      </c>
      <c r="B2" s="2449"/>
      <c r="C2" s="2449"/>
      <c r="D2" s="2449"/>
      <c r="E2" s="2449"/>
    </row>
    <row r="3" spans="1:5" ht="4.5" customHeight="1" x14ac:dyDescent="0.2"/>
    <row r="4" spans="1:5" x14ac:dyDescent="0.2">
      <c r="A4" s="2448" t="s">
        <v>1306</v>
      </c>
      <c r="B4" s="2448"/>
      <c r="C4" s="2448"/>
      <c r="D4" s="2448"/>
      <c r="E4" s="2448"/>
    </row>
    <row r="5" spans="1:5" x14ac:dyDescent="0.2">
      <c r="A5" s="2451" t="str">
        <f>'Single Audit Cover'!A4</f>
        <v>Year Ending June 30, 2018</v>
      </c>
      <c r="B5" s="2451"/>
      <c r="C5" s="2451"/>
      <c r="D5" s="2451"/>
      <c r="E5" s="2451"/>
    </row>
    <row r="6" spans="1:5" x14ac:dyDescent="0.2">
      <c r="A6" s="2448" t="s">
        <v>1305</v>
      </c>
      <c r="B6" s="2448"/>
      <c r="C6" s="2448"/>
      <c r="D6" s="2448"/>
      <c r="E6" s="2448"/>
    </row>
    <row r="8" spans="1:5" x14ac:dyDescent="0.2">
      <c r="A8" s="1260" t="s">
        <v>1304</v>
      </c>
    </row>
    <row r="10" spans="1:5" x14ac:dyDescent="0.2">
      <c r="A10" s="1261" t="s">
        <v>1303</v>
      </c>
      <c r="B10" s="1262" t="s">
        <v>1302</v>
      </c>
      <c r="C10" s="1262"/>
      <c r="D10" s="1263">
        <f>SUM('Acct Summary 7-8'!C7:K7)</f>
        <v>2705978</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105513</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-85972</v>
      </c>
    </row>
    <row r="19" spans="1:4" ht="13.5" thickBot="1" x14ac:dyDescent="0.25">
      <c r="A19" s="1265" t="s">
        <v>1296</v>
      </c>
      <c r="D19" s="1266">
        <f>SUM(D10:D17)</f>
        <v>2725519</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0" t="s">
        <v>2152</v>
      </c>
      <c r="B24" s="2450"/>
      <c r="D24" s="1268">
        <v>-105513</v>
      </c>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1294</v>
      </c>
      <c r="D32" s="1263">
        <f>SUM(D19:D30)</f>
        <v>2620006</v>
      </c>
    </row>
    <row r="33" spans="1:4" x14ac:dyDescent="0.2">
      <c r="D33" s="1269"/>
    </row>
    <row r="34" spans="1:4" x14ac:dyDescent="0.2">
      <c r="A34" s="317" t="s">
        <v>1293</v>
      </c>
    </row>
    <row r="35" spans="1:4" x14ac:dyDescent="0.2">
      <c r="A35" s="317" t="s">
        <v>1292</v>
      </c>
      <c r="B35" s="1258" t="s">
        <v>1291</v>
      </c>
      <c r="D35" s="1270">
        <f>+' SEFA (4)'!F18</f>
        <v>2620006</v>
      </c>
    </row>
    <row r="37" spans="1:4" x14ac:dyDescent="0.2">
      <c r="A37" s="1260" t="s">
        <v>1290</v>
      </c>
    </row>
    <row r="39" spans="1:4" ht="13.35" customHeight="1" x14ac:dyDescent="0.2">
      <c r="A39" s="1267" t="s">
        <v>1289</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1288</v>
      </c>
      <c r="C47" s="1272"/>
      <c r="D47" s="1273">
        <f>SUM(D35:D45)</f>
        <v>2620006</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77" orientation="portrait" r:id="rId1"/>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C1" zoomScale="120" zoomScaleNormal="120" workbookViewId="0">
      <selection activeCell="H9" sqref="H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Bethalto CUSD 8</v>
      </c>
      <c r="B1" s="2461"/>
      <c r="C1" s="2461"/>
      <c r="D1" s="2461"/>
      <c r="E1" s="2461"/>
      <c r="F1" s="2461"/>
    </row>
    <row r="2" spans="1:7" ht="13.5" customHeight="1" x14ac:dyDescent="0.2">
      <c r="A2" s="2462">
        <f>'Single Audit Cover'!E7</f>
        <v>41057008026</v>
      </c>
      <c r="B2" s="2462"/>
      <c r="C2" s="2462"/>
      <c r="D2" s="2462"/>
      <c r="E2" s="2462"/>
      <c r="F2" s="2462"/>
      <c r="G2" s="1275"/>
    </row>
    <row r="3" spans="1:7" ht="15.75" customHeight="1" x14ac:dyDescent="0.2">
      <c r="A3" s="2463" t="s">
        <v>1332</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1830</v>
      </c>
      <c r="C6" s="317"/>
      <c r="D6" s="317"/>
    </row>
    <row r="7" spans="1:7" ht="60.95" customHeight="1" x14ac:dyDescent="0.2">
      <c r="A7" s="2460" t="s">
        <v>2192</v>
      </c>
      <c r="B7" s="2460"/>
      <c r="C7" s="2460"/>
      <c r="D7" s="2460"/>
      <c r="E7" s="2460"/>
      <c r="F7" s="246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0" t="s">
        <v>2100</v>
      </c>
      <c r="B13" s="2460"/>
      <c r="C13" s="2460"/>
      <c r="D13" s="2460"/>
      <c r="E13" s="2460"/>
      <c r="F13" s="2460"/>
    </row>
    <row r="14" spans="1:7" ht="9.75" customHeight="1" x14ac:dyDescent="0.2">
      <c r="C14" s="1260"/>
      <c r="D14" s="1260"/>
    </row>
    <row r="15" spans="1:7" ht="13.5" customHeight="1" x14ac:dyDescent="0.2">
      <c r="C15" s="1871" t="s">
        <v>1331</v>
      </c>
      <c r="D15" s="2458" t="s">
        <v>1330</v>
      </c>
      <c r="E15" s="2458"/>
      <c r="F15" s="2458"/>
    </row>
    <row r="16" spans="1:7" ht="13.5" customHeight="1" x14ac:dyDescent="0.2">
      <c r="A16" s="1282"/>
      <c r="B16" s="1276" t="s">
        <v>1329</v>
      </c>
      <c r="C16" s="1871" t="s">
        <v>1328</v>
      </c>
      <c r="D16" s="2459" t="s">
        <v>1669</v>
      </c>
      <c r="E16" s="2459"/>
      <c r="F16" s="2459"/>
    </row>
    <row r="17" spans="1:6" ht="20.45" customHeight="1" x14ac:dyDescent="0.2">
      <c r="A17" s="1283"/>
      <c r="B17" s="1284" t="s">
        <v>2101</v>
      </c>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4" t="s">
        <v>2102</v>
      </c>
      <c r="B32" s="2454"/>
      <c r="C32" s="2454"/>
      <c r="D32" s="2454"/>
      <c r="E32" s="2454"/>
      <c r="F32" s="2454"/>
    </row>
    <row r="33" spans="1:6" ht="13.5" customHeight="1" x14ac:dyDescent="0.2">
      <c r="A33" s="328" t="s">
        <v>1508</v>
      </c>
      <c r="B33" s="328"/>
      <c r="C33" s="1288">
        <v>94245</v>
      </c>
      <c r="D33" s="1928"/>
      <c r="E33" s="1286"/>
    </row>
    <row r="34" spans="1:6" ht="13.5" customHeight="1" x14ac:dyDescent="0.2">
      <c r="A34" s="328" t="s">
        <v>1945</v>
      </c>
      <c r="B34" s="328"/>
      <c r="C34" s="1289">
        <v>11268</v>
      </c>
      <c r="D34" s="1928" t="s">
        <v>1670</v>
      </c>
      <c r="E34" s="2455">
        <f>+C33+C34</f>
        <v>105513</v>
      </c>
      <c r="F34" s="2456"/>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t="s">
        <v>101</v>
      </c>
      <c r="D38" s="1928"/>
      <c r="E38" s="1286"/>
    </row>
    <row r="39" spans="1:6" ht="14.25" customHeight="1" x14ac:dyDescent="0.2">
      <c r="A39" s="328"/>
      <c r="B39" s="328" t="s">
        <v>1510</v>
      </c>
      <c r="C39" s="1292" t="s">
        <v>101</v>
      </c>
      <c r="D39" s="1928"/>
      <c r="E39" s="1286"/>
    </row>
    <row r="40" spans="1:6" ht="14.25" customHeight="1" x14ac:dyDescent="0.2">
      <c r="A40" s="328"/>
      <c r="B40" s="328" t="s">
        <v>1511</v>
      </c>
      <c r="C40" s="1292" t="s">
        <v>101</v>
      </c>
      <c r="D40" s="1928"/>
      <c r="E40" s="1286"/>
    </row>
    <row r="41" spans="1:6" ht="14.25" customHeight="1" x14ac:dyDescent="0.2">
      <c r="A41" s="328"/>
      <c r="B41" s="328" t="s">
        <v>1512</v>
      </c>
      <c r="C41" s="1292" t="s">
        <v>101</v>
      </c>
      <c r="D41" s="1928"/>
      <c r="E41" s="1286"/>
    </row>
    <row r="42" spans="1:6" ht="14.25" customHeight="1" x14ac:dyDescent="0.2">
      <c r="A42" s="328" t="s">
        <v>1513</v>
      </c>
      <c r="B42" s="328"/>
      <c r="C42" s="1926" t="s">
        <v>101</v>
      </c>
      <c r="D42" s="1928"/>
      <c r="E42" s="1286"/>
    </row>
    <row r="43" spans="1:6" ht="14.25" customHeight="1" x14ac:dyDescent="0.2">
      <c r="A43" s="328" t="s">
        <v>1514</v>
      </c>
      <c r="B43" s="328"/>
      <c r="C43" s="1293" t="s">
        <v>101</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1671</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1631</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78" orientation="portrait" r:id="rId1"/>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F15" sqref="F15:F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Bethalto CUSD 8</v>
      </c>
      <c r="C1" s="2465"/>
      <c r="D1" s="2465"/>
      <c r="E1" s="2465"/>
      <c r="F1" s="2465"/>
      <c r="G1" s="2465"/>
      <c r="H1" s="2465"/>
      <c r="I1" s="2465"/>
      <c r="J1" s="2465"/>
      <c r="K1" s="2465"/>
      <c r="L1" s="2465"/>
      <c r="M1" s="2465"/>
    </row>
    <row r="2" spans="2:14" ht="15" x14ac:dyDescent="0.2">
      <c r="B2" s="2462">
        <f>'Single Audit Cover'!E7</f>
        <v>41057008026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2106</v>
      </c>
      <c r="C12" s="1341"/>
      <c r="D12" s="1342"/>
      <c r="E12" s="1343"/>
      <c r="F12" s="1343"/>
      <c r="G12" s="1343"/>
      <c r="H12" s="1343"/>
      <c r="I12" s="1343"/>
      <c r="J12" s="1343"/>
      <c r="K12" s="1343"/>
      <c r="L12" s="1340">
        <f t="shared" ref="L12:L27" si="0">+G12+I12+K12</f>
        <v>0</v>
      </c>
      <c r="M12" s="1343"/>
    </row>
    <row r="13" spans="2:14" ht="20.100000000000001" customHeight="1" x14ac:dyDescent="0.2">
      <c r="B13" s="1337" t="s">
        <v>2107</v>
      </c>
      <c r="C13" s="1341" t="s">
        <v>2108</v>
      </c>
      <c r="D13" s="1342" t="s">
        <v>2109</v>
      </c>
      <c r="E13" s="1343">
        <v>246899</v>
      </c>
      <c r="F13" s="1343">
        <v>497721</v>
      </c>
      <c r="G13" s="1343">
        <v>654907</v>
      </c>
      <c r="H13" s="1343"/>
      <c r="I13" s="1343">
        <v>89713</v>
      </c>
      <c r="J13" s="1343"/>
      <c r="K13" s="1343"/>
      <c r="L13" s="1340">
        <f t="shared" si="0"/>
        <v>744620</v>
      </c>
      <c r="M13" s="1343">
        <v>857151</v>
      </c>
    </row>
    <row r="14" spans="2:14" ht="20.100000000000001" customHeight="1" x14ac:dyDescent="0.2">
      <c r="B14" s="1337" t="s">
        <v>2107</v>
      </c>
      <c r="C14" s="1341" t="s">
        <v>2108</v>
      </c>
      <c r="D14" s="1342" t="s">
        <v>2110</v>
      </c>
      <c r="E14" s="1343"/>
      <c r="F14" s="1343">
        <v>365391</v>
      </c>
      <c r="G14" s="1343"/>
      <c r="H14" s="1343"/>
      <c r="I14" s="1343">
        <v>582675</v>
      </c>
      <c r="J14" s="1343"/>
      <c r="K14" s="1343"/>
      <c r="L14" s="1340">
        <f t="shared" si="0"/>
        <v>582675</v>
      </c>
      <c r="M14" s="1343">
        <v>812735</v>
      </c>
    </row>
    <row r="15" spans="2:14" ht="20.100000000000001" customHeight="1" x14ac:dyDescent="0.2">
      <c r="B15" s="1337" t="s">
        <v>2111</v>
      </c>
      <c r="C15" s="1341" t="s">
        <v>2112</v>
      </c>
      <c r="D15" s="1342" t="s">
        <v>2113</v>
      </c>
      <c r="E15" s="1343">
        <v>44649</v>
      </c>
      <c r="F15" s="1343">
        <v>61456</v>
      </c>
      <c r="G15" s="1343">
        <v>98184</v>
      </c>
      <c r="H15" s="1343"/>
      <c r="I15" s="1343">
        <v>7921</v>
      </c>
      <c r="J15" s="1343"/>
      <c r="K15" s="1343"/>
      <c r="L15" s="1340">
        <f t="shared" si="0"/>
        <v>106105</v>
      </c>
      <c r="M15" s="1343">
        <v>116165</v>
      </c>
    </row>
    <row r="16" spans="2:14" ht="20.100000000000001" customHeight="1" x14ac:dyDescent="0.2">
      <c r="B16" s="1337" t="s">
        <v>2111</v>
      </c>
      <c r="C16" s="1341" t="s">
        <v>2112</v>
      </c>
      <c r="D16" s="1342" t="s">
        <v>2114</v>
      </c>
      <c r="E16" s="1343"/>
      <c r="F16" s="1343">
        <v>40823</v>
      </c>
      <c r="G16" s="1343"/>
      <c r="H16" s="1343"/>
      <c r="I16" s="1343">
        <v>109587</v>
      </c>
      <c r="J16" s="1343"/>
      <c r="K16" s="1343"/>
      <c r="L16" s="1340">
        <f t="shared" si="0"/>
        <v>109587</v>
      </c>
      <c r="M16" s="1343">
        <v>115915</v>
      </c>
    </row>
    <row r="17" spans="2:14" ht="20.100000000000001" customHeight="1" x14ac:dyDescent="0.2">
      <c r="B17" s="1337" t="s">
        <v>2116</v>
      </c>
      <c r="C17" s="1341" t="s">
        <v>2117</v>
      </c>
      <c r="D17" s="1342" t="s">
        <v>2115</v>
      </c>
      <c r="E17" s="1343"/>
      <c r="F17" s="1343">
        <v>2315</v>
      </c>
      <c r="G17" s="1343"/>
      <c r="H17" s="1343"/>
      <c r="I17" s="1343">
        <v>2315</v>
      </c>
      <c r="J17" s="1343"/>
      <c r="K17" s="1343"/>
      <c r="L17" s="1340">
        <f t="shared" si="0"/>
        <v>2315</v>
      </c>
      <c r="M17" s="1343">
        <v>20746</v>
      </c>
    </row>
    <row r="18" spans="2:14" ht="20.100000000000001" customHeight="1" x14ac:dyDescent="0.2">
      <c r="B18" s="1337" t="s">
        <v>2118</v>
      </c>
      <c r="C18" s="1341"/>
      <c r="D18" s="1342"/>
      <c r="E18" s="1343">
        <f>SUM(E13:E17)</f>
        <v>291548</v>
      </c>
      <c r="F18" s="1343">
        <f t="shared" ref="F18:M18" si="1">SUM(F13:F17)</f>
        <v>967706</v>
      </c>
      <c r="G18" s="1343">
        <f t="shared" si="1"/>
        <v>753091</v>
      </c>
      <c r="H18" s="1343"/>
      <c r="I18" s="1343">
        <f t="shared" si="1"/>
        <v>792211</v>
      </c>
      <c r="J18" s="1343"/>
      <c r="K18" s="1343"/>
      <c r="L18" s="1343">
        <f t="shared" si="1"/>
        <v>1545302</v>
      </c>
      <c r="M18" s="1343">
        <f t="shared" si="1"/>
        <v>1922712</v>
      </c>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2119</v>
      </c>
      <c r="C21" s="1341"/>
      <c r="D21" s="1342"/>
      <c r="E21" s="1343"/>
      <c r="F21" s="1343"/>
      <c r="G21" s="1343"/>
      <c r="H21" s="1343"/>
      <c r="I21" s="1343"/>
      <c r="J21" s="1343"/>
      <c r="K21" s="1343"/>
      <c r="L21" s="1340">
        <f t="shared" si="0"/>
        <v>0</v>
      </c>
      <c r="M21" s="1343"/>
    </row>
    <row r="22" spans="2:14" ht="20.100000000000001" customHeight="1" x14ac:dyDescent="0.2">
      <c r="B22" s="1337" t="s">
        <v>2120</v>
      </c>
      <c r="C22" s="1341">
        <v>84.048000000000002</v>
      </c>
      <c r="D22" s="1342" t="s">
        <v>2121</v>
      </c>
      <c r="E22" s="1343"/>
      <c r="F22" s="1343">
        <v>26947</v>
      </c>
      <c r="G22" s="1343"/>
      <c r="H22" s="1343"/>
      <c r="I22" s="1343">
        <v>26947</v>
      </c>
      <c r="J22" s="1343"/>
      <c r="K22" s="1343"/>
      <c r="L22" s="1340">
        <f t="shared" si="0"/>
        <v>26947</v>
      </c>
      <c r="M22" s="1343">
        <v>26947</v>
      </c>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1229</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t="s">
        <v>2073</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330</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1389</v>
      </c>
      <c r="B70" s="2090"/>
      <c r="C70" s="2090"/>
      <c r="D70" s="2090"/>
      <c r="E70" s="2091"/>
      <c r="F70" s="2091"/>
      <c r="G70" s="2091"/>
      <c r="H70" s="2091"/>
      <c r="I70" s="209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1386</v>
      </c>
      <c r="B83" s="2092"/>
      <c r="C83" s="2092"/>
      <c r="D83" s="209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2075</v>
      </c>
      <c r="D114" s="208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1396</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3" orientation="portrait" useFirstPageNumber="1" r:id="rId1"/>
  <headerFooter>
    <oddHeader>&amp;C&amp;"Times New Roman,Regular"BETHALTO COMMUNITY UNIT SCHOOL DISTRICT NO. 8</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20" sqref="C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Bethalto CUSD 8</v>
      </c>
      <c r="C1" s="2465"/>
      <c r="D1" s="2465"/>
      <c r="E1" s="2465"/>
      <c r="F1" s="2465"/>
      <c r="G1" s="2465"/>
      <c r="H1" s="2465"/>
      <c r="I1" s="2465"/>
      <c r="J1" s="2465"/>
      <c r="K1" s="2465"/>
      <c r="L1" s="2465"/>
      <c r="M1" s="2465"/>
    </row>
    <row r="2" spans="2:14" ht="15" x14ac:dyDescent="0.2">
      <c r="B2" s="2462">
        <f>'Single Audit Cover'!E7</f>
        <v>41057008026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2122</v>
      </c>
      <c r="C11" s="1338"/>
      <c r="D11" s="1339"/>
      <c r="E11" s="1340"/>
      <c r="F11" s="1340"/>
      <c r="G11" s="1340"/>
      <c r="H11" s="1340"/>
      <c r="I11" s="1340"/>
      <c r="J11" s="1340"/>
      <c r="K11" s="1340"/>
      <c r="L11" s="1340">
        <f>+G11+I11+K11</f>
        <v>0</v>
      </c>
      <c r="M11" s="1340"/>
    </row>
    <row r="12" spans="2:14" ht="20.100000000000001" customHeight="1" x14ac:dyDescent="0.2">
      <c r="B12" s="1337" t="s">
        <v>2123</v>
      </c>
      <c r="C12" s="1341">
        <v>84.027000000000001</v>
      </c>
      <c r="D12" s="1342" t="s">
        <v>2125</v>
      </c>
      <c r="E12" s="1343"/>
      <c r="F12" s="1343">
        <v>569830</v>
      </c>
      <c r="G12" s="1343"/>
      <c r="H12" s="1343"/>
      <c r="I12" s="1343">
        <v>574933</v>
      </c>
      <c r="J12" s="1343"/>
      <c r="K12" s="1343"/>
      <c r="L12" s="1340">
        <f t="shared" ref="L12:L27" si="0">+G12+I12+K12</f>
        <v>574933</v>
      </c>
      <c r="M12" s="1343">
        <v>679589</v>
      </c>
    </row>
    <row r="13" spans="2:14" ht="20.100000000000001" customHeight="1" x14ac:dyDescent="0.2">
      <c r="B13" s="1337" t="s">
        <v>2123</v>
      </c>
      <c r="C13" s="1341">
        <v>84.027000000000001</v>
      </c>
      <c r="D13" s="1342" t="s">
        <v>2184</v>
      </c>
      <c r="E13" s="1343">
        <v>574002</v>
      </c>
      <c r="F13" s="1343">
        <v>109759</v>
      </c>
      <c r="G13" s="1343">
        <v>628383</v>
      </c>
      <c r="H13" s="1343"/>
      <c r="I13" s="1343">
        <v>55378</v>
      </c>
      <c r="J13" s="1343"/>
      <c r="K13" s="1343"/>
      <c r="L13" s="1340">
        <f t="shared" si="0"/>
        <v>683761</v>
      </c>
      <c r="M13" s="1343">
        <v>583667</v>
      </c>
    </row>
    <row r="14" spans="2:14" ht="20.100000000000001" customHeight="1" x14ac:dyDescent="0.2">
      <c r="B14" s="1337" t="s">
        <v>2124</v>
      </c>
      <c r="C14" s="1341">
        <v>84.173000000000002</v>
      </c>
      <c r="D14" s="1342" t="s">
        <v>2126</v>
      </c>
      <c r="E14" s="1343"/>
      <c r="F14" s="1343">
        <v>26157</v>
      </c>
      <c r="G14" s="1343"/>
      <c r="H14" s="1343"/>
      <c r="I14" s="1343">
        <v>26629</v>
      </c>
      <c r="J14" s="1343"/>
      <c r="K14" s="1343"/>
      <c r="L14" s="1340">
        <f t="shared" ref="L14" si="1">+G14+I14+K14</f>
        <v>26629</v>
      </c>
      <c r="M14" s="1343">
        <v>28549</v>
      </c>
    </row>
    <row r="15" spans="2:14" ht="20.100000000000001" customHeight="1" x14ac:dyDescent="0.2">
      <c r="B15" s="1337" t="s">
        <v>2124</v>
      </c>
      <c r="C15" s="1341">
        <v>84.173000000000002</v>
      </c>
      <c r="D15" s="1342" t="s">
        <v>2185</v>
      </c>
      <c r="E15" s="1343">
        <v>28356</v>
      </c>
      <c r="F15" s="1343">
        <v>2392</v>
      </c>
      <c r="G15" s="1343">
        <v>28911</v>
      </c>
      <c r="H15" s="1343"/>
      <c r="I15" s="1343">
        <v>1837</v>
      </c>
      <c r="J15" s="1343"/>
      <c r="K15" s="1343"/>
      <c r="L15" s="1340">
        <f t="shared" si="0"/>
        <v>30748</v>
      </c>
      <c r="M15" s="1343">
        <v>30143</v>
      </c>
    </row>
    <row r="16" spans="2:14" ht="20.100000000000001" customHeight="1" x14ac:dyDescent="0.2">
      <c r="B16" s="1337" t="s">
        <v>2127</v>
      </c>
      <c r="C16" s="1341"/>
      <c r="D16" s="1342"/>
      <c r="E16" s="1343">
        <f>SUM(E12:E15)</f>
        <v>602358</v>
      </c>
      <c r="F16" s="1343">
        <f>SUM(F12:F15)</f>
        <v>708138</v>
      </c>
      <c r="G16" s="1343">
        <f>SUM(G12:G15)</f>
        <v>657294</v>
      </c>
      <c r="H16" s="1343"/>
      <c r="I16" s="1343">
        <f>SUM(I12:I15)</f>
        <v>658777</v>
      </c>
      <c r="J16" s="1343"/>
      <c r="K16" s="1343"/>
      <c r="L16" s="1343">
        <f>SUM(L12:L15)</f>
        <v>1316071</v>
      </c>
      <c r="M16" s="1343">
        <f>SUM(M12:M15)</f>
        <v>1321948</v>
      </c>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2128</v>
      </c>
      <c r="C18" s="1341"/>
      <c r="D18" s="1342"/>
      <c r="E18" s="1343"/>
      <c r="F18" s="1343"/>
      <c r="G18" s="1343"/>
      <c r="H18" s="1343"/>
      <c r="I18" s="1343"/>
      <c r="J18" s="1343"/>
      <c r="K18" s="1343"/>
      <c r="L18" s="1340">
        <f t="shared" ref="L18:L19" si="2">+G18+I18+K18</f>
        <v>0</v>
      </c>
      <c r="M18" s="1343"/>
    </row>
    <row r="19" spans="2:14" ht="20.100000000000001" customHeight="1" x14ac:dyDescent="0.2">
      <c r="B19" s="1337" t="s">
        <v>2129</v>
      </c>
      <c r="C19" s="1341">
        <v>84.126000000000005</v>
      </c>
      <c r="D19" s="1342" t="s">
        <v>2186</v>
      </c>
      <c r="E19" s="1343"/>
      <c r="F19" s="1343">
        <v>13014</v>
      </c>
      <c r="G19" s="1343"/>
      <c r="H19" s="1343"/>
      <c r="I19" s="1343">
        <v>13014</v>
      </c>
      <c r="J19" s="1343"/>
      <c r="K19" s="1343"/>
      <c r="L19" s="1340">
        <f t="shared" si="2"/>
        <v>13014</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2168</v>
      </c>
      <c r="C21" s="1341"/>
      <c r="D21" s="1342"/>
      <c r="E21" s="1343"/>
      <c r="F21" s="1343"/>
      <c r="G21" s="1343"/>
      <c r="H21" s="1343"/>
      <c r="I21" s="1343"/>
      <c r="J21" s="1343"/>
      <c r="K21" s="1343"/>
      <c r="L21" s="1340">
        <f t="shared" ref="L21:L23" si="3">+G21+I21+K21</f>
        <v>0</v>
      </c>
      <c r="M21" s="1343"/>
    </row>
    <row r="22" spans="2:14" ht="20.100000000000001" customHeight="1" x14ac:dyDescent="0.2">
      <c r="B22" s="1337" t="s">
        <v>2169</v>
      </c>
      <c r="C22" s="1341"/>
      <c r="D22" s="1342"/>
      <c r="E22" s="1343"/>
      <c r="F22" s="1343"/>
      <c r="G22" s="1343"/>
      <c r="H22" s="1343"/>
      <c r="I22" s="1343"/>
      <c r="J22" s="1343"/>
      <c r="K22" s="1343"/>
      <c r="L22" s="1340">
        <f t="shared" si="3"/>
        <v>0</v>
      </c>
      <c r="M22" s="1343"/>
    </row>
    <row r="23" spans="2:14" ht="20.100000000000001" customHeight="1" x14ac:dyDescent="0.2">
      <c r="B23" s="1337" t="s">
        <v>2170</v>
      </c>
      <c r="C23" s="1341">
        <v>84.367000000000004</v>
      </c>
      <c r="D23" s="1342" t="s">
        <v>2114</v>
      </c>
      <c r="E23" s="1343"/>
      <c r="F23" s="1343">
        <v>35000</v>
      </c>
      <c r="G23" s="1343"/>
      <c r="H23" s="1343"/>
      <c r="I23" s="1343">
        <v>35000</v>
      </c>
      <c r="J23" s="1343"/>
      <c r="K23" s="1343"/>
      <c r="L23" s="1340">
        <f t="shared" si="3"/>
        <v>35000</v>
      </c>
      <c r="M23" s="1343">
        <v>35000</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2130</v>
      </c>
      <c r="C25" s="1341"/>
      <c r="D25" s="1342"/>
      <c r="E25" s="1343">
        <f>+E19+E16+' SEFA'!E18+' SEFA'!E22+E23</f>
        <v>893906</v>
      </c>
      <c r="F25" s="1343">
        <f>+F19+F16+' SEFA'!F18+' SEFA'!F22+F23</f>
        <v>1750805</v>
      </c>
      <c r="G25" s="1343">
        <f>+G19+G16+' SEFA'!G18+' SEFA'!G22+G23</f>
        <v>1410385</v>
      </c>
      <c r="H25" s="1343">
        <f>+H19+H16+' SEFA'!H18+' SEFA'!H22+H23</f>
        <v>0</v>
      </c>
      <c r="I25" s="1343">
        <f>+I19+I16+' SEFA'!I18+' SEFA'!I22+I23</f>
        <v>1525949</v>
      </c>
      <c r="J25" s="1343">
        <f>+J19+J16+' SEFA'!J18+' SEFA'!J22+J23</f>
        <v>0</v>
      </c>
      <c r="K25" s="1343">
        <f>+K19+K16+' SEFA'!K18+' SEFA'!K22+K23</f>
        <v>0</v>
      </c>
      <c r="L25" s="1343">
        <f>+L19+L16+' SEFA'!L18+' SEFA'!L22+L23</f>
        <v>2936334</v>
      </c>
      <c r="M25" s="1343">
        <f>+M19+M16+' SEFA'!M18+' SEFA'!M22+M23</f>
        <v>3306607</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30" sqref="K3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Bethalto CUSD 8</v>
      </c>
      <c r="C1" s="2465"/>
      <c r="D1" s="2465"/>
      <c r="E1" s="2465"/>
      <c r="F1" s="2465"/>
      <c r="G1" s="2465"/>
      <c r="H1" s="2465"/>
      <c r="I1" s="2465"/>
      <c r="J1" s="2465"/>
      <c r="K1" s="2465"/>
      <c r="L1" s="2465"/>
      <c r="M1" s="2465"/>
    </row>
    <row r="2" spans="2:14" ht="15" x14ac:dyDescent="0.2">
      <c r="B2" s="2462">
        <f>'Single Audit Cover'!E7</f>
        <v>41057008026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2134</v>
      </c>
      <c r="C11" s="1338"/>
      <c r="D11" s="1339"/>
      <c r="E11" s="1340"/>
      <c r="F11" s="1340"/>
      <c r="G11" s="1340"/>
      <c r="H11" s="1340"/>
      <c r="I11" s="1340"/>
      <c r="J11" s="1340"/>
      <c r="K11" s="1340"/>
      <c r="L11" s="1340">
        <f>+G11+I11+K11</f>
        <v>0</v>
      </c>
      <c r="M11" s="1340"/>
    </row>
    <row r="12" spans="2:14" ht="20.100000000000001" customHeight="1" x14ac:dyDescent="0.2">
      <c r="B12" s="1337" t="s">
        <v>2106</v>
      </c>
      <c r="C12" s="1341"/>
      <c r="D12" s="1342"/>
      <c r="E12" s="1343"/>
      <c r="F12" s="1343"/>
      <c r="G12" s="1343"/>
      <c r="H12" s="1343"/>
      <c r="I12" s="1343"/>
      <c r="J12" s="1343"/>
      <c r="K12" s="1343"/>
      <c r="L12" s="1340">
        <f t="shared" ref="L12:L27" si="0">+G12+I12+K12</f>
        <v>0</v>
      </c>
      <c r="M12" s="1343"/>
    </row>
    <row r="13" spans="2:14" ht="20.100000000000001" customHeight="1" x14ac:dyDescent="0.2">
      <c r="B13" s="1337" t="s">
        <v>2135</v>
      </c>
      <c r="C13" s="1341">
        <v>10.555</v>
      </c>
      <c r="D13" s="1342" t="s">
        <v>2142</v>
      </c>
      <c r="E13" s="1343">
        <v>438174</v>
      </c>
      <c r="F13" s="1343">
        <v>100421</v>
      </c>
      <c r="G13" s="1343">
        <v>438174</v>
      </c>
      <c r="H13" s="1343"/>
      <c r="I13" s="1343">
        <v>100421</v>
      </c>
      <c r="J13" s="1343"/>
      <c r="K13" s="1343"/>
      <c r="L13" s="1340">
        <f t="shared" si="0"/>
        <v>538595</v>
      </c>
      <c r="M13" s="1343"/>
    </row>
    <row r="14" spans="2:14" ht="20.100000000000001" customHeight="1" x14ac:dyDescent="0.2">
      <c r="B14" s="1337" t="s">
        <v>2135</v>
      </c>
      <c r="C14" s="1341">
        <v>10.555</v>
      </c>
      <c r="D14" s="1342" t="s">
        <v>2143</v>
      </c>
      <c r="E14" s="1343"/>
      <c r="F14" s="1343">
        <v>443314</v>
      </c>
      <c r="G14" s="1343"/>
      <c r="H14" s="1343"/>
      <c r="I14" s="1343">
        <v>443314</v>
      </c>
      <c r="J14" s="1343"/>
      <c r="K14" s="1343"/>
      <c r="L14" s="1340">
        <f t="shared" si="0"/>
        <v>443314</v>
      </c>
      <c r="M14" s="1343"/>
    </row>
    <row r="15" spans="2:14" ht="20.100000000000001" customHeight="1" x14ac:dyDescent="0.2">
      <c r="B15" s="1337" t="s">
        <v>2136</v>
      </c>
      <c r="C15" s="1341">
        <v>10.555999999999999</v>
      </c>
      <c r="D15" s="1342" t="s">
        <v>2144</v>
      </c>
      <c r="E15" s="1343">
        <v>2117</v>
      </c>
      <c r="F15" s="1343">
        <v>232</v>
      </c>
      <c r="G15" s="1343">
        <v>2117</v>
      </c>
      <c r="H15" s="1343"/>
      <c r="I15" s="1343">
        <v>232</v>
      </c>
      <c r="J15" s="1343"/>
      <c r="K15" s="1343"/>
      <c r="L15" s="1340">
        <f t="shared" si="0"/>
        <v>2349</v>
      </c>
      <c r="M15" s="1343"/>
    </row>
    <row r="16" spans="2:14" ht="20.100000000000001" customHeight="1" x14ac:dyDescent="0.2">
      <c r="B16" s="1337" t="s">
        <v>2136</v>
      </c>
      <c r="C16" s="1341">
        <v>10.555999999999999</v>
      </c>
      <c r="D16" s="1342" t="s">
        <v>2145</v>
      </c>
      <c r="E16" s="1343"/>
      <c r="F16" s="1343">
        <v>1068</v>
      </c>
      <c r="G16" s="1343"/>
      <c r="H16" s="1343"/>
      <c r="I16" s="1343">
        <v>1068</v>
      </c>
      <c r="J16" s="1343"/>
      <c r="K16" s="1343"/>
      <c r="L16" s="1340">
        <f t="shared" si="0"/>
        <v>1068</v>
      </c>
      <c r="M16" s="1343"/>
    </row>
    <row r="17" spans="2:14" ht="20.100000000000001" customHeight="1" x14ac:dyDescent="0.2">
      <c r="B17" s="1337" t="s">
        <v>2137</v>
      </c>
      <c r="C17" s="1341">
        <v>10.553000000000001</v>
      </c>
      <c r="D17" s="1342" t="s">
        <v>2146</v>
      </c>
      <c r="E17" s="1343">
        <v>147245</v>
      </c>
      <c r="F17" s="1343">
        <v>32648</v>
      </c>
      <c r="G17" s="1343">
        <v>147245</v>
      </c>
      <c r="H17" s="1343"/>
      <c r="I17" s="1343">
        <v>32648</v>
      </c>
      <c r="J17" s="1343"/>
      <c r="K17" s="1343"/>
      <c r="L17" s="1340">
        <f t="shared" si="0"/>
        <v>179893</v>
      </c>
      <c r="M17" s="1343"/>
    </row>
    <row r="18" spans="2:14" ht="20.100000000000001" customHeight="1" x14ac:dyDescent="0.2">
      <c r="B18" s="1337" t="s">
        <v>2137</v>
      </c>
      <c r="C18" s="1341">
        <v>10.553000000000001</v>
      </c>
      <c r="D18" s="1342" t="s">
        <v>2147</v>
      </c>
      <c r="E18" s="1343"/>
      <c r="F18" s="1343">
        <v>152451</v>
      </c>
      <c r="G18" s="1343"/>
      <c r="H18" s="1343"/>
      <c r="I18" s="1343">
        <v>152451</v>
      </c>
      <c r="J18" s="1343"/>
      <c r="K18" s="1343"/>
      <c r="L18" s="1340">
        <f t="shared" si="0"/>
        <v>152451</v>
      </c>
      <c r="M18" s="1343"/>
    </row>
    <row r="19" spans="2:14" ht="20.100000000000001" customHeight="1" x14ac:dyDescent="0.2">
      <c r="B19" s="1337" t="s">
        <v>2138</v>
      </c>
      <c r="C19" s="1341">
        <v>10.555</v>
      </c>
      <c r="D19" s="1342" t="s">
        <v>2148</v>
      </c>
      <c r="E19" s="1343"/>
      <c r="F19" s="1343">
        <v>94245</v>
      </c>
      <c r="G19" s="1343"/>
      <c r="H19" s="1343"/>
      <c r="I19" s="1343">
        <v>94245</v>
      </c>
      <c r="J19" s="1343"/>
      <c r="K19" s="1343"/>
      <c r="L19" s="1340">
        <f t="shared" si="0"/>
        <v>94245</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2139</v>
      </c>
      <c r="C21" s="1341"/>
      <c r="D21" s="1342"/>
      <c r="E21" s="1343">
        <f>SUM(E11:E20)</f>
        <v>587536</v>
      </c>
      <c r="F21" s="1343">
        <f t="shared" ref="F21:M21" si="1">SUM(F11:F20)</f>
        <v>824379</v>
      </c>
      <c r="G21" s="1343">
        <f t="shared" si="1"/>
        <v>587536</v>
      </c>
      <c r="H21" s="1343">
        <f t="shared" si="1"/>
        <v>0</v>
      </c>
      <c r="I21" s="1343">
        <f t="shared" si="1"/>
        <v>824379</v>
      </c>
      <c r="J21" s="1343">
        <f t="shared" si="1"/>
        <v>0</v>
      </c>
      <c r="K21" s="1343">
        <f t="shared" si="1"/>
        <v>0</v>
      </c>
      <c r="L21" s="1343">
        <f t="shared" si="1"/>
        <v>1411915</v>
      </c>
      <c r="M21" s="1343">
        <f t="shared" si="1"/>
        <v>0</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2140</v>
      </c>
      <c r="C24" s="1341"/>
      <c r="D24" s="1342"/>
      <c r="E24" s="1343"/>
      <c r="F24" s="1343"/>
      <c r="G24" s="1343"/>
      <c r="H24" s="1343"/>
      <c r="I24" s="1343"/>
      <c r="J24" s="1343"/>
      <c r="K24" s="1343"/>
      <c r="L24" s="1340">
        <f t="shared" si="0"/>
        <v>0</v>
      </c>
      <c r="M24" s="1343"/>
    </row>
    <row r="25" spans="2:14" ht="20.100000000000001" customHeight="1" x14ac:dyDescent="0.2">
      <c r="B25" s="1337" t="s">
        <v>2141</v>
      </c>
      <c r="C25" s="1341">
        <v>10.555</v>
      </c>
      <c r="D25" s="1342" t="s">
        <v>2148</v>
      </c>
      <c r="E25" s="1343"/>
      <c r="F25" s="1343">
        <v>11268</v>
      </c>
      <c r="G25" s="1343"/>
      <c r="H25" s="1343"/>
      <c r="I25" s="1343">
        <v>11268</v>
      </c>
      <c r="J25" s="1343"/>
      <c r="K25" s="1343"/>
      <c r="L25" s="1340">
        <f t="shared" si="0"/>
        <v>11268</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18" sqref="E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Bethalto CUSD 8</v>
      </c>
      <c r="C1" s="2465"/>
      <c r="D1" s="2465"/>
      <c r="E1" s="2465"/>
      <c r="F1" s="2465"/>
      <c r="G1" s="2465"/>
      <c r="H1" s="2465"/>
      <c r="I1" s="2465"/>
      <c r="J1" s="2465"/>
      <c r="K1" s="2465"/>
      <c r="L1" s="2465"/>
      <c r="M1" s="2465"/>
    </row>
    <row r="2" spans="2:14" ht="15" x14ac:dyDescent="0.2">
      <c r="B2" s="2462">
        <f>'Single Audit Cover'!E7</f>
        <v>41057008026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2149</v>
      </c>
      <c r="C11" s="1338"/>
      <c r="D11" s="1339"/>
      <c r="E11" s="1340"/>
      <c r="F11" s="1340"/>
      <c r="G11" s="1340"/>
      <c r="H11" s="1340"/>
      <c r="I11" s="1340"/>
      <c r="J11" s="1340"/>
      <c r="K11" s="1340"/>
      <c r="L11" s="1340">
        <f>+G11+I11+K11</f>
        <v>0</v>
      </c>
      <c r="M11" s="1340"/>
    </row>
    <row r="12" spans="2:14" ht="20.100000000000001" customHeight="1" x14ac:dyDescent="0.2">
      <c r="B12" s="1337" t="s">
        <v>2150</v>
      </c>
      <c r="C12" s="1341"/>
      <c r="D12" s="1342"/>
      <c r="E12" s="1343"/>
      <c r="F12" s="1343"/>
      <c r="G12" s="1343"/>
      <c r="H12" s="1343"/>
      <c r="I12" s="1343"/>
      <c r="J12" s="1343"/>
      <c r="K12" s="1343"/>
      <c r="L12" s="1340">
        <f t="shared" ref="L12:L27" si="0">+G12+I12+K12</f>
        <v>0</v>
      </c>
      <c r="M12" s="1343"/>
    </row>
    <row r="13" spans="2:14" ht="20.100000000000001" customHeight="1" x14ac:dyDescent="0.2">
      <c r="B13" s="1337" t="s">
        <v>2151</v>
      </c>
      <c r="C13" s="1341">
        <v>93.778000000000006</v>
      </c>
      <c r="D13" s="1342">
        <v>2018</v>
      </c>
      <c r="E13" s="1343"/>
      <c r="F13" s="1343">
        <v>33554</v>
      </c>
      <c r="G13" s="1343"/>
      <c r="H13" s="1343"/>
      <c r="I13" s="1343">
        <v>33554</v>
      </c>
      <c r="J13" s="1343"/>
      <c r="K13" s="1343"/>
      <c r="L13" s="1340">
        <f t="shared" si="0"/>
        <v>33554</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2153</v>
      </c>
      <c r="C18" s="1341"/>
      <c r="D18" s="1342"/>
      <c r="E18" s="1343">
        <f>+E13+' SEFA (3)'!E25+' SEFA (3)'!E21+' SEFA (2)'!E25</f>
        <v>1481442</v>
      </c>
      <c r="F18" s="1343">
        <f>+F13+' SEFA (3)'!F25+' SEFA (3)'!F21+' SEFA (2)'!F25</f>
        <v>2620006</v>
      </c>
      <c r="G18" s="1343">
        <f>+G13+' SEFA (3)'!G25+' SEFA (3)'!G21+' SEFA (2)'!G25</f>
        <v>1997921</v>
      </c>
      <c r="H18" s="1343">
        <f>+H13+' SEFA (3)'!H25+' SEFA (3)'!H21+' SEFA (2)'!H25</f>
        <v>0</v>
      </c>
      <c r="I18" s="1343">
        <f>+I13+' SEFA (3)'!I25+' SEFA (3)'!I21+' SEFA (2)'!I25</f>
        <v>2395150</v>
      </c>
      <c r="J18" s="1343">
        <f>+J13+' SEFA (3)'!J25+' SEFA (3)'!J21+' SEFA (2)'!J25</f>
        <v>0</v>
      </c>
      <c r="K18" s="1343">
        <f>+K13+' SEFA (3)'!K25+' SEFA (3)'!K21+' SEFA (2)'!K25</f>
        <v>0</v>
      </c>
      <c r="L18" s="1343">
        <f>+L13+' SEFA (3)'!L25+' SEFA (3)'!L21+' SEFA (2)'!L25</f>
        <v>4393071</v>
      </c>
      <c r="M18" s="1343">
        <f>+M13+' SEFA (3)'!M25+' SEFA (3)'!M21+' SEFA (2)'!M25</f>
        <v>3306607</v>
      </c>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Bethalto CUSD 8</v>
      </c>
      <c r="C1" s="2465"/>
      <c r="D1" s="2465"/>
      <c r="E1" s="2465"/>
      <c r="F1" s="2465"/>
      <c r="G1" s="2465"/>
      <c r="H1" s="2465"/>
      <c r="I1" s="2465"/>
      <c r="J1" s="2465"/>
      <c r="K1" s="2465"/>
      <c r="L1" s="2465"/>
      <c r="M1" s="2465"/>
    </row>
    <row r="2" spans="2:14" ht="15" x14ac:dyDescent="0.2">
      <c r="B2" s="2462">
        <f>'Single Audit Cover'!E7</f>
        <v>41057008026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2154</v>
      </c>
      <c r="C11" s="1338"/>
      <c r="D11" s="1339"/>
      <c r="E11" s="1340"/>
      <c r="F11" s="1340"/>
      <c r="G11" s="1340"/>
      <c r="H11" s="1340"/>
      <c r="I11" s="1340"/>
      <c r="J11" s="1340"/>
      <c r="K11" s="1340"/>
      <c r="L11" s="1340">
        <f>+G11+I11+K11</f>
        <v>0</v>
      </c>
      <c r="M11" s="1340"/>
    </row>
    <row r="12" spans="2:14" ht="20.100000000000001" customHeight="1" x14ac:dyDescent="0.2">
      <c r="B12" s="1337" t="s">
        <v>2155</v>
      </c>
      <c r="C12" s="1341"/>
      <c r="D12" s="1342"/>
      <c r="E12" s="1343">
        <f>+' SEFA'!E13+' SEFA'!E14</f>
        <v>246899</v>
      </c>
      <c r="F12" s="1343">
        <f>+' SEFA'!F13+' SEFA'!F14</f>
        <v>863112</v>
      </c>
      <c r="G12" s="1343">
        <f>+' SEFA'!G13+' SEFA'!G14</f>
        <v>654907</v>
      </c>
      <c r="H12" s="1343">
        <f>+' SEFA'!H13+' SEFA'!H14</f>
        <v>0</v>
      </c>
      <c r="I12" s="1343">
        <f>+' SEFA'!I13+' SEFA'!I14</f>
        <v>672388</v>
      </c>
      <c r="J12" s="1343">
        <f>+' SEFA'!J13+' SEFA'!J14</f>
        <v>0</v>
      </c>
      <c r="K12" s="1343">
        <f>+' SEFA'!K13+' SEFA'!K14</f>
        <v>0</v>
      </c>
      <c r="L12" s="1343">
        <f>+' SEFA'!L13+' SEFA'!L14</f>
        <v>1327295</v>
      </c>
      <c r="M12" s="1343">
        <f>+' SEFA'!M13+' SEFA'!M14</f>
        <v>1669886</v>
      </c>
    </row>
    <row r="13" spans="2:14" ht="20.100000000000001" customHeight="1" x14ac:dyDescent="0.2">
      <c r="B13" s="1337" t="s">
        <v>2156</v>
      </c>
      <c r="C13" s="1341"/>
      <c r="D13" s="1342"/>
      <c r="E13" s="1343">
        <f>+' SEFA'!E15+' SEFA'!E16</f>
        <v>44649</v>
      </c>
      <c r="F13" s="1343">
        <f>+' SEFA'!F15+' SEFA'!F16</f>
        <v>102279</v>
      </c>
      <c r="G13" s="1343">
        <f>+' SEFA'!G15+' SEFA'!G16</f>
        <v>98184</v>
      </c>
      <c r="H13" s="1343">
        <f>+' SEFA'!H15+' SEFA'!H16</f>
        <v>0</v>
      </c>
      <c r="I13" s="1343">
        <f>+' SEFA'!I15+' SEFA'!I16</f>
        <v>117508</v>
      </c>
      <c r="J13" s="1343">
        <f>+' SEFA'!J15+' SEFA'!J16</f>
        <v>0</v>
      </c>
      <c r="K13" s="1343">
        <f>+' SEFA'!K15+' SEFA'!K16</f>
        <v>0</v>
      </c>
      <c r="L13" s="1343">
        <f>+' SEFA'!L15+' SEFA'!L16</f>
        <v>215692</v>
      </c>
      <c r="M13" s="1343">
        <f>+' SEFA'!M15+' SEFA'!M16</f>
        <v>232080</v>
      </c>
    </row>
    <row r="14" spans="2:14" ht="20.100000000000001" customHeight="1" x14ac:dyDescent="0.2">
      <c r="B14" s="1956" t="s">
        <v>2160</v>
      </c>
      <c r="C14" s="1341"/>
      <c r="D14" s="1342"/>
      <c r="E14" s="1343">
        <f>+' SEFA'!E17</f>
        <v>0</v>
      </c>
      <c r="F14" s="1343">
        <f>+' SEFA'!F17</f>
        <v>2315</v>
      </c>
      <c r="G14" s="1343">
        <f>+' SEFA'!G17</f>
        <v>0</v>
      </c>
      <c r="H14" s="1343">
        <f>+' SEFA'!H17</f>
        <v>0</v>
      </c>
      <c r="I14" s="1343">
        <f>+' SEFA'!I17</f>
        <v>2315</v>
      </c>
      <c r="J14" s="1343">
        <f>+' SEFA'!J17</f>
        <v>0</v>
      </c>
      <c r="K14" s="1343">
        <f>+' SEFA'!K17</f>
        <v>0</v>
      </c>
      <c r="L14" s="1343">
        <f>+' SEFA'!L17</f>
        <v>2315</v>
      </c>
      <c r="M14" s="1343">
        <f>+' SEFA'!M17</f>
        <v>20746</v>
      </c>
    </row>
    <row r="15" spans="2:14" ht="20.100000000000001" customHeight="1" x14ac:dyDescent="0.2">
      <c r="B15" s="1337" t="s">
        <v>2157</v>
      </c>
      <c r="C15" s="1341"/>
      <c r="D15" s="1342"/>
      <c r="E15" s="1343">
        <f>+' SEFA'!E22</f>
        <v>0</v>
      </c>
      <c r="F15" s="1343">
        <f>+' SEFA'!F22</f>
        <v>26947</v>
      </c>
      <c r="G15" s="1343">
        <f>+' SEFA'!G22</f>
        <v>0</v>
      </c>
      <c r="H15" s="1343">
        <f>+' SEFA'!H22</f>
        <v>0</v>
      </c>
      <c r="I15" s="1343">
        <f>+' SEFA'!I22</f>
        <v>26947</v>
      </c>
      <c r="J15" s="1343">
        <f>+' SEFA'!J22</f>
        <v>0</v>
      </c>
      <c r="K15" s="1343">
        <f>+' SEFA'!K22</f>
        <v>0</v>
      </c>
      <c r="L15" s="1343">
        <f>+' SEFA'!L22</f>
        <v>26947</v>
      </c>
      <c r="M15" s="1343">
        <f>+' SEFA'!M22</f>
        <v>26947</v>
      </c>
    </row>
    <row r="16" spans="2:14" ht="20.100000000000001" customHeight="1" x14ac:dyDescent="0.2">
      <c r="B16" s="1337" t="s">
        <v>2158</v>
      </c>
      <c r="C16" s="1341"/>
      <c r="D16" s="1342"/>
      <c r="E16" s="1343">
        <f>' SEFA (2)'!E12+' SEFA (2)'!E13</f>
        <v>574002</v>
      </c>
      <c r="F16" s="1343">
        <f>' SEFA (2)'!F12+' SEFA (2)'!F13</f>
        <v>679589</v>
      </c>
      <c r="G16" s="1343">
        <f>' SEFA (2)'!G12+' SEFA (2)'!G13</f>
        <v>628383</v>
      </c>
      <c r="H16" s="1343">
        <f>' SEFA (2)'!H12+' SEFA (2)'!H13</f>
        <v>0</v>
      </c>
      <c r="I16" s="1343">
        <f>' SEFA (2)'!I12+' SEFA (2)'!I13</f>
        <v>630311</v>
      </c>
      <c r="J16" s="1343">
        <f>' SEFA (2)'!J12+' SEFA (2)'!J13</f>
        <v>0</v>
      </c>
      <c r="K16" s="1343">
        <f>' SEFA (2)'!K12+' SEFA (2)'!K13</f>
        <v>0</v>
      </c>
      <c r="L16" s="1343">
        <f>' SEFA (2)'!L12+' SEFA (2)'!L13</f>
        <v>1258694</v>
      </c>
      <c r="M16" s="1343">
        <f>' SEFA (2)'!M12+' SEFA (2)'!M13</f>
        <v>1263256</v>
      </c>
    </row>
    <row r="17" spans="2:14" ht="20.100000000000001" customHeight="1" x14ac:dyDescent="0.2">
      <c r="B17" s="1337" t="s">
        <v>2159</v>
      </c>
      <c r="C17" s="1341"/>
      <c r="D17" s="1342"/>
      <c r="E17" s="1343">
        <f>' SEFA (2)'!E14+' SEFA (2)'!E15</f>
        <v>28356</v>
      </c>
      <c r="F17" s="1343">
        <f>' SEFA (2)'!F14+' SEFA (2)'!F15</f>
        <v>28549</v>
      </c>
      <c r="G17" s="1343">
        <f>' SEFA (2)'!G14+' SEFA (2)'!G15</f>
        <v>28911</v>
      </c>
      <c r="H17" s="1343">
        <f>' SEFA (2)'!H14+' SEFA (2)'!H15</f>
        <v>0</v>
      </c>
      <c r="I17" s="1343">
        <f>' SEFA (2)'!I14+' SEFA (2)'!I15</f>
        <v>28466</v>
      </c>
      <c r="J17" s="1343">
        <f>' SEFA (2)'!J14+' SEFA (2)'!J15</f>
        <v>0</v>
      </c>
      <c r="K17" s="1343">
        <f>' SEFA (2)'!K14+' SEFA (2)'!K15</f>
        <v>0</v>
      </c>
      <c r="L17" s="1343">
        <f>' SEFA (2)'!L14+' SEFA (2)'!L15</f>
        <v>57377</v>
      </c>
      <c r="M17" s="1343">
        <f>' SEFA (2)'!M14+' SEFA (2)'!M15</f>
        <v>58692</v>
      </c>
    </row>
    <row r="18" spans="2:14" ht="20.100000000000001" customHeight="1" x14ac:dyDescent="0.2">
      <c r="B18" s="1337" t="s">
        <v>2187</v>
      </c>
      <c r="C18" s="1341"/>
      <c r="D18" s="1342"/>
      <c r="E18" s="1343">
        <f>+' SEFA (2)'!E19</f>
        <v>0</v>
      </c>
      <c r="F18" s="1343">
        <f>+' SEFA (2)'!F19</f>
        <v>13014</v>
      </c>
      <c r="G18" s="1343">
        <f>+' SEFA (2)'!G19</f>
        <v>0</v>
      </c>
      <c r="H18" s="1343">
        <f>+' SEFA (2)'!H19</f>
        <v>0</v>
      </c>
      <c r="I18" s="1343">
        <f>+' SEFA (2)'!I19</f>
        <v>13014</v>
      </c>
      <c r="J18" s="1343">
        <f>+' SEFA (2)'!J19</f>
        <v>0</v>
      </c>
      <c r="K18" s="1343">
        <f>+' SEFA (2)'!K19</f>
        <v>0</v>
      </c>
      <c r="L18" s="1343">
        <f>+' SEFA (2)'!L19</f>
        <v>13014</v>
      </c>
      <c r="M18" s="1343">
        <f>+' SEFA (2)'!M19</f>
        <v>0</v>
      </c>
    </row>
    <row r="19" spans="2:14" ht="20.100000000000001" customHeight="1" x14ac:dyDescent="0.2">
      <c r="B19" s="1337" t="s">
        <v>2161</v>
      </c>
      <c r="C19" s="1341"/>
      <c r="D19" s="1342"/>
      <c r="E19" s="1343">
        <f>+' SEFA (3)'!E13+' SEFA (3)'!E19+' SEFA (3)'!E25+' SEFA (3)'!E14</f>
        <v>438174</v>
      </c>
      <c r="F19" s="1343">
        <f>+' SEFA (3)'!F13+' SEFA (3)'!F19+' SEFA (3)'!F25+' SEFA (3)'!F14</f>
        <v>649248</v>
      </c>
      <c r="G19" s="1343">
        <f>+' SEFA (3)'!G13+' SEFA (3)'!G19+' SEFA (3)'!G25+' SEFA (3)'!G14</f>
        <v>438174</v>
      </c>
      <c r="H19" s="1343">
        <f>+' SEFA (3)'!H13+' SEFA (3)'!H19+' SEFA (3)'!H25+' SEFA (3)'!H14</f>
        <v>0</v>
      </c>
      <c r="I19" s="1343">
        <f>+' SEFA (3)'!I13+' SEFA (3)'!I19+' SEFA (3)'!I25+' SEFA (3)'!I14</f>
        <v>649248</v>
      </c>
      <c r="J19" s="1343">
        <f>+' SEFA (3)'!J13+' SEFA (3)'!J19+' SEFA (3)'!J25+' SEFA (3)'!J14</f>
        <v>0</v>
      </c>
      <c r="K19" s="1343">
        <f>+' SEFA (3)'!K13+' SEFA (3)'!K19+' SEFA (3)'!K25+' SEFA (3)'!K14</f>
        <v>0</v>
      </c>
      <c r="L19" s="1343">
        <f>+' SEFA (3)'!L13+' SEFA (3)'!L19+' SEFA (3)'!L25+' SEFA (3)'!L14</f>
        <v>1087422</v>
      </c>
      <c r="M19" s="1343">
        <f>+' SEFA (3)'!M13+' SEFA (3)'!M19+' SEFA (3)'!M25+' SEFA (3)'!M14</f>
        <v>0</v>
      </c>
    </row>
    <row r="20" spans="2:14" ht="20.100000000000001" customHeight="1" x14ac:dyDescent="0.2">
      <c r="B20" s="1337" t="s">
        <v>2162</v>
      </c>
      <c r="C20" s="1341"/>
      <c r="D20" s="1342"/>
      <c r="E20" s="1343">
        <f>+' SEFA (3)'!E15+' SEFA (3)'!E16</f>
        <v>2117</v>
      </c>
      <c r="F20" s="1343">
        <f>+' SEFA (3)'!F15+' SEFA (3)'!F16</f>
        <v>1300</v>
      </c>
      <c r="G20" s="1343">
        <f>+' SEFA (3)'!G15+' SEFA (3)'!G16</f>
        <v>2117</v>
      </c>
      <c r="H20" s="1343">
        <f>+' SEFA (3)'!H15+' SEFA (3)'!H16</f>
        <v>0</v>
      </c>
      <c r="I20" s="1343">
        <f>+' SEFA (3)'!I15+' SEFA (3)'!I16</f>
        <v>1300</v>
      </c>
      <c r="J20" s="1343">
        <f>+' SEFA (3)'!J15+' SEFA (3)'!J16</f>
        <v>0</v>
      </c>
      <c r="K20" s="1343">
        <f>+' SEFA (3)'!K15+' SEFA (3)'!K16</f>
        <v>0</v>
      </c>
      <c r="L20" s="1343">
        <f>+' SEFA (3)'!L15+' SEFA (3)'!L16</f>
        <v>3417</v>
      </c>
      <c r="M20" s="1343">
        <f>+' SEFA (3)'!M15+' SEFA (3)'!M16</f>
        <v>0</v>
      </c>
    </row>
    <row r="21" spans="2:14" ht="20.100000000000001" customHeight="1" x14ac:dyDescent="0.2">
      <c r="B21" s="1337" t="s">
        <v>2163</v>
      </c>
      <c r="C21" s="1341"/>
      <c r="D21" s="1342"/>
      <c r="E21" s="1343">
        <f>+' SEFA (3)'!E17+' SEFA (3)'!E18</f>
        <v>147245</v>
      </c>
      <c r="F21" s="1343">
        <f>+' SEFA (3)'!F17+' SEFA (3)'!F18</f>
        <v>185099</v>
      </c>
      <c r="G21" s="1343">
        <f>+' SEFA (3)'!G17+' SEFA (3)'!G18</f>
        <v>147245</v>
      </c>
      <c r="H21" s="1343">
        <f>+' SEFA (3)'!H17+' SEFA (3)'!H18</f>
        <v>0</v>
      </c>
      <c r="I21" s="1343">
        <f>+' SEFA (3)'!I17+' SEFA (3)'!I18</f>
        <v>185099</v>
      </c>
      <c r="J21" s="1343">
        <f>+' SEFA (3)'!J17+' SEFA (3)'!J18</f>
        <v>0</v>
      </c>
      <c r="K21" s="1343">
        <f>+' SEFA (3)'!K17+' SEFA (3)'!K18</f>
        <v>0</v>
      </c>
      <c r="L21" s="1343">
        <f>+' SEFA (3)'!L17+' SEFA (3)'!L18</f>
        <v>332344</v>
      </c>
      <c r="M21" s="1343">
        <f>+' SEFA (3)'!M17+' SEFA (3)'!M18</f>
        <v>0</v>
      </c>
    </row>
    <row r="22" spans="2:14" ht="20.100000000000001" customHeight="1" x14ac:dyDescent="0.2">
      <c r="B22" s="1337" t="s">
        <v>2164</v>
      </c>
      <c r="C22" s="1341"/>
      <c r="D22" s="1342"/>
      <c r="E22" s="1343">
        <f>+' SEFA (4)'!E13</f>
        <v>0</v>
      </c>
      <c r="F22" s="1343">
        <f>+' SEFA (4)'!F13</f>
        <v>33554</v>
      </c>
      <c r="G22" s="1343">
        <f>+' SEFA (4)'!G13</f>
        <v>0</v>
      </c>
      <c r="H22" s="1343">
        <f>+' SEFA (4)'!H13</f>
        <v>0</v>
      </c>
      <c r="I22" s="1343">
        <f>+' SEFA (4)'!I13</f>
        <v>33554</v>
      </c>
      <c r="J22" s="1343">
        <f>+' SEFA (4)'!J13</f>
        <v>0</v>
      </c>
      <c r="K22" s="1343">
        <f>+' SEFA (4)'!K13</f>
        <v>0</v>
      </c>
      <c r="L22" s="1343">
        <f>+' SEFA (4)'!L13</f>
        <v>33554</v>
      </c>
      <c r="M22" s="1343">
        <f>+' SEFA (4)'!M13</f>
        <v>0</v>
      </c>
    </row>
    <row r="23" spans="2:14" ht="20.100000000000001" customHeight="1" x14ac:dyDescent="0.2">
      <c r="B23" s="1337" t="s">
        <v>2183</v>
      </c>
      <c r="C23" s="1341"/>
      <c r="D23" s="1342"/>
      <c r="E23" s="1343">
        <f>' SEFA (2)'!E23</f>
        <v>0</v>
      </c>
      <c r="F23" s="1343">
        <f>' SEFA (2)'!F23</f>
        <v>35000</v>
      </c>
      <c r="G23" s="1343">
        <f>' SEFA (2)'!G23</f>
        <v>0</v>
      </c>
      <c r="H23" s="1343">
        <f>' SEFA (2)'!H23</f>
        <v>0</v>
      </c>
      <c r="I23" s="1343">
        <f>' SEFA (2)'!I23</f>
        <v>35000</v>
      </c>
      <c r="J23" s="1343">
        <f>' SEFA (2)'!J23</f>
        <v>0</v>
      </c>
      <c r="K23" s="1343">
        <f>' SEFA (2)'!K23</f>
        <v>0</v>
      </c>
      <c r="L23" s="1343">
        <f>' SEFA (2)'!L23</f>
        <v>35000</v>
      </c>
      <c r="M23" s="1343">
        <f>' SEFA (2)'!M23</f>
        <v>35000</v>
      </c>
    </row>
    <row r="24" spans="2:14" ht="20.100000000000001" customHeight="1" x14ac:dyDescent="0.2">
      <c r="B24" s="1337" t="s">
        <v>2165</v>
      </c>
      <c r="C24" s="1341"/>
      <c r="D24" s="1342"/>
      <c r="E24" s="1343">
        <f>SUM(E11:E23)</f>
        <v>1481442</v>
      </c>
      <c r="F24" s="1343">
        <f t="shared" ref="F24:M24" si="0">SUM(F11:F23)</f>
        <v>2620006</v>
      </c>
      <c r="G24" s="1343">
        <f t="shared" si="0"/>
        <v>1997921</v>
      </c>
      <c r="H24" s="1343">
        <f t="shared" si="0"/>
        <v>0</v>
      </c>
      <c r="I24" s="1343">
        <f t="shared" si="0"/>
        <v>2395150</v>
      </c>
      <c r="J24" s="1343">
        <f t="shared" si="0"/>
        <v>0</v>
      </c>
      <c r="K24" s="1343">
        <f t="shared" si="0"/>
        <v>0</v>
      </c>
      <c r="L24" s="1343">
        <f t="shared" si="0"/>
        <v>4393071</v>
      </c>
      <c r="M24" s="1343">
        <f t="shared" si="0"/>
        <v>3306607</v>
      </c>
    </row>
    <row r="25" spans="2:14" ht="20.100000000000001" customHeight="1" x14ac:dyDescent="0.2">
      <c r="B25" s="1337" t="s">
        <v>2166</v>
      </c>
      <c r="C25" s="1341"/>
      <c r="D25" s="1342"/>
      <c r="E25" s="1343"/>
      <c r="F25" s="1343"/>
      <c r="G25" s="1343"/>
      <c r="H25" s="1343"/>
      <c r="I25" s="1343"/>
      <c r="J25" s="1343"/>
      <c r="K25" s="1343"/>
      <c r="L25" s="1340">
        <f t="shared" ref="L25" si="1">+G25+I25+K25</f>
        <v>0</v>
      </c>
      <c r="M25" s="1343"/>
    </row>
    <row r="26" spans="2:14" ht="20.100000000000001" customHeight="1" x14ac:dyDescent="0.2">
      <c r="B26" s="1337" t="s">
        <v>2167</v>
      </c>
      <c r="C26" s="1341"/>
      <c r="D26" s="1342"/>
      <c r="E26" s="1343">
        <f>+E19+E20+E21</f>
        <v>587536</v>
      </c>
      <c r="F26" s="1343">
        <f t="shared" ref="F26:M26" si="2">+F19+F20+F21</f>
        <v>835647</v>
      </c>
      <c r="G26" s="1343">
        <f t="shared" si="2"/>
        <v>587536</v>
      </c>
      <c r="H26" s="1343">
        <f t="shared" si="2"/>
        <v>0</v>
      </c>
      <c r="I26" s="1343">
        <f t="shared" si="2"/>
        <v>835647</v>
      </c>
      <c r="J26" s="1343">
        <f t="shared" si="2"/>
        <v>0</v>
      </c>
      <c r="K26" s="1343">
        <f t="shared" si="2"/>
        <v>0</v>
      </c>
      <c r="L26" s="1343">
        <f t="shared" si="2"/>
        <v>1423183</v>
      </c>
      <c r="M26" s="1343">
        <f t="shared" si="2"/>
        <v>0</v>
      </c>
    </row>
    <row r="27" spans="2:14" ht="20.100000000000001" customHeight="1" x14ac:dyDescent="0.2">
      <c r="B27" s="1337" t="s">
        <v>2188</v>
      </c>
      <c r="C27" s="1341"/>
      <c r="D27" s="1342"/>
      <c r="E27" s="1343">
        <f t="shared" ref="E27:M27" si="3">+E16+E17</f>
        <v>602358</v>
      </c>
      <c r="F27" s="1343">
        <f t="shared" si="3"/>
        <v>708138</v>
      </c>
      <c r="G27" s="1343">
        <f t="shared" si="3"/>
        <v>657294</v>
      </c>
      <c r="H27" s="1343">
        <f t="shared" si="3"/>
        <v>0</v>
      </c>
      <c r="I27" s="1343">
        <f t="shared" si="3"/>
        <v>658777</v>
      </c>
      <c r="J27" s="1343">
        <f t="shared" si="3"/>
        <v>0</v>
      </c>
      <c r="K27" s="1343">
        <f t="shared" si="3"/>
        <v>0</v>
      </c>
      <c r="L27" s="1343">
        <f t="shared" si="3"/>
        <v>1316071</v>
      </c>
      <c r="M27" s="1343">
        <f t="shared" si="3"/>
        <v>1321948</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Q41" sqref="Q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Bethalto CUSD 8</v>
      </c>
      <c r="C1" s="2483"/>
      <c r="D1" s="2483"/>
      <c r="E1" s="2483"/>
      <c r="F1" s="2483"/>
      <c r="G1" s="2483"/>
      <c r="H1" s="2483"/>
      <c r="I1" s="2483"/>
      <c r="J1" s="1422"/>
    </row>
    <row r="2" spans="2:10" s="317" customFormat="1" ht="12.75" customHeight="1" x14ac:dyDescent="0.2">
      <c r="B2" s="2484">
        <f>'Single Audit Cover'!E7</f>
        <v>41057008026</v>
      </c>
      <c r="C2" s="2485"/>
      <c r="D2" s="2485"/>
      <c r="E2" s="2485"/>
      <c r="F2" s="2485"/>
      <c r="G2" s="2485"/>
      <c r="H2" s="2485"/>
      <c r="I2" s="2485"/>
      <c r="J2" s="1422"/>
    </row>
    <row r="3" spans="2:10" s="317" customFormat="1" ht="12.75" customHeight="1" x14ac:dyDescent="0.2">
      <c r="B3" s="2486" t="s">
        <v>1346</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1345</v>
      </c>
      <c r="C7" s="2487"/>
      <c r="D7" s="2487"/>
      <c r="E7" s="2487"/>
      <c r="F7" s="2487"/>
      <c r="G7" s="2487"/>
      <c r="H7" s="2487"/>
      <c r="I7" s="2487"/>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8" t="s">
        <v>2103</v>
      </c>
      <c r="D11" s="2488"/>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9" t="s">
        <v>2104</v>
      </c>
      <c r="E29" s="2489"/>
      <c r="F29" s="2489"/>
      <c r="G29" s="2489"/>
      <c r="H29" s="2489"/>
      <c r="I29" s="2489"/>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2073</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90" t="s">
        <v>1850</v>
      </c>
      <c r="D37" s="2491"/>
      <c r="E37" s="2491"/>
      <c r="F37" s="2492"/>
      <c r="G37" s="2490" t="s">
        <v>1673</v>
      </c>
      <c r="H37" s="2491"/>
      <c r="I37" s="2492"/>
    </row>
    <row r="38" spans="2:9" ht="16.5" customHeight="1" x14ac:dyDescent="0.2">
      <c r="B38" s="1444" t="s">
        <v>2108</v>
      </c>
      <c r="C38" s="2475" t="s">
        <v>2131</v>
      </c>
      <c r="D38" s="2476"/>
      <c r="E38" s="2476"/>
      <c r="F38" s="2477"/>
      <c r="G38" s="2493">
        <f>+' SEFA'!I13+' SEFA'!I14</f>
        <v>672388</v>
      </c>
      <c r="H38" s="2494"/>
      <c r="I38" s="2495"/>
    </row>
    <row r="39" spans="2:9" ht="27.75" customHeight="1" x14ac:dyDescent="0.2">
      <c r="B39" s="1444" t="s">
        <v>2132</v>
      </c>
      <c r="C39" s="2479" t="s">
        <v>2133</v>
      </c>
      <c r="D39" s="2480"/>
      <c r="E39" s="2480"/>
      <c r="F39" s="2481"/>
      <c r="G39" s="2478">
        <f>+' SEFA (3)'!I21+' SEFA (3)'!I25</f>
        <v>835647</v>
      </c>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1674</v>
      </c>
      <c r="D43" s="2469"/>
      <c r="E43" s="2469"/>
      <c r="F43" s="2470"/>
      <c r="G43" s="2471">
        <f>SUM(G38:I42)</f>
        <v>1508035</v>
      </c>
      <c r="H43" s="2471"/>
      <c r="I43" s="2471"/>
    </row>
    <row r="44" spans="2:9" ht="12.75" customHeight="1" x14ac:dyDescent="0.2"/>
    <row r="45" spans="2:9" ht="12.75" customHeight="1" x14ac:dyDescent="0.2">
      <c r="B45" s="1435" t="s">
        <v>1948</v>
      </c>
      <c r="D45" s="2472">
        <f>+' SEFA (4)'!I18</f>
        <v>2395150</v>
      </c>
      <c r="E45" s="2473"/>
    </row>
    <row r="46" spans="2:9" ht="5.25" customHeight="1" x14ac:dyDescent="0.2">
      <c r="B46" s="1445"/>
      <c r="D46" s="1446"/>
      <c r="E46" s="1447"/>
    </row>
    <row r="47" spans="2:9" ht="12.75" customHeight="1" x14ac:dyDescent="0.2">
      <c r="B47" s="1300" t="s">
        <v>1675</v>
      </c>
      <c r="C47" s="1300"/>
      <c r="D47" s="1448">
        <f>+G43/D45</f>
        <v>0.62962027430432332</v>
      </c>
      <c r="E47" s="1449"/>
      <c r="F47" s="1450"/>
      <c r="I47" s="1451"/>
    </row>
    <row r="48" spans="2:9" ht="9.9499999999999993" customHeight="1" x14ac:dyDescent="0.2"/>
    <row r="49" spans="1:9" x14ac:dyDescent="0.2">
      <c r="B49" s="1368" t="s">
        <v>1334</v>
      </c>
      <c r="C49" s="1282"/>
      <c r="D49" s="1282"/>
      <c r="E49" s="2474">
        <v>750000</v>
      </c>
      <c r="F49" s="2474"/>
      <c r="G49" s="2474"/>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1"/>
  <headerFoot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Bethalto CUSD 8</v>
      </c>
      <c r="C1" s="2482"/>
      <c r="D1" s="2482"/>
      <c r="E1" s="2482"/>
      <c r="F1" s="2482"/>
      <c r="G1" s="2482"/>
      <c r="H1" s="2482"/>
      <c r="I1" s="2482"/>
      <c r="J1" s="2482"/>
      <c r="K1" s="2482"/>
      <c r="L1" s="1374"/>
      <c r="M1" s="1374"/>
    </row>
    <row r="2" spans="1:13" ht="12" customHeight="1" x14ac:dyDescent="0.2">
      <c r="B2" s="2484">
        <f>'Single Audit Cover'!E7</f>
        <v>41057008026</v>
      </c>
      <c r="C2" s="2484"/>
      <c r="D2" s="2484"/>
      <c r="E2" s="2484"/>
      <c r="F2" s="2484"/>
      <c r="G2" s="2484"/>
      <c r="H2" s="2484"/>
      <c r="I2" s="2484"/>
      <c r="J2" s="2484"/>
      <c r="K2" s="2484"/>
      <c r="L2" s="1375"/>
      <c r="M2" s="1376"/>
    </row>
    <row r="3" spans="1:13" ht="10.35" customHeight="1" x14ac:dyDescent="0.2">
      <c r="B3" s="2498" t="s">
        <v>1346</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1362</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7" t="s">
        <v>2101</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1"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Bethalto CUSD 8</v>
      </c>
      <c r="C1" s="2505"/>
      <c r="D1" s="2505"/>
      <c r="E1" s="2505"/>
      <c r="F1" s="2505"/>
      <c r="G1" s="2505"/>
      <c r="H1" s="2505"/>
      <c r="I1" s="2505"/>
      <c r="J1" s="2505"/>
      <c r="K1" s="2505"/>
      <c r="L1" s="1465"/>
    </row>
    <row r="2" spans="1:12" ht="12.75" customHeight="1" x14ac:dyDescent="0.2">
      <c r="B2" s="2506">
        <f>'Single Audit Cover'!E7</f>
        <v>41057008026</v>
      </c>
      <c r="C2" s="2506"/>
      <c r="D2" s="2506"/>
      <c r="E2" s="2506"/>
      <c r="F2" s="2506"/>
      <c r="G2" s="2506"/>
      <c r="H2" s="2506"/>
      <c r="I2" s="2506"/>
      <c r="J2" s="2506"/>
      <c r="K2" s="2506"/>
      <c r="L2" s="1466"/>
    </row>
    <row r="3" spans="1:12" ht="12.75" customHeight="1" x14ac:dyDescent="0.2">
      <c r="B3" s="2498" t="s">
        <v>1346</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1230</v>
      </c>
      <c r="C5" s="1260"/>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2"/>
      <c r="E14" s="2502"/>
      <c r="F14" s="2502"/>
      <c r="H14" s="1475" t="s">
        <v>1369</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3"/>
      <c r="E16" s="2503"/>
      <c r="F16" s="2503"/>
      <c r="G16" s="2503"/>
      <c r="H16" s="2503"/>
      <c r="I16" s="2503"/>
      <c r="J16" s="2503"/>
      <c r="K16" s="2503"/>
      <c r="L16" s="322"/>
    </row>
    <row r="17" spans="2:12" ht="13.5" customHeight="1" x14ac:dyDescent="0.2">
      <c r="B17" s="1387" t="s">
        <v>1367</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7" t="s">
        <v>2101</v>
      </c>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Bethalto CUSD 8</v>
      </c>
      <c r="C1" s="2482"/>
      <c r="D1" s="2482"/>
      <c r="E1" s="1491"/>
    </row>
    <row r="2" spans="2:5" s="1282" customFormat="1" ht="12.75" customHeight="1" x14ac:dyDescent="0.2">
      <c r="B2" s="2484">
        <f>'Single Audit Cover'!E7</f>
        <v>41057008026</v>
      </c>
      <c r="C2" s="2484"/>
      <c r="D2" s="2484"/>
      <c r="E2" s="1492"/>
    </row>
    <row r="3" spans="2:5" ht="12.75" customHeight="1" x14ac:dyDescent="0.2">
      <c r="B3" s="2498" t="s">
        <v>1865</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2101</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403</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207815865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1.84E-2</v>
      </c>
      <c r="E10" s="356" t="s">
        <v>1061</v>
      </c>
      <c r="F10" s="355">
        <v>5.0000000000000001E-3</v>
      </c>
      <c r="G10" s="356" t="s">
        <v>1061</v>
      </c>
      <c r="H10" s="355">
        <v>2E-3</v>
      </c>
      <c r="I10" s="356" t="s">
        <v>1062</v>
      </c>
      <c r="J10" s="1754">
        <f>ROUND(D10+F10+H10,5)</f>
        <v>2.5399999999999999E-2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21671543</v>
      </c>
      <c r="E16" s="356"/>
      <c r="F16" s="1755">
        <f>SUM('Acct Summary 7-8'!C17,'Acct Summary 7-8'!D17,'Acct Summary 7-8'!F17)</f>
        <v>21172627</v>
      </c>
      <c r="G16" s="356"/>
      <c r="H16" s="1755">
        <f>SUM(D16-F16)</f>
        <v>498916</v>
      </c>
      <c r="I16" s="222"/>
      <c r="J16" s="1755">
        <f>SUM('Acct Summary 7-8'!C81,'Acct Summary 7-8'!D81,'Acct Summary 7-8'!F81,'Acct Summary 7-8'!I81)</f>
        <v>5153270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28678589.370000001</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17972365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1"/>
  <headerFooter>
    <oddHeader>&amp;C&amp;"Times New Roman,Regular"BETHALTO COMMUNITY UNIT SCHOOL DISTRICT NO. 8</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576</v>
      </c>
      <c r="B2" s="2122"/>
      <c r="C2" s="2122"/>
      <c r="D2" s="2122"/>
      <c r="E2" s="2122"/>
      <c r="F2" s="2122"/>
      <c r="G2" s="2122"/>
      <c r="H2" s="2122"/>
      <c r="I2" s="2122"/>
      <c r="J2" s="2122"/>
      <c r="K2" s="2122"/>
      <c r="L2" s="2122"/>
      <c r="M2" s="2122"/>
      <c r="N2" s="2122"/>
      <c r="O2" s="2122"/>
      <c r="P2" s="2122"/>
      <c r="Q2" s="2122"/>
      <c r="R2" s="2122"/>
    </row>
    <row r="3" spans="1:18" ht="12.75" x14ac:dyDescent="0.2">
      <c r="A3" s="2123" t="s">
        <v>1479</v>
      </c>
      <c r="B3" s="2123"/>
      <c r="C3" s="2123"/>
      <c r="D3" s="2123"/>
      <c r="E3" s="2123"/>
      <c r="F3" s="2123"/>
      <c r="G3" s="2123"/>
      <c r="H3" s="2123"/>
      <c r="I3" s="2123"/>
      <c r="J3" s="2123"/>
      <c r="K3" s="2123"/>
      <c r="L3" s="2123"/>
      <c r="M3" s="2123"/>
      <c r="N3" s="2123"/>
      <c r="O3" s="2123"/>
      <c r="P3" s="2123"/>
      <c r="Q3" s="2123"/>
      <c r="R3" s="2123"/>
    </row>
    <row r="4" spans="1:18" x14ac:dyDescent="0.2">
      <c r="A4" s="2124" t="s">
        <v>1634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Bethalto CUSD 8</v>
      </c>
      <c r="E7" s="391"/>
      <c r="G7" s="252"/>
      <c r="H7" s="387"/>
      <c r="I7" s="387"/>
      <c r="J7" s="387"/>
      <c r="K7" s="387"/>
      <c r="L7" s="329"/>
      <c r="M7" s="329"/>
      <c r="N7" s="329"/>
      <c r="O7" s="329"/>
      <c r="P7" s="329"/>
    </row>
    <row r="8" spans="1:18" ht="12.75" x14ac:dyDescent="0.2">
      <c r="A8" s="329"/>
      <c r="B8" s="329"/>
      <c r="C8" s="389" t="s">
        <v>1186</v>
      </c>
      <c r="D8" s="392">
        <f>COVER!A13</f>
        <v>41057008026</v>
      </c>
      <c r="E8" s="393"/>
      <c r="G8" s="329"/>
      <c r="H8" s="329"/>
      <c r="I8" s="329"/>
      <c r="J8" s="329"/>
      <c r="K8" s="329"/>
      <c r="L8" s="329"/>
      <c r="M8" s="329"/>
      <c r="N8" s="329"/>
      <c r="O8" s="329"/>
      <c r="P8" s="329"/>
    </row>
    <row r="9" spans="1:18" ht="12.75" x14ac:dyDescent="0.2">
      <c r="A9" s="329"/>
      <c r="B9" s="329"/>
      <c r="C9" s="389" t="s">
        <v>736</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5153270</v>
      </c>
      <c r="I12" s="404"/>
      <c r="J12" s="404"/>
      <c r="K12" s="405">
        <f>TRUNC((H12/H13*100000),5)/100000</f>
        <v>0.23778971339999999</v>
      </c>
      <c r="L12" s="406"/>
      <c r="M12" s="360" t="s">
        <v>1205</v>
      </c>
      <c r="N12" s="360"/>
      <c r="O12" s="407">
        <v>0.35</v>
      </c>
      <c r="P12" s="218"/>
      <c r="Q12" s="218"/>
    </row>
    <row r="13" spans="1:18" s="408" customFormat="1" ht="12.75" x14ac:dyDescent="0.2">
      <c r="A13" s="218"/>
      <c r="B13" s="401"/>
      <c r="C13" s="2120" t="s">
        <v>1390</v>
      </c>
      <c r="D13" s="2121"/>
      <c r="E13" s="218"/>
      <c r="F13" s="409" t="s">
        <v>825</v>
      </c>
      <c r="G13" s="402"/>
      <c r="H13" s="403">
        <f>SUM('Acct Summary 7-8'!C8+'Acct Summary 7-8'!D8+'Acct Summary 7-8'!F8+'Acct Summary 7-8'!I8)+H14</f>
        <v>21671543</v>
      </c>
      <c r="I13" s="404"/>
      <c r="J13" s="404"/>
      <c r="K13" s="410"/>
      <c r="L13" s="218"/>
      <c r="M13" s="360" t="s">
        <v>1206</v>
      </c>
      <c r="N13" s="360"/>
      <c r="O13" s="411">
        <f>(O11*O12)</f>
        <v>1.0499999999999998</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21172627</v>
      </c>
      <c r="I17" s="404"/>
      <c r="J17" s="416"/>
      <c r="K17" s="405">
        <f>TRUNC((H17/H18*100000),5)/100000</f>
        <v>0.97697828890000005</v>
      </c>
      <c r="L17" s="406"/>
      <c r="M17" s="417" t="s">
        <v>1232</v>
      </c>
      <c r="O17" s="418" t="str">
        <f>IF(AND(O16="2", J20 &gt; 2),"1",IF(AND(O16 = "1", J20 &gt; 2),"2",IF(AND(O16="1", J20 &gt;1),"1","0")))</f>
        <v>0</v>
      </c>
      <c r="P17" s="218"/>
    </row>
    <row r="18" spans="1:18" s="408" customFormat="1" ht="11.25" x14ac:dyDescent="0.2">
      <c r="A18" s="218"/>
      <c r="B18" s="401"/>
      <c r="C18" s="2120" t="s">
        <v>1383</v>
      </c>
      <c r="D18" s="2121"/>
      <c r="E18" s="218"/>
      <c r="F18" s="419" t="s">
        <v>826</v>
      </c>
      <c r="G18" s="402"/>
      <c r="H18" s="403">
        <f>SUM('Acct Summary 7-8'!C8+'Acct Summary 7-8'!D8+'Acct Summary 7-8'!F8+'Acct Summary 7-8'!I8)+H19</f>
        <v>21671543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17" t="s">
        <v>1478</v>
      </c>
      <c r="D24" s="2117"/>
      <c r="E24" s="218"/>
      <c r="F24" s="218" t="s">
        <v>464</v>
      </c>
      <c r="G24" s="402"/>
      <c r="H24" s="403">
        <f>SUM('Assets-Liab 5-6'!C4+'Assets-Liab 5-6'!D4+'Assets-Liab 5-6'!F4+'Assets-Liab 5-6'!I4+'Assets-Liab 5-6'!C5+'Assets-Liab 5-6'!D5+'Assets-Liab 5-6'!F5+'Assets-Liab 5-6'!I5)</f>
        <v>4982914</v>
      </c>
      <c r="I24" s="422"/>
      <c r="J24" s="422"/>
      <c r="K24" s="423">
        <f>TRUNC(((H24/H25*100000)/100000),2)</f>
        <v>84.72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58812.852780000001</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4486744.5253499998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17972365</v>
      </c>
      <c r="I32" s="420"/>
      <c r="J32" s="420"/>
      <c r="K32" s="423">
        <f>TRUNC(100-((((H32/H33*100))*100)/100),2)</f>
        <v>37.33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28678589.370000001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75" right="0.75" top="1" bottom="0.5" header="0.5" footer="0.5"/>
  <pageSetup scale="78" firstPageNumber="4" orientation="landscape" r:id="rId3"/>
  <headerFooter>
    <oddHeader>&amp;C&amp;"Times New Roman,Regular"BETHALTO COMMUNITY UNIT SCHOOL DISTRICT NO. 8</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F38" sqref="AF38"/>
      <selection pane="bottomLeft" activeCell="J39" sqref="J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7" t="s">
        <v>1029</v>
      </c>
      <c r="B3" s="2128"/>
      <c r="C3" s="1581"/>
      <c r="D3" s="1582"/>
      <c r="E3" s="1582"/>
      <c r="F3" s="1582"/>
      <c r="G3" s="1582"/>
      <c r="H3" s="1582"/>
      <c r="I3" s="1582"/>
      <c r="J3" s="1582"/>
      <c r="K3" s="1582"/>
      <c r="L3" s="1582"/>
      <c r="M3" s="1583"/>
      <c r="N3" s="1584"/>
    </row>
    <row r="4" spans="1:14" ht="13.5" customHeight="1" x14ac:dyDescent="0.2">
      <c r="A4" s="463" t="s">
        <v>1749</v>
      </c>
      <c r="B4" s="464"/>
      <c r="C4" s="465">
        <v>2602038</v>
      </c>
      <c r="D4" s="466">
        <v>825015</v>
      </c>
      <c r="E4" s="466">
        <v>46798</v>
      </c>
      <c r="F4" s="466">
        <v>354390</v>
      </c>
      <c r="G4" s="466">
        <v>97806</v>
      </c>
      <c r="H4" s="466">
        <v>239447</v>
      </c>
      <c r="I4" s="466">
        <v>1201471</v>
      </c>
      <c r="J4" s="467">
        <v>801134</v>
      </c>
      <c r="K4" s="466">
        <v>407768</v>
      </c>
      <c r="L4" s="466">
        <v>388999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170356</v>
      </c>
      <c r="D12" s="466"/>
      <c r="E12" s="466"/>
      <c r="F12" s="466"/>
      <c r="G12" s="466"/>
      <c r="H12" s="466"/>
      <c r="I12" s="466"/>
      <c r="J12" s="467"/>
      <c r="K12" s="466"/>
      <c r="L12" s="466"/>
      <c r="M12" s="469"/>
      <c r="N12" s="469"/>
    </row>
    <row r="13" spans="1:14" ht="13.5" customHeight="1" thickBot="1" x14ac:dyDescent="0.25">
      <c r="A13" s="1758" t="s">
        <v>664</v>
      </c>
      <c r="B13" s="1731"/>
      <c r="C13" s="1759">
        <f>SUM(C4:C12)</f>
        <v>2772394</v>
      </c>
      <c r="D13" s="1759">
        <f t="shared" ref="D13:L13" si="0">SUM(D4:D12)</f>
        <v>825015</v>
      </c>
      <c r="E13" s="1759">
        <f t="shared" si="0"/>
        <v>46798</v>
      </c>
      <c r="F13" s="1759">
        <f t="shared" si="0"/>
        <v>354390</v>
      </c>
      <c r="G13" s="1759">
        <f t="shared" si="0"/>
        <v>97806</v>
      </c>
      <c r="H13" s="1759">
        <f t="shared" si="0"/>
        <v>239447</v>
      </c>
      <c r="I13" s="1759">
        <f t="shared" si="0"/>
        <v>1201471</v>
      </c>
      <c r="J13" s="1759">
        <f t="shared" si="0"/>
        <v>801134</v>
      </c>
      <c r="K13" s="1759">
        <f t="shared" si="0"/>
        <v>407768</v>
      </c>
      <c r="L13" s="1759">
        <f t="shared" si="0"/>
        <v>388999</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309151</v>
      </c>
      <c r="N16" s="484"/>
    </row>
    <row r="17" spans="1:14" s="485" customFormat="1" ht="12.75" customHeight="1" x14ac:dyDescent="0.2">
      <c r="A17" s="482" t="s">
        <v>1469</v>
      </c>
      <c r="B17" s="483">
        <v>230</v>
      </c>
      <c r="C17" s="477"/>
      <c r="D17" s="477"/>
      <c r="E17" s="477"/>
      <c r="F17" s="477"/>
      <c r="G17" s="477"/>
      <c r="H17" s="477"/>
      <c r="I17" s="477"/>
      <c r="J17" s="477"/>
      <c r="K17" s="477"/>
      <c r="L17" s="477"/>
      <c r="M17" s="467">
        <v>42813356</v>
      </c>
      <c r="N17" s="484"/>
    </row>
    <row r="18" spans="1:14" s="485" customFormat="1" ht="12.75" customHeight="1" x14ac:dyDescent="0.2">
      <c r="A18" s="482" t="s">
        <v>1470</v>
      </c>
      <c r="B18" s="483">
        <v>240</v>
      </c>
      <c r="C18" s="477"/>
      <c r="D18" s="477"/>
      <c r="E18" s="477"/>
      <c r="F18" s="477"/>
      <c r="G18" s="477"/>
      <c r="H18" s="477"/>
      <c r="I18" s="477"/>
      <c r="J18" s="477"/>
      <c r="K18" s="477"/>
      <c r="L18" s="477"/>
      <c r="M18" s="467">
        <v>259516</v>
      </c>
      <c r="N18" s="484"/>
    </row>
    <row r="19" spans="1:14" s="485" customFormat="1" ht="12.75" customHeight="1" x14ac:dyDescent="0.2">
      <c r="A19" s="482" t="s">
        <v>1471</v>
      </c>
      <c r="B19" s="483">
        <v>250</v>
      </c>
      <c r="C19" s="477"/>
      <c r="D19" s="477"/>
      <c r="E19" s="477"/>
      <c r="F19" s="477"/>
      <c r="G19" s="477"/>
      <c r="H19" s="477"/>
      <c r="I19" s="477"/>
      <c r="J19" s="477"/>
      <c r="K19" s="477"/>
      <c r="L19" s="477"/>
      <c r="M19" s="467">
        <v>11522855</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46798</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17925567</v>
      </c>
    </row>
    <row r="23" spans="1:14" ht="13.5" customHeight="1" thickBot="1" x14ac:dyDescent="0.25">
      <c r="A23" s="1758" t="s">
        <v>663</v>
      </c>
      <c r="B23" s="1763"/>
      <c r="C23" s="468"/>
      <c r="D23" s="468"/>
      <c r="E23" s="468"/>
      <c r="F23" s="468"/>
      <c r="G23" s="468"/>
      <c r="H23" s="468"/>
      <c r="I23" s="468"/>
      <c r="J23" s="468"/>
      <c r="K23" s="468"/>
      <c r="L23" s="468"/>
      <c r="M23" s="1710">
        <f>SUM(M15:M22)</f>
        <v>54904878</v>
      </c>
      <c r="N23" s="1710">
        <f>SUM(N21:N22)</f>
        <v>17972365</v>
      </c>
    </row>
    <row r="24" spans="1:14" ht="18" customHeight="1" thickTop="1" x14ac:dyDescent="0.2">
      <c r="A24" s="2131" t="s">
        <v>618</v>
      </c>
      <c r="B24" s="2132"/>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388999</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388999</v>
      </c>
      <c r="M34" s="468"/>
      <c r="N34" s="480"/>
    </row>
    <row r="35" spans="1:14" ht="18" customHeight="1" thickTop="1" x14ac:dyDescent="0.2">
      <c r="A35" s="2133" t="s">
        <v>549</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17972365</v>
      </c>
    </row>
    <row r="37" spans="1:14" ht="13.5" thickBot="1" x14ac:dyDescent="0.25">
      <c r="A37" s="1758" t="s">
        <v>673</v>
      </c>
      <c r="B37" s="1763"/>
      <c r="C37" s="477"/>
      <c r="D37" s="477"/>
      <c r="E37" s="477"/>
      <c r="F37" s="477"/>
      <c r="G37" s="477"/>
      <c r="H37" s="477"/>
      <c r="I37" s="477"/>
      <c r="J37" s="477"/>
      <c r="K37" s="477"/>
      <c r="L37" s="480"/>
      <c r="M37" s="468"/>
      <c r="N37" s="1710">
        <f>SUM(N36:N36)</f>
        <v>17972365</v>
      </c>
    </row>
    <row r="38" spans="1:14" s="329" customFormat="1" ht="13.5" customHeight="1" thickTop="1" x14ac:dyDescent="0.2">
      <c r="A38" s="496" t="s">
        <v>439</v>
      </c>
      <c r="B38" s="483">
        <v>714</v>
      </c>
      <c r="C38" s="466"/>
      <c r="D38" s="466"/>
      <c r="E38" s="466"/>
      <c r="F38" s="466"/>
      <c r="G38" s="466">
        <v>181294</v>
      </c>
      <c r="H38" s="466"/>
      <c r="I38" s="466"/>
      <c r="J38" s="467"/>
      <c r="K38" s="466"/>
      <c r="L38" s="481"/>
      <c r="M38" s="497"/>
      <c r="N38" s="497"/>
    </row>
    <row r="39" spans="1:14" s="329" customFormat="1" ht="13.5" customHeight="1" x14ac:dyDescent="0.2">
      <c r="A39" s="496" t="s">
        <v>359</v>
      </c>
      <c r="B39" s="483">
        <v>730</v>
      </c>
      <c r="C39" s="466">
        <v>2772394</v>
      </c>
      <c r="D39" s="466">
        <v>825015</v>
      </c>
      <c r="E39" s="466">
        <v>46798</v>
      </c>
      <c r="F39" s="466">
        <v>354390</v>
      </c>
      <c r="G39" s="466">
        <v>-83488</v>
      </c>
      <c r="H39" s="466">
        <v>239447</v>
      </c>
      <c r="I39" s="466">
        <v>1201471</v>
      </c>
      <c r="J39" s="467">
        <v>801134</v>
      </c>
      <c r="K39" s="466">
        <v>407768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54904878</v>
      </c>
      <c r="N40" s="497"/>
    </row>
    <row r="41" spans="1:14" ht="13.5" customHeight="1" thickBot="1" x14ac:dyDescent="0.25">
      <c r="A41" s="1758" t="s">
        <v>675</v>
      </c>
      <c r="B41" s="1728"/>
      <c r="C41" s="1710">
        <f>(SUM(C34,C37,C38,C39))</f>
        <v>2772394</v>
      </c>
      <c r="D41" s="1710">
        <f t="shared" ref="D41:L41" si="2">SUM(D34,D37,D38:D39)</f>
        <v>825015</v>
      </c>
      <c r="E41" s="1710">
        <f t="shared" si="2"/>
        <v>46798</v>
      </c>
      <c r="F41" s="1710">
        <f t="shared" si="2"/>
        <v>354390</v>
      </c>
      <c r="G41" s="1710">
        <f t="shared" si="2"/>
        <v>97806</v>
      </c>
      <c r="H41" s="1710">
        <f t="shared" si="2"/>
        <v>239447</v>
      </c>
      <c r="I41" s="1710">
        <f t="shared" si="2"/>
        <v>1201471</v>
      </c>
      <c r="J41" s="1710">
        <f t="shared" si="2"/>
        <v>801134</v>
      </c>
      <c r="K41" s="1710">
        <f t="shared" si="2"/>
        <v>407768</v>
      </c>
      <c r="L41" s="1710">
        <f t="shared" si="2"/>
        <v>388999</v>
      </c>
      <c r="M41" s="1710">
        <f>SUM(M40)</f>
        <v>54904878</v>
      </c>
      <c r="N41" s="1710">
        <f>SUM(N37)</f>
        <v>17972365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75" right="0.75" top="1.75" bottom="0.5" header="0.5" footer="0.5"/>
  <pageSetup scale="56" firstPageNumber="13" orientation="landscape" useFirstPageNumber="1" r:id="rId1"/>
  <headerFooter>
    <oddHeader>&amp;C&amp;"Times New Roman,Regular"BETHALTO COMMUNITY UNIT SCHOOL DISTRICT NO. 8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80" workbookViewId="0">
      <pane ySplit="2" topLeftCell="A3" activePane="bottomLeft" state="frozenSplit"/>
      <selection activeCell="AF38" sqref="AF38"/>
      <selection pane="bottomLeft" activeCell="F26" sqref="F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5" t="s">
        <v>1236</v>
      </c>
      <c r="B3" s="2156"/>
      <c r="C3" s="1595"/>
      <c r="D3" s="1596"/>
      <c r="E3" s="1596"/>
      <c r="F3" s="1596"/>
      <c r="G3" s="1596"/>
      <c r="H3" s="1596"/>
      <c r="I3" s="1596"/>
      <c r="J3" s="1596"/>
      <c r="K3" s="1597"/>
      <c r="L3" s="506"/>
    </row>
    <row r="4" spans="1:13" ht="15.75" customHeight="1" x14ac:dyDescent="0.2">
      <c r="A4" s="1954" t="s">
        <v>1578</v>
      </c>
      <c r="B4" s="1955">
        <v>1000</v>
      </c>
      <c r="C4" s="1764">
        <f>'Revenues 9-14'!C109</f>
        <v>4898007</v>
      </c>
      <c r="D4" s="1764">
        <f>'Revenues 9-14'!D109</f>
        <v>1027871</v>
      </c>
      <c r="E4" s="1764">
        <f>'Revenues 9-14'!E109</f>
        <v>1862143</v>
      </c>
      <c r="F4" s="1764">
        <f>'Revenues 9-14'!F109</f>
        <v>398250</v>
      </c>
      <c r="G4" s="1764">
        <f>'Revenues 9-14'!G109</f>
        <v>1100551</v>
      </c>
      <c r="H4" s="1764">
        <f>'Revenues 9-14'!H109</f>
        <v>3864</v>
      </c>
      <c r="I4" s="1764">
        <f>'Revenues 9-14'!I109</f>
        <v>108344</v>
      </c>
      <c r="J4" s="1764">
        <f>'Revenues 9-14'!J109</f>
        <v>2047767</v>
      </c>
      <c r="K4" s="1764">
        <f>'Revenues 9-14'!K109</f>
        <v>102985</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11348527</v>
      </c>
      <c r="D6" s="1765">
        <f>'Revenues 9-14'!D173</f>
        <v>0</v>
      </c>
      <c r="E6" s="1765">
        <f>'Revenues 9-14'!E173</f>
        <v>0</v>
      </c>
      <c r="F6" s="1765">
        <f>'Revenues 9-14'!F173</f>
        <v>1184566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2705978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18952512</v>
      </c>
      <c r="D8" s="1710">
        <f t="shared" ref="D8:K8" si="0">SUM(D4:D7)</f>
        <v>1027871</v>
      </c>
      <c r="E8" s="1710">
        <f t="shared" si="0"/>
        <v>1862143</v>
      </c>
      <c r="F8" s="1710">
        <f t="shared" si="0"/>
        <v>1582816</v>
      </c>
      <c r="G8" s="1710">
        <f t="shared" si="0"/>
        <v>1100551</v>
      </c>
      <c r="H8" s="1710">
        <f t="shared" si="0"/>
        <v>3864</v>
      </c>
      <c r="I8" s="1710">
        <f t="shared" si="0"/>
        <v>108344</v>
      </c>
      <c r="J8" s="1710">
        <f t="shared" si="0"/>
        <v>2047767</v>
      </c>
      <c r="K8" s="1710">
        <f t="shared" si="0"/>
        <v>102985</v>
      </c>
      <c r="L8" s="347"/>
    </row>
    <row r="9" spans="1:13" ht="15.75" thickTop="1" x14ac:dyDescent="0.2">
      <c r="A9" s="514" t="s">
        <v>1751</v>
      </c>
      <c r="B9" s="515">
        <v>3998</v>
      </c>
      <c r="C9" s="481">
        <v>8158287</v>
      </c>
      <c r="D9" s="516"/>
      <c r="E9" s="481"/>
      <c r="F9" s="481"/>
      <c r="G9" s="517"/>
      <c r="H9" s="481"/>
      <c r="I9" s="509" t="s">
        <v>1230</v>
      </c>
      <c r="J9" s="478"/>
      <c r="K9" s="481"/>
      <c r="L9" s="347"/>
    </row>
    <row r="10" spans="1:13" s="519" customFormat="1" ht="13.5" thickBot="1" x14ac:dyDescent="0.25">
      <c r="A10" s="1758" t="s">
        <v>1234</v>
      </c>
      <c r="B10" s="1731"/>
      <c r="C10" s="1710">
        <f>SUM(C8:C9)</f>
        <v>27110799</v>
      </c>
      <c r="D10" s="1710">
        <f t="shared" ref="D10:K10" si="1">SUM(D8:D9)</f>
        <v>1027871</v>
      </c>
      <c r="E10" s="1710">
        <f t="shared" si="1"/>
        <v>1862143</v>
      </c>
      <c r="F10" s="1710">
        <f t="shared" si="1"/>
        <v>1582816</v>
      </c>
      <c r="G10" s="1710">
        <f t="shared" si="1"/>
        <v>1100551</v>
      </c>
      <c r="H10" s="1710">
        <f t="shared" si="1"/>
        <v>3864</v>
      </c>
      <c r="I10" s="1710">
        <f t="shared" si="1"/>
        <v>108344</v>
      </c>
      <c r="J10" s="1710">
        <f t="shared" si="1"/>
        <v>2047767</v>
      </c>
      <c r="K10" s="1710">
        <f t="shared" si="1"/>
        <v>102985</v>
      </c>
      <c r="L10" s="518"/>
    </row>
    <row r="11" spans="1:13" s="519" customFormat="1" ht="16.7" customHeight="1" thickTop="1" x14ac:dyDescent="0.2">
      <c r="A11" s="2129" t="s">
        <v>1237</v>
      </c>
      <c r="B11" s="2130"/>
      <c r="C11" s="1592"/>
      <c r="D11" s="1593"/>
      <c r="E11" s="1593"/>
      <c r="F11" s="1593"/>
      <c r="G11" s="1593"/>
      <c r="H11" s="1593"/>
      <c r="I11" s="1593"/>
      <c r="J11" s="1593"/>
      <c r="K11" s="1594"/>
      <c r="L11" s="518"/>
    </row>
    <row r="12" spans="1:13" ht="15.75" customHeight="1" x14ac:dyDescent="0.2">
      <c r="A12" s="1598" t="s">
        <v>475</v>
      </c>
      <c r="B12" s="1600">
        <v>1000</v>
      </c>
      <c r="C12" s="1764">
        <f>'Expenditures 15-22'!K33</f>
        <v>10968010</v>
      </c>
      <c r="D12" s="520" t="s">
        <v>1230</v>
      </c>
      <c r="E12" s="468" t="s">
        <v>1230</v>
      </c>
      <c r="F12" s="468" t="s">
        <v>1230</v>
      </c>
      <c r="G12" s="1764">
        <f>'Expenditures 15-22'!K229</f>
        <v>402327</v>
      </c>
      <c r="H12" s="521"/>
      <c r="I12" s="468" t="s">
        <v>1230</v>
      </c>
      <c r="J12" s="468" t="s">
        <v>1230</v>
      </c>
      <c r="K12" s="521" t="s">
        <v>1230</v>
      </c>
      <c r="L12" s="347"/>
    </row>
    <row r="13" spans="1:13" ht="15.75" customHeight="1" x14ac:dyDescent="0.2">
      <c r="A13" s="1598" t="s">
        <v>476</v>
      </c>
      <c r="B13" s="1600">
        <v>2000</v>
      </c>
      <c r="C13" s="1765">
        <f>'Expenditures 15-22'!K74</f>
        <v>5370484</v>
      </c>
      <c r="D13" s="1765">
        <f>'Expenditures 15-22'!K129</f>
        <v>648046</v>
      </c>
      <c r="E13" s="469" t="s">
        <v>1230</v>
      </c>
      <c r="F13" s="1765">
        <f>'Expenditures 15-22'!K184</f>
        <v>3940264</v>
      </c>
      <c r="G13" s="1765">
        <f>'Expenditures 15-22'!K279</f>
        <v>772851</v>
      </c>
      <c r="H13" s="1765">
        <f>'Expenditures 15-22'!K303</f>
        <v>208794</v>
      </c>
      <c r="I13" s="468" t="s">
        <v>1230</v>
      </c>
      <c r="J13" s="1765">
        <f>'Expenditures 15-22'!K330</f>
        <v>1262732</v>
      </c>
      <c r="K13" s="1769">
        <f>'Expenditures 15-22'!K352</f>
        <v>1008208</v>
      </c>
      <c r="L13" s="347"/>
    </row>
    <row r="14" spans="1:13" ht="15.75" customHeight="1" x14ac:dyDescent="0.2">
      <c r="A14" s="1598" t="s">
        <v>468</v>
      </c>
      <c r="B14" s="1600">
        <v>3000</v>
      </c>
      <c r="C14" s="1765">
        <f>'Expenditures 15-22'!K75</f>
        <v>32493</v>
      </c>
      <c r="D14" s="1765">
        <f>'Expenditures 15-22'!K130</f>
        <v>0</v>
      </c>
      <c r="E14" s="520" t="s">
        <v>1230</v>
      </c>
      <c r="F14" s="1765">
        <f>'Expenditures 15-22'!K185</f>
        <v>0</v>
      </c>
      <c r="G14" s="1765">
        <f>'Expenditures 15-22'!K280</f>
        <v>3492</v>
      </c>
      <c r="H14" s="512"/>
      <c r="I14" s="468" t="s">
        <v>1230</v>
      </c>
      <c r="J14" s="468" t="s">
        <v>1230</v>
      </c>
      <c r="K14" s="512" t="s">
        <v>1230</v>
      </c>
      <c r="L14" s="347"/>
    </row>
    <row r="15" spans="1:13" ht="15.75" customHeight="1" x14ac:dyDescent="0.2">
      <c r="A15" s="1598" t="s">
        <v>109</v>
      </c>
      <c r="B15" s="1600">
        <v>4000</v>
      </c>
      <c r="C15" s="1765">
        <f>'Expenditures 15-22'!K102</f>
        <v>213330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2345940</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16584317</v>
      </c>
      <c r="D17" s="1710">
        <f t="shared" si="2"/>
        <v>648046</v>
      </c>
      <c r="E17" s="1710">
        <f t="shared" si="2"/>
        <v>2345940</v>
      </c>
      <c r="F17" s="1710">
        <f t="shared" si="2"/>
        <v>3940264</v>
      </c>
      <c r="G17" s="1710">
        <f t="shared" si="2"/>
        <v>1178670</v>
      </c>
      <c r="H17" s="1710">
        <f t="shared" si="2"/>
        <v>208794</v>
      </c>
      <c r="I17" s="468"/>
      <c r="J17" s="1710">
        <f>SUM(J12:J16)</f>
        <v>1262732</v>
      </c>
      <c r="K17" s="1710">
        <f>SUM(K12:K16)</f>
        <v>1008208</v>
      </c>
      <c r="L17" s="347"/>
    </row>
    <row r="18" spans="1:12" ht="15" customHeight="1" thickTop="1" x14ac:dyDescent="0.2">
      <c r="A18" s="1766" t="s">
        <v>1752</v>
      </c>
      <c r="B18" s="1767">
        <v>4180</v>
      </c>
      <c r="C18" s="1764">
        <f t="shared" ref="C18:H18" si="3">C9</f>
        <v>8158287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24742604</v>
      </c>
      <c r="D19" s="1710">
        <f t="shared" si="4"/>
        <v>648046</v>
      </c>
      <c r="E19" s="1710">
        <f t="shared" si="4"/>
        <v>2345940</v>
      </c>
      <c r="F19" s="1710">
        <f t="shared" si="4"/>
        <v>3940264</v>
      </c>
      <c r="G19" s="1710">
        <f t="shared" si="4"/>
        <v>1178670</v>
      </c>
      <c r="H19" s="1710">
        <f t="shared" si="4"/>
        <v>208794</v>
      </c>
      <c r="I19" s="468"/>
      <c r="J19" s="1710">
        <f>SUM(J17:J18)</f>
        <v>1262732</v>
      </c>
      <c r="K19" s="1710">
        <f>SUM(K17:K18)</f>
        <v>1008208</v>
      </c>
      <c r="L19" s="347"/>
    </row>
    <row r="20" spans="1:12" ht="16.5" thickTop="1" thickBot="1" x14ac:dyDescent="0.25">
      <c r="A20" s="2145" t="s">
        <v>1753</v>
      </c>
      <c r="B20" s="2146"/>
      <c r="C20" s="1768">
        <f>C8-C17</f>
        <v>2368195</v>
      </c>
      <c r="D20" s="1768">
        <f t="shared" ref="D20:K20" si="5">D8-D17</f>
        <v>379825</v>
      </c>
      <c r="E20" s="1768">
        <f t="shared" si="5"/>
        <v>-483797</v>
      </c>
      <c r="F20" s="1768">
        <f t="shared" si="5"/>
        <v>-2357448</v>
      </c>
      <c r="G20" s="1768">
        <f t="shared" si="5"/>
        <v>-78119</v>
      </c>
      <c r="H20" s="1768">
        <f t="shared" si="5"/>
        <v>-204930</v>
      </c>
      <c r="I20" s="1768">
        <f t="shared" si="5"/>
        <v>108344</v>
      </c>
      <c r="J20" s="1768">
        <f t="shared" si="5"/>
        <v>785035</v>
      </c>
      <c r="K20" s="1768">
        <f t="shared" si="5"/>
        <v>-905223</v>
      </c>
      <c r="L20" s="347"/>
    </row>
    <row r="21" spans="1:12" ht="16.7" customHeight="1" thickTop="1" x14ac:dyDescent="0.2">
      <c r="A21" s="2157" t="s">
        <v>615</v>
      </c>
      <c r="B21" s="2158"/>
      <c r="C21" s="1592"/>
      <c r="D21" s="1593"/>
      <c r="E21" s="1593"/>
      <c r="F21" s="1593"/>
      <c r="G21" s="1593"/>
      <c r="H21" s="1593"/>
      <c r="I21" s="1593"/>
      <c r="J21" s="1593"/>
      <c r="K21" s="1594"/>
      <c r="L21" s="524"/>
    </row>
    <row r="22" spans="1:12" ht="15.75" customHeight="1" collapsed="1" x14ac:dyDescent="0.2">
      <c r="A22" s="2153" t="s">
        <v>616</v>
      </c>
      <c r="B22" s="2154"/>
      <c r="C22" s="477"/>
      <c r="D22" s="477"/>
      <c r="E22" s="477"/>
      <c r="F22" s="477"/>
      <c r="G22" s="477"/>
      <c r="H22" s="477"/>
      <c r="I22" s="477"/>
      <c r="J22" s="477"/>
      <c r="K22" s="477"/>
      <c r="L22" s="347"/>
    </row>
    <row r="23" spans="1:12" s="485" customFormat="1" ht="15.75" customHeight="1" x14ac:dyDescent="0.2">
      <c r="A23" s="2149" t="s">
        <v>310</v>
      </c>
      <c r="B23" s="2150"/>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500000</v>
      </c>
      <c r="D25" s="467"/>
      <c r="E25" s="467"/>
      <c r="F25" s="467">
        <v>400000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1" t="s">
        <v>1037</v>
      </c>
      <c r="B32" s="2152"/>
      <c r="C32" s="477"/>
      <c r="D32" s="477"/>
      <c r="E32" s="475"/>
      <c r="F32" s="477"/>
      <c r="G32" s="477"/>
      <c r="H32" s="477"/>
      <c r="I32" s="477"/>
      <c r="J32" s="477"/>
      <c r="K32" s="477"/>
      <c r="L32" s="524"/>
    </row>
    <row r="33" spans="1:12" s="485" customFormat="1" x14ac:dyDescent="0.2">
      <c r="A33" s="1511" t="s">
        <v>431</v>
      </c>
      <c r="B33" s="525">
        <v>7210</v>
      </c>
      <c r="C33" s="467"/>
      <c r="D33" s="467"/>
      <c r="E33" s="467"/>
      <c r="F33" s="467">
        <v>3096983</v>
      </c>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v>176795</v>
      </c>
      <c r="D36" s="467">
        <v>1800</v>
      </c>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448579</v>
      </c>
      <c r="F43" s="467"/>
      <c r="G43" s="467"/>
      <c r="H43" s="467"/>
      <c r="I43" s="467"/>
      <c r="J43" s="467"/>
      <c r="K43" s="467"/>
      <c r="L43" s="524"/>
    </row>
    <row r="44" spans="1:12" s="485" customFormat="1" ht="13.5" customHeight="1" thickBot="1" x14ac:dyDescent="0.25">
      <c r="A44" s="2159" t="s">
        <v>391</v>
      </c>
      <c r="B44" s="2160"/>
      <c r="C44" s="1725">
        <f>SUM(C24:C43)</f>
        <v>676795</v>
      </c>
      <c r="D44" s="1725">
        <f t="shared" ref="D44:K44" si="6">SUM(D24:D43)</f>
        <v>1800</v>
      </c>
      <c r="E44" s="1725">
        <f t="shared" si="6"/>
        <v>448579</v>
      </c>
      <c r="F44" s="1725">
        <f t="shared" si="6"/>
        <v>3496983</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900000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v>448579</v>
      </c>
      <c r="G75" s="532"/>
      <c r="H75" s="532"/>
      <c r="I75" s="530"/>
      <c r="J75" s="530"/>
      <c r="K75" s="532"/>
      <c r="L75" s="524"/>
    </row>
    <row r="76" spans="1:12" s="485" customFormat="1" ht="14.25" thickTop="1" thickBot="1" x14ac:dyDescent="0.25">
      <c r="A76" s="2135" t="s">
        <v>459</v>
      </c>
      <c r="B76" s="2136"/>
      <c r="C76" s="1725">
        <f t="shared" ref="C76:K76" si="7">SUM(C47:C75)</f>
        <v>0</v>
      </c>
      <c r="D76" s="1725">
        <f t="shared" si="7"/>
        <v>0</v>
      </c>
      <c r="E76" s="1725">
        <f t="shared" si="7"/>
        <v>0</v>
      </c>
      <c r="F76" s="1725">
        <f t="shared" si="7"/>
        <v>448579</v>
      </c>
      <c r="G76" s="1725">
        <f t="shared" si="7"/>
        <v>0</v>
      </c>
      <c r="H76" s="1725">
        <f t="shared" si="7"/>
        <v>0</v>
      </c>
      <c r="I76" s="1725">
        <f t="shared" si="7"/>
        <v>900000</v>
      </c>
      <c r="J76" s="1725">
        <f t="shared" si="7"/>
        <v>0</v>
      </c>
      <c r="K76" s="1725">
        <f t="shared" si="7"/>
        <v>0</v>
      </c>
      <c r="L76" s="524"/>
    </row>
    <row r="77" spans="1:12" ht="14.25" thickTop="1" thickBot="1" x14ac:dyDescent="0.25">
      <c r="A77" s="2137" t="s">
        <v>1238</v>
      </c>
      <c r="B77" s="2138"/>
      <c r="C77" s="1725">
        <f t="shared" ref="C77:K77" si="8">C44-C76</f>
        <v>676795</v>
      </c>
      <c r="D77" s="1725">
        <f t="shared" si="8"/>
        <v>1800</v>
      </c>
      <c r="E77" s="1725">
        <f t="shared" si="8"/>
        <v>448579</v>
      </c>
      <c r="F77" s="1725">
        <f t="shared" si="8"/>
        <v>3048404</v>
      </c>
      <c r="G77" s="1725">
        <f t="shared" si="8"/>
        <v>0</v>
      </c>
      <c r="H77" s="1725">
        <f t="shared" si="8"/>
        <v>0</v>
      </c>
      <c r="I77" s="1725">
        <f t="shared" si="8"/>
        <v>-900000</v>
      </c>
      <c r="J77" s="1725">
        <f t="shared" si="8"/>
        <v>0</v>
      </c>
      <c r="K77" s="1725">
        <f t="shared" si="8"/>
        <v>0</v>
      </c>
      <c r="L77" s="347"/>
    </row>
    <row r="78" spans="1:12" ht="21.75" customHeight="1" thickTop="1" thickBot="1" x14ac:dyDescent="0.25">
      <c r="A78" s="2141" t="s">
        <v>617</v>
      </c>
      <c r="B78" s="2142"/>
      <c r="C78" s="1724">
        <f t="shared" ref="C78:K78" si="9">C20+C77</f>
        <v>3044990</v>
      </c>
      <c r="D78" s="1724">
        <f t="shared" si="9"/>
        <v>381625</v>
      </c>
      <c r="E78" s="1724">
        <f t="shared" si="9"/>
        <v>-35218</v>
      </c>
      <c r="F78" s="1724">
        <f t="shared" si="9"/>
        <v>690956</v>
      </c>
      <c r="G78" s="1724">
        <f t="shared" si="9"/>
        <v>-78119</v>
      </c>
      <c r="H78" s="1724">
        <f t="shared" si="9"/>
        <v>-204930</v>
      </c>
      <c r="I78" s="1724">
        <f t="shared" si="9"/>
        <v>-791656</v>
      </c>
      <c r="J78" s="1724">
        <f t="shared" si="9"/>
        <v>785035</v>
      </c>
      <c r="K78" s="1724">
        <f t="shared" si="9"/>
        <v>-905223</v>
      </c>
      <c r="L78" s="533"/>
    </row>
    <row r="79" spans="1:12" ht="13.5" thickTop="1" x14ac:dyDescent="0.2">
      <c r="A79" s="1516" t="s">
        <v>2069</v>
      </c>
      <c r="B79" s="534"/>
      <c r="C79" s="478">
        <v>-272596</v>
      </c>
      <c r="D79" s="535">
        <v>443390</v>
      </c>
      <c r="E79" s="535">
        <v>82016</v>
      </c>
      <c r="F79" s="535">
        <v>-336566</v>
      </c>
      <c r="G79" s="535">
        <v>175925</v>
      </c>
      <c r="H79" s="535">
        <v>444377</v>
      </c>
      <c r="I79" s="535">
        <v>1993127</v>
      </c>
      <c r="J79" s="535">
        <v>16099</v>
      </c>
      <c r="K79" s="535">
        <v>1312991</v>
      </c>
      <c r="L79" s="347"/>
    </row>
    <row r="80" spans="1:12" x14ac:dyDescent="0.2">
      <c r="A80" s="2147" t="s">
        <v>1894</v>
      </c>
      <c r="B80" s="2148"/>
      <c r="C80" s="467"/>
      <c r="D80" s="467"/>
      <c r="E80" s="467"/>
      <c r="F80" s="467"/>
      <c r="G80" s="467"/>
      <c r="H80" s="467"/>
      <c r="I80" s="467"/>
      <c r="J80" s="467"/>
      <c r="K80" s="467"/>
      <c r="L80" s="347"/>
    </row>
    <row r="81" spans="1:12" ht="13.5" thickBot="1" x14ac:dyDescent="0.25">
      <c r="A81" s="2139" t="s">
        <v>2070</v>
      </c>
      <c r="B81" s="2140"/>
      <c r="C81" s="1710">
        <f>(SUM(C78:C80))</f>
        <v>2772394</v>
      </c>
      <c r="D81" s="1710">
        <f>SUM(D78:D80)</f>
        <v>825015</v>
      </c>
      <c r="E81" s="1710">
        <f t="shared" ref="E81:K81" si="10">SUM(E78:E80)</f>
        <v>46798</v>
      </c>
      <c r="F81" s="1710">
        <f t="shared" si="10"/>
        <v>354390</v>
      </c>
      <c r="G81" s="1710">
        <f t="shared" si="10"/>
        <v>97806</v>
      </c>
      <c r="H81" s="1710">
        <f t="shared" si="10"/>
        <v>239447</v>
      </c>
      <c r="I81" s="1710">
        <f t="shared" si="10"/>
        <v>1201471</v>
      </c>
      <c r="J81" s="1710">
        <f t="shared" si="10"/>
        <v>801134</v>
      </c>
      <c r="K81" s="1710">
        <f t="shared" si="10"/>
        <v>407768</v>
      </c>
      <c r="L81" s="347"/>
    </row>
    <row r="82" spans="1:12" ht="0.75" customHeight="1" thickTop="1" thickBot="1" x14ac:dyDescent="0.25">
      <c r="A82" s="536" t="s">
        <v>360</v>
      </c>
      <c r="B82" s="537"/>
      <c r="C82" s="538">
        <f>(C81-C79)</f>
        <v>3044990</v>
      </c>
      <c r="D82" s="538">
        <f t="shared" ref="D82:K82" si="11">(D81-D79)</f>
        <v>381625</v>
      </c>
      <c r="E82" s="538">
        <f t="shared" si="11"/>
        <v>-35218</v>
      </c>
      <c r="F82" s="538">
        <f t="shared" si="11"/>
        <v>690956</v>
      </c>
      <c r="G82" s="538">
        <f t="shared" si="11"/>
        <v>-78119</v>
      </c>
      <c r="H82" s="538">
        <f t="shared" si="11"/>
        <v>-204930</v>
      </c>
      <c r="I82" s="538">
        <f t="shared" si="11"/>
        <v>-791656</v>
      </c>
      <c r="J82" s="538">
        <f t="shared" si="11"/>
        <v>785035</v>
      </c>
      <c r="K82" s="538">
        <f t="shared" si="11"/>
        <v>-905223</v>
      </c>
    </row>
    <row r="83" spans="1:12" ht="14.25" hidden="1" thickTop="1" thickBot="1" x14ac:dyDescent="0.25">
      <c r="A83" s="539" t="s">
        <v>361</v>
      </c>
      <c r="B83" s="464"/>
      <c r="C83" s="540">
        <f>C82/C81</f>
        <v>1.0983251298336383</v>
      </c>
      <c r="D83" s="540">
        <f t="shared" ref="D83:K83" si="12">D82/D81</f>
        <v>0.46256734726035287</v>
      </c>
      <c r="E83" s="540">
        <f t="shared" si="12"/>
        <v>-0.75255352792854391</v>
      </c>
      <c r="F83" s="540">
        <f t="shared" si="12"/>
        <v>1.9497051271198398</v>
      </c>
      <c r="G83" s="540">
        <f t="shared" si="12"/>
        <v>-0.79871378034067442</v>
      </c>
      <c r="H83" s="540">
        <f t="shared" si="12"/>
        <v>-0.85584701416179776</v>
      </c>
      <c r="I83" s="540">
        <f t="shared" si="12"/>
        <v>-0.65890562485486537</v>
      </c>
      <c r="J83" s="540">
        <f t="shared" si="12"/>
        <v>0.97990473503808351</v>
      </c>
      <c r="K83" s="540">
        <f t="shared" si="12"/>
        <v>-2.2199461458476391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1"/>
  <headerFooter>
    <oddHeader>&amp;C&amp;"Times New Roman,Regular"BETHALTO COMMUNITY UNIT SCHOOL DISTRICT NO. 8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F38" sqref="AF3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1901</v>
      </c>
      <c r="B1" s="452"/>
      <c r="C1" s="453" t="s">
        <v>444</v>
      </c>
      <c r="D1" s="453" t="s">
        <v>445</v>
      </c>
      <c r="E1" s="453" t="s">
        <v>446</v>
      </c>
      <c r="F1" s="453" t="s">
        <v>447</v>
      </c>
      <c r="G1" s="453" t="s">
        <v>448</v>
      </c>
      <c r="H1" s="453" t="s">
        <v>449</v>
      </c>
      <c r="I1" s="453" t="s">
        <v>450</v>
      </c>
      <c r="J1" s="453" t="s">
        <v>451</v>
      </c>
      <c r="K1" s="453" t="s">
        <v>779</v>
      </c>
    </row>
    <row r="2" spans="1:12" ht="36" x14ac:dyDescent="0.2">
      <c r="A2" s="214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3533155</v>
      </c>
      <c r="D5" s="481">
        <v>960095</v>
      </c>
      <c r="E5" s="466">
        <v>1827856</v>
      </c>
      <c r="F5" s="548">
        <v>384036</v>
      </c>
      <c r="G5" s="466">
        <v>650579</v>
      </c>
      <c r="H5" s="466"/>
      <c r="I5" s="466">
        <v>96007</v>
      </c>
      <c r="J5" s="467">
        <v>2028170</v>
      </c>
      <c r="K5" s="466">
        <v>96007</v>
      </c>
    </row>
    <row r="6" spans="1:12" ht="15" x14ac:dyDescent="0.2">
      <c r="A6" s="463" t="s">
        <v>1760</v>
      </c>
      <c r="B6" s="470">
        <v>1130</v>
      </c>
      <c r="C6" s="466">
        <v>96007</v>
      </c>
      <c r="D6" s="466"/>
      <c r="E6" s="475"/>
      <c r="F6" s="475"/>
      <c r="G6" s="468"/>
      <c r="H6" s="468"/>
      <c r="I6" s="468"/>
      <c r="J6" s="468"/>
      <c r="K6" s="468"/>
    </row>
    <row r="7" spans="1:12" x14ac:dyDescent="0.2">
      <c r="A7" s="463" t="s">
        <v>112</v>
      </c>
      <c r="B7" s="549">
        <v>1140</v>
      </c>
      <c r="C7" s="466">
        <v>76811</v>
      </c>
      <c r="D7" s="466"/>
      <c r="E7" s="468"/>
      <c r="F7" s="467"/>
      <c r="G7" s="467"/>
      <c r="H7" s="467"/>
      <c r="I7" s="468"/>
      <c r="J7" s="468"/>
      <c r="K7" s="468"/>
    </row>
    <row r="8" spans="1:12" x14ac:dyDescent="0.2">
      <c r="A8" s="463" t="s">
        <v>432</v>
      </c>
      <c r="B8" s="470">
        <v>1150</v>
      </c>
      <c r="C8" s="475"/>
      <c r="D8" s="475"/>
      <c r="E8" s="477"/>
      <c r="F8" s="477"/>
      <c r="G8" s="481">
        <v>430349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3705973</v>
      </c>
      <c r="D12" s="1729">
        <f t="shared" si="0"/>
        <v>960095</v>
      </c>
      <c r="E12" s="1729">
        <f t="shared" si="0"/>
        <v>1827856</v>
      </c>
      <c r="F12" s="1729">
        <f t="shared" si="0"/>
        <v>384036</v>
      </c>
      <c r="G12" s="1729">
        <f t="shared" si="0"/>
        <v>1080928</v>
      </c>
      <c r="H12" s="1729">
        <f t="shared" si="0"/>
        <v>0</v>
      </c>
      <c r="I12" s="1729">
        <f t="shared" si="0"/>
        <v>96007</v>
      </c>
      <c r="J12" s="1729">
        <f t="shared" si="0"/>
        <v>2028170</v>
      </c>
      <c r="K12" s="1710">
        <f t="shared" si="0"/>
        <v>96007</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6345</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257701</v>
      </c>
      <c r="D16" s="466"/>
      <c r="E16" s="466"/>
      <c r="F16" s="466"/>
      <c r="G16" s="466">
        <v>15177</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264046</v>
      </c>
      <c r="D18" s="1732">
        <f t="shared" ref="D18:K18" si="1">SUM(D14:D17)</f>
        <v>0</v>
      </c>
      <c r="E18" s="1732">
        <f t="shared" si="1"/>
        <v>0</v>
      </c>
      <c r="F18" s="1732">
        <f t="shared" si="1"/>
        <v>0</v>
      </c>
      <c r="G18" s="1732">
        <f t="shared" si="1"/>
        <v>15177</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13102</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12880</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25982</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12024</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12024</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24374</v>
      </c>
      <c r="D65" s="466">
        <v>10461</v>
      </c>
      <c r="E65" s="466">
        <v>9764</v>
      </c>
      <c r="F65" s="467">
        <v>2044</v>
      </c>
      <c r="G65" s="466">
        <v>4443</v>
      </c>
      <c r="H65" s="466">
        <v>3864</v>
      </c>
      <c r="I65" s="466">
        <v>12337</v>
      </c>
      <c r="J65" s="467">
        <v>13622</v>
      </c>
      <c r="K65" s="466">
        <v>6978</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24374</v>
      </c>
      <c r="D67" s="1710">
        <f t="shared" ref="D67:K67" si="2">SUM(D65:D66)</f>
        <v>10461</v>
      </c>
      <c r="E67" s="1710">
        <f t="shared" si="2"/>
        <v>9764</v>
      </c>
      <c r="F67" s="1710">
        <f t="shared" si="2"/>
        <v>2044</v>
      </c>
      <c r="G67" s="1710">
        <f t="shared" si="2"/>
        <v>4443</v>
      </c>
      <c r="H67" s="1710">
        <f t="shared" si="2"/>
        <v>3864</v>
      </c>
      <c r="I67" s="1710">
        <f t="shared" si="2"/>
        <v>12337</v>
      </c>
      <c r="J67" s="1710">
        <f t="shared" si="2"/>
        <v>13622</v>
      </c>
      <c r="K67" s="1710">
        <f t="shared" si="2"/>
        <v>6978</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351871</v>
      </c>
      <c r="D69" s="468"/>
      <c r="E69" s="468"/>
      <c r="F69" s="468"/>
      <c r="G69" s="468"/>
      <c r="H69" s="468"/>
      <c r="I69" s="468"/>
      <c r="J69" s="468"/>
      <c r="K69" s="468"/>
    </row>
    <row r="70" spans="1:11" ht="12.75" customHeight="1" x14ac:dyDescent="0.2">
      <c r="A70" s="463" t="s">
        <v>1053</v>
      </c>
      <c r="B70" s="470">
        <v>1612</v>
      </c>
      <c r="C70" s="551">
        <v>158</v>
      </c>
      <c r="D70" s="468"/>
      <c r="E70" s="468"/>
      <c r="F70" s="468"/>
      <c r="G70" s="468"/>
      <c r="H70" s="468"/>
      <c r="I70" s="468"/>
      <c r="J70" s="468"/>
      <c r="K70" s="468"/>
    </row>
    <row r="71" spans="1:11" ht="12.75" customHeight="1" x14ac:dyDescent="0.2">
      <c r="A71" s="463" t="s">
        <v>290</v>
      </c>
      <c r="B71" s="470">
        <v>1613</v>
      </c>
      <c r="C71" s="551">
        <v>115800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2381</v>
      </c>
      <c r="D73" s="468"/>
      <c r="E73" s="468"/>
      <c r="F73" s="468"/>
      <c r="G73" s="468"/>
      <c r="H73" s="468"/>
      <c r="I73" s="468"/>
      <c r="J73" s="468"/>
      <c r="K73" s="468"/>
    </row>
    <row r="74" spans="1:11" ht="12.75" customHeight="1" x14ac:dyDescent="0.2">
      <c r="A74" s="463" t="s">
        <v>25</v>
      </c>
      <c r="B74" s="470">
        <v>1690</v>
      </c>
      <c r="C74" s="551">
        <v>13155</v>
      </c>
      <c r="D74" s="468"/>
      <c r="E74" s="468"/>
      <c r="F74" s="468"/>
      <c r="G74" s="468"/>
      <c r="H74" s="468"/>
      <c r="I74" s="468"/>
      <c r="J74" s="468"/>
      <c r="K74" s="468"/>
    </row>
    <row r="75" spans="1:11" ht="12.75" customHeight="1" thickBot="1" x14ac:dyDescent="0.25">
      <c r="A75" s="1730" t="s">
        <v>568</v>
      </c>
      <c r="B75" s="1731"/>
      <c r="C75" s="1710">
        <f>SUM(C69:C74)</f>
        <v>483365</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44489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43992</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88481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112789</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694</v>
      </c>
      <c r="D92" s="468"/>
      <c r="E92" s="468"/>
      <c r="F92" s="468"/>
      <c r="G92" s="468"/>
      <c r="H92" s="468"/>
      <c r="I92" s="468"/>
      <c r="J92" s="468"/>
      <c r="K92" s="468"/>
    </row>
    <row r="93" spans="1:11" ht="12.75" customHeight="1" thickBot="1" x14ac:dyDescent="0.25">
      <c r="A93" s="1730" t="s">
        <v>261</v>
      </c>
      <c r="B93" s="1731"/>
      <c r="C93" s="1710">
        <f>SUM(C84:C92)</f>
        <v>113483</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39575</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10000</v>
      </c>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v>5975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16103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166200</v>
      </c>
      <c r="D107" s="466">
        <v>17740</v>
      </c>
      <c r="E107" s="466">
        <v>24523</v>
      </c>
      <c r="F107" s="466">
        <v>146</v>
      </c>
      <c r="G107" s="466">
        <v>3</v>
      </c>
      <c r="H107" s="466"/>
      <c r="I107" s="466"/>
      <c r="J107" s="467"/>
      <c r="K107" s="466"/>
    </row>
    <row r="108" spans="1:12" ht="12.75" customHeight="1" thickBot="1" x14ac:dyDescent="0.25">
      <c r="A108" s="1730" t="s">
        <v>507</v>
      </c>
      <c r="B108" s="1734"/>
      <c r="C108" s="1729">
        <f>SUM(C95:C107)</f>
        <v>192303</v>
      </c>
      <c r="D108" s="1729">
        <f t="shared" ref="D108:K108" si="3">SUM(D95:D107)</f>
        <v>57315</v>
      </c>
      <c r="E108" s="1729">
        <f t="shared" si="3"/>
        <v>24523</v>
      </c>
      <c r="F108" s="1729">
        <f t="shared" si="3"/>
        <v>146</v>
      </c>
      <c r="G108" s="1729">
        <f t="shared" si="3"/>
        <v>3</v>
      </c>
      <c r="H108" s="1729">
        <f t="shared" si="3"/>
        <v>0</v>
      </c>
      <c r="I108" s="1729">
        <f t="shared" si="3"/>
        <v>0</v>
      </c>
      <c r="J108" s="1729">
        <f t="shared" si="3"/>
        <v>5975</v>
      </c>
      <c r="K108" s="1710">
        <f t="shared" si="3"/>
        <v>0</v>
      </c>
    </row>
    <row r="109" spans="1:12" ht="14.25" thickTop="1" thickBot="1" x14ac:dyDescent="0.25">
      <c r="A109" s="1735" t="s">
        <v>266</v>
      </c>
      <c r="B109" s="1736" t="s">
        <v>590</v>
      </c>
      <c r="C109" s="1737">
        <f t="shared" ref="C109:K109" si="4">SUM(C12,C18,C40,C63,C67,C75,C82,C93,C108,)</f>
        <v>4898007</v>
      </c>
      <c r="D109" s="1737">
        <f t="shared" si="4"/>
        <v>1027871</v>
      </c>
      <c r="E109" s="1737">
        <f t="shared" si="4"/>
        <v>1862143</v>
      </c>
      <c r="F109" s="1737">
        <f t="shared" si="4"/>
        <v>398250</v>
      </c>
      <c r="G109" s="1737">
        <f t="shared" si="4"/>
        <v>1100551</v>
      </c>
      <c r="H109" s="1737">
        <f t="shared" si="4"/>
        <v>3864</v>
      </c>
      <c r="I109" s="1737">
        <f t="shared" si="4"/>
        <v>108344</v>
      </c>
      <c r="J109" s="1737">
        <f t="shared" si="4"/>
        <v>2047767</v>
      </c>
      <c r="K109" s="1724">
        <f t="shared" si="4"/>
        <v>102985</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10430457</v>
      </c>
      <c r="D117" s="481"/>
      <c r="E117" s="466"/>
      <c r="F117" s="481">
        <v>180000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10430457</v>
      </c>
      <c r="D121" s="1729">
        <f t="shared" si="5"/>
        <v>0</v>
      </c>
      <c r="E121" s="1729">
        <f t="shared" si="5"/>
        <v>0</v>
      </c>
      <c r="F121" s="1729">
        <f t="shared" si="5"/>
        <v>180000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87401</v>
      </c>
      <c r="D124" s="561"/>
      <c r="E124" s="468"/>
      <c r="F124" s="548"/>
      <c r="G124" s="468"/>
      <c r="H124" s="468"/>
      <c r="I124" s="468"/>
      <c r="J124" s="468"/>
      <c r="K124" s="468"/>
    </row>
    <row r="125" spans="1:11" ht="12.75" customHeight="1" x14ac:dyDescent="0.2">
      <c r="A125" s="463" t="s">
        <v>1520</v>
      </c>
      <c r="B125" s="562">
        <v>3105</v>
      </c>
      <c r="C125" s="466">
        <v>161650</v>
      </c>
      <c r="D125" s="561"/>
      <c r="E125" s="468"/>
      <c r="F125" s="466"/>
      <c r="G125" s="468"/>
      <c r="H125" s="468"/>
      <c r="I125" s="468"/>
      <c r="J125" s="468"/>
      <c r="K125" s="468"/>
    </row>
    <row r="126" spans="1:11" ht="12.75" customHeight="1" x14ac:dyDescent="0.2">
      <c r="A126" s="463" t="s">
        <v>921</v>
      </c>
      <c r="B126" s="562">
        <v>3110</v>
      </c>
      <c r="C126" s="551">
        <v>226453</v>
      </c>
      <c r="D126" s="466"/>
      <c r="E126" s="468"/>
      <c r="F126" s="466"/>
      <c r="G126" s="468"/>
      <c r="H126" s="468"/>
      <c r="I126" s="468"/>
      <c r="J126" s="468"/>
      <c r="K126" s="468"/>
    </row>
    <row r="127" spans="1:11" ht="12.75" customHeight="1" x14ac:dyDescent="0.2">
      <c r="A127" s="463" t="s">
        <v>107</v>
      </c>
      <c r="B127" s="562">
        <v>3120</v>
      </c>
      <c r="C127" s="466">
        <v>77754</v>
      </c>
      <c r="D127" s="561"/>
      <c r="E127" s="468"/>
      <c r="F127" s="466"/>
      <c r="G127" s="468"/>
      <c r="H127" s="468"/>
      <c r="I127" s="468"/>
      <c r="J127" s="468"/>
      <c r="K127" s="468"/>
    </row>
    <row r="128" spans="1:11" ht="12.75" customHeight="1" x14ac:dyDescent="0.2">
      <c r="A128" s="463" t="s">
        <v>1521</v>
      </c>
      <c r="B128" s="562">
        <v>3130</v>
      </c>
      <c r="C128" s="466">
        <v>11906</v>
      </c>
      <c r="D128" s="561"/>
      <c r="E128" s="468"/>
      <c r="F128" s="466"/>
      <c r="G128" s="468"/>
      <c r="H128" s="468"/>
      <c r="I128" s="468"/>
      <c r="J128" s="468"/>
      <c r="K128" s="468"/>
    </row>
    <row r="129" spans="1:11" ht="12.75" customHeight="1" x14ac:dyDescent="0.2">
      <c r="A129" s="463" t="s">
        <v>139</v>
      </c>
      <c r="B129" s="562">
        <v>3145</v>
      </c>
      <c r="C129" s="466">
        <v>33099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598263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57716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57716</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10239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25779</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503095</v>
      </c>
      <c r="G151" s="467"/>
      <c r="H151" s="468"/>
      <c r="I151" s="468"/>
      <c r="J151" s="468"/>
      <c r="K151" s="468"/>
    </row>
    <row r="152" spans="1:11" ht="12.75" customHeight="1" x14ac:dyDescent="0.2">
      <c r="A152" s="463" t="s">
        <v>1116</v>
      </c>
      <c r="B152" s="562">
        <v>3510</v>
      </c>
      <c r="C152" s="551"/>
      <c r="D152" s="466"/>
      <c r="E152" s="561"/>
      <c r="F152" s="466">
        <v>501471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1004566</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226073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417</v>
      </c>
      <c r="B172" s="2164"/>
      <c r="C172" s="1744">
        <f t="shared" ref="C172:K172" si="6">SUM(C131,C140,C144,C145:C149,C154,C155:C170,C171)</f>
        <v>918070</v>
      </c>
      <c r="D172" s="1744">
        <f t="shared" si="6"/>
        <v>0</v>
      </c>
      <c r="E172" s="1744">
        <f t="shared" si="6"/>
        <v>0</v>
      </c>
      <c r="F172" s="1744">
        <f t="shared" si="6"/>
        <v>1004566</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11348527</v>
      </c>
      <c r="D173" s="1737">
        <f>SUM(D121,D172)</f>
        <v>0</v>
      </c>
      <c r="E173" s="1737">
        <f>SUM(E121,E172)</f>
        <v>0</v>
      </c>
      <c r="F173" s="1737">
        <f t="shared" ref="F173:K173" si="7">SUM(F121,F172)</f>
        <v>1184566</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5" t="s">
        <v>1571</v>
      </c>
      <c r="B175" s="2166"/>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9" t="s">
        <v>1763</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1762</v>
      </c>
      <c r="B179" s="2174"/>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1" t="s">
        <v>817</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1902</v>
      </c>
      <c r="B185" s="2168"/>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543735</v>
      </c>
      <c r="D194" s="468"/>
      <c r="E194" s="561"/>
      <c r="F194" s="468"/>
      <c r="G194" s="585"/>
      <c r="H194" s="468"/>
      <c r="I194" s="468"/>
      <c r="J194" s="468"/>
      <c r="K194" s="468"/>
    </row>
    <row r="195" spans="1:11" ht="12.75" customHeight="1" x14ac:dyDescent="0.2">
      <c r="A195" s="463" t="s">
        <v>1106</v>
      </c>
      <c r="B195" s="470">
        <v>4215</v>
      </c>
      <c r="C195" s="551">
        <v>1300</v>
      </c>
      <c r="D195" s="468"/>
      <c r="E195" s="561"/>
      <c r="F195" s="468"/>
      <c r="G195" s="585"/>
      <c r="H195" s="468"/>
      <c r="I195" s="468"/>
      <c r="J195" s="468"/>
      <c r="K195" s="468"/>
    </row>
    <row r="196" spans="1:11" ht="12.75" customHeight="1" x14ac:dyDescent="0.2">
      <c r="A196" s="463" t="s">
        <v>1118</v>
      </c>
      <c r="B196" s="470">
        <v>4220</v>
      </c>
      <c r="C196" s="551">
        <v>185099</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v>105513</v>
      </c>
      <c r="D200" s="468"/>
      <c r="E200" s="561"/>
      <c r="F200" s="468"/>
      <c r="G200" s="585"/>
      <c r="H200" s="468"/>
      <c r="I200" s="468"/>
      <c r="J200" s="468"/>
      <c r="K200" s="468"/>
    </row>
    <row r="201" spans="1:11" ht="12.75" customHeight="1" thickBot="1" x14ac:dyDescent="0.25">
      <c r="A201" s="1730" t="s">
        <v>568</v>
      </c>
      <c r="B201" s="1731"/>
      <c r="C201" s="1710">
        <f>SUM(C193:C200)</f>
        <v>835647</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863112</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863112</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2315</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2315</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28549</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679589</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708138</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26947</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26947</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137279</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33554</v>
      </c>
      <c r="D270" s="576"/>
      <c r="E270" s="468"/>
      <c r="F270" s="576"/>
      <c r="G270" s="576"/>
      <c r="H270" s="468"/>
      <c r="I270" s="468"/>
      <c r="J270" s="468"/>
      <c r="K270" s="468"/>
    </row>
    <row r="271" spans="1:11" ht="12.75" customHeight="1" thickTop="1" thickBot="1" x14ac:dyDescent="0.25">
      <c r="A271" s="463" t="s">
        <v>394</v>
      </c>
      <c r="B271" s="470">
        <v>4992</v>
      </c>
      <c r="C271" s="575">
        <v>85972</v>
      </c>
      <c r="D271" s="576"/>
      <c r="E271" s="468"/>
      <c r="F271" s="576"/>
      <c r="G271" s="576"/>
      <c r="H271" s="468"/>
      <c r="I271" s="468"/>
      <c r="J271" s="468"/>
      <c r="K271" s="468"/>
    </row>
    <row r="272" spans="1:11" s="594" customFormat="1" ht="12.75" customHeight="1" thickTop="1" thickBot="1" x14ac:dyDescent="0.25">
      <c r="A272" s="563" t="s">
        <v>77</v>
      </c>
      <c r="B272" s="557">
        <v>4999</v>
      </c>
      <c r="C272" s="575">
        <v>13014</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2705978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2705978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18952512</v>
      </c>
      <c r="D275" s="1737">
        <f t="shared" si="12"/>
        <v>1027871</v>
      </c>
      <c r="E275" s="1737">
        <f t="shared" si="12"/>
        <v>1862143</v>
      </c>
      <c r="F275" s="1737">
        <f t="shared" si="12"/>
        <v>1582816</v>
      </c>
      <c r="G275" s="1737">
        <f t="shared" si="12"/>
        <v>1100551</v>
      </c>
      <c r="H275" s="1737">
        <f t="shared" si="12"/>
        <v>3864</v>
      </c>
      <c r="I275" s="1737">
        <f t="shared" si="12"/>
        <v>108344</v>
      </c>
      <c r="J275" s="1737">
        <f t="shared" si="12"/>
        <v>2047767</v>
      </c>
      <c r="K275" s="1724">
        <f t="shared" si="12"/>
        <v>102985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1"/>
  <headerFooter>
    <oddHeader>&amp;C&amp;"Times New Roman,Regular"BETHALTO COMMUNITY UNIT SCHOOL DISTRICT NO. 8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7" activePane="bottomLeft" state="frozen"/>
      <selection activeCell="AF38" sqref="AF38"/>
      <selection pane="bottomLeft" activeCell="E124" sqref="E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6407996</v>
      </c>
      <c r="D5" s="466">
        <v>260053</v>
      </c>
      <c r="E5" s="466">
        <v>4422</v>
      </c>
      <c r="F5" s="466">
        <v>75153</v>
      </c>
      <c r="G5" s="466"/>
      <c r="H5" s="466"/>
      <c r="I5" s="467"/>
      <c r="J5" s="467"/>
      <c r="K5" s="1693">
        <f>SUM(C5:J5)</f>
        <v>6747624</v>
      </c>
      <c r="L5" s="466">
        <v>6819701</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85395</v>
      </c>
      <c r="D7" s="467">
        <v>5678</v>
      </c>
      <c r="E7" s="467"/>
      <c r="F7" s="467">
        <v>8162</v>
      </c>
      <c r="G7" s="467">
        <v>8509</v>
      </c>
      <c r="H7" s="467"/>
      <c r="I7" s="467"/>
      <c r="J7" s="467"/>
      <c r="K7" s="1693">
        <f t="shared" ref="K7:K32" si="0">SUM(C7:J7)</f>
        <v>107744</v>
      </c>
      <c r="L7" s="466">
        <v>74035</v>
      </c>
    </row>
    <row r="8" spans="1:14" x14ac:dyDescent="0.2">
      <c r="A8" s="1526" t="s">
        <v>166</v>
      </c>
      <c r="B8" s="615">
        <v>1200</v>
      </c>
      <c r="C8" s="466">
        <v>1947201</v>
      </c>
      <c r="D8" s="466">
        <v>105872</v>
      </c>
      <c r="E8" s="466">
        <v>44655</v>
      </c>
      <c r="F8" s="466">
        <v>11490</v>
      </c>
      <c r="G8" s="466">
        <v>501</v>
      </c>
      <c r="H8" s="466"/>
      <c r="I8" s="467"/>
      <c r="J8" s="467"/>
      <c r="K8" s="1693">
        <f t="shared" si="0"/>
        <v>2109719</v>
      </c>
      <c r="L8" s="466">
        <v>2063513</v>
      </c>
    </row>
    <row r="9" spans="1:14" x14ac:dyDescent="0.2">
      <c r="A9" s="1526" t="s">
        <v>744</v>
      </c>
      <c r="B9" s="615" t="s">
        <v>1024</v>
      </c>
      <c r="C9" s="467">
        <v>84813</v>
      </c>
      <c r="D9" s="467">
        <v>7280</v>
      </c>
      <c r="E9" s="467"/>
      <c r="F9" s="467">
        <v>491</v>
      </c>
      <c r="G9" s="467"/>
      <c r="H9" s="467"/>
      <c r="I9" s="467"/>
      <c r="J9" s="467"/>
      <c r="K9" s="1693">
        <f t="shared" si="0"/>
        <v>92584</v>
      </c>
      <c r="L9" s="466">
        <v>120953</v>
      </c>
    </row>
    <row r="10" spans="1:14" x14ac:dyDescent="0.2">
      <c r="A10" s="1526" t="s">
        <v>745</v>
      </c>
      <c r="B10" s="615">
        <v>1250</v>
      </c>
      <c r="C10" s="466">
        <v>453251</v>
      </c>
      <c r="D10" s="466">
        <v>66398</v>
      </c>
      <c r="E10" s="466">
        <v>1589</v>
      </c>
      <c r="F10" s="466">
        <v>31783</v>
      </c>
      <c r="G10" s="466"/>
      <c r="H10" s="466"/>
      <c r="I10" s="467"/>
      <c r="J10" s="467"/>
      <c r="K10" s="1693">
        <f t="shared" si="0"/>
        <v>553021</v>
      </c>
      <c r="L10" s="466">
        <v>541616</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359240</v>
      </c>
      <c r="D13" s="466">
        <v>13388</v>
      </c>
      <c r="E13" s="466">
        <v>3635</v>
      </c>
      <c r="F13" s="466">
        <v>44038</v>
      </c>
      <c r="G13" s="466">
        <v>42079</v>
      </c>
      <c r="H13" s="466"/>
      <c r="I13" s="467"/>
      <c r="J13" s="467"/>
      <c r="K13" s="1693">
        <f t="shared" si="0"/>
        <v>462380</v>
      </c>
      <c r="L13" s="466">
        <v>364372</v>
      </c>
    </row>
    <row r="14" spans="1:14" x14ac:dyDescent="0.2">
      <c r="A14" s="1526" t="s">
        <v>1019</v>
      </c>
      <c r="B14" s="615">
        <v>1500</v>
      </c>
      <c r="C14" s="466">
        <v>285198</v>
      </c>
      <c r="D14" s="466">
        <v>4496</v>
      </c>
      <c r="E14" s="466">
        <v>45509</v>
      </c>
      <c r="F14" s="466">
        <v>18256</v>
      </c>
      <c r="G14" s="466">
        <v>8501</v>
      </c>
      <c r="H14" s="466">
        <v>26009</v>
      </c>
      <c r="I14" s="467"/>
      <c r="J14" s="467"/>
      <c r="K14" s="1693">
        <f t="shared" si="0"/>
        <v>387969</v>
      </c>
      <c r="L14" s="466">
        <v>397551</v>
      </c>
    </row>
    <row r="15" spans="1:14" x14ac:dyDescent="0.2">
      <c r="A15" s="1526" t="s">
        <v>1020</v>
      </c>
      <c r="B15" s="615">
        <v>1600</v>
      </c>
      <c r="C15" s="466">
        <v>41479</v>
      </c>
      <c r="D15" s="466"/>
      <c r="E15" s="466"/>
      <c r="F15" s="466"/>
      <c r="G15" s="466"/>
      <c r="H15" s="466"/>
      <c r="I15" s="467"/>
      <c r="J15" s="467"/>
      <c r="K15" s="1693">
        <f t="shared" si="0"/>
        <v>41479</v>
      </c>
      <c r="L15" s="466">
        <v>39380</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29205</v>
      </c>
      <c r="D17" s="467">
        <v>1699</v>
      </c>
      <c r="E17" s="467"/>
      <c r="F17" s="467">
        <v>248</v>
      </c>
      <c r="G17" s="467"/>
      <c r="H17" s="467"/>
      <c r="I17" s="467"/>
      <c r="J17" s="467"/>
      <c r="K17" s="1693">
        <f t="shared" si="0"/>
        <v>31152</v>
      </c>
      <c r="L17" s="466">
        <v>63675</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v>20295</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434338</v>
      </c>
      <c r="I22" s="617"/>
      <c r="J22" s="477"/>
      <c r="K22" s="1693">
        <f t="shared" si="0"/>
        <v>434338</v>
      </c>
      <c r="L22" s="471">
        <v>773510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9693778</v>
      </c>
      <c r="D33" s="1692">
        <f t="shared" ref="D33:L33" si="1">SUM(D5:D32)</f>
        <v>464864</v>
      </c>
      <c r="E33" s="1692">
        <f t="shared" si="1"/>
        <v>99810</v>
      </c>
      <c r="F33" s="1692">
        <f t="shared" si="1"/>
        <v>189621</v>
      </c>
      <c r="G33" s="1692">
        <f t="shared" si="1"/>
        <v>59590</v>
      </c>
      <c r="H33" s="1692">
        <f t="shared" si="1"/>
        <v>460347</v>
      </c>
      <c r="I33" s="1692">
        <f t="shared" si="1"/>
        <v>0</v>
      </c>
      <c r="J33" s="1692">
        <f t="shared" si="1"/>
        <v>0</v>
      </c>
      <c r="K33" s="1692">
        <f t="shared" si="1"/>
        <v>10968010</v>
      </c>
      <c r="L33" s="1692">
        <f t="shared" si="1"/>
        <v>11278601</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283186</v>
      </c>
      <c r="D36" s="481">
        <v>54705</v>
      </c>
      <c r="E36" s="481">
        <v>978</v>
      </c>
      <c r="F36" s="481">
        <v>247</v>
      </c>
      <c r="G36" s="481"/>
      <c r="H36" s="481"/>
      <c r="I36" s="467"/>
      <c r="J36" s="467"/>
      <c r="K36" s="1693">
        <f t="shared" ref="K36:K41" si="2">SUM(C36:J36)</f>
        <v>339116</v>
      </c>
      <c r="L36" s="466">
        <v>992498</v>
      </c>
    </row>
    <row r="37" spans="1:14" x14ac:dyDescent="0.2">
      <c r="A37" s="1526" t="s">
        <v>1150</v>
      </c>
      <c r="B37" s="615">
        <v>2120</v>
      </c>
      <c r="C37" s="466">
        <v>79649</v>
      </c>
      <c r="D37" s="466"/>
      <c r="E37" s="466"/>
      <c r="F37" s="466">
        <v>50</v>
      </c>
      <c r="G37" s="466"/>
      <c r="H37" s="466"/>
      <c r="I37" s="467"/>
      <c r="J37" s="467"/>
      <c r="K37" s="1693">
        <f t="shared" si="2"/>
        <v>79699</v>
      </c>
      <c r="L37" s="466"/>
    </row>
    <row r="38" spans="1:14" x14ac:dyDescent="0.2">
      <c r="A38" s="1526" t="s">
        <v>207</v>
      </c>
      <c r="B38" s="615">
        <v>2130</v>
      </c>
      <c r="C38" s="466">
        <v>133872</v>
      </c>
      <c r="D38" s="466"/>
      <c r="E38" s="466">
        <v>495</v>
      </c>
      <c r="F38" s="466">
        <v>2261</v>
      </c>
      <c r="G38" s="466"/>
      <c r="H38" s="466"/>
      <c r="I38" s="467"/>
      <c r="J38" s="467"/>
      <c r="K38" s="1693">
        <f t="shared" si="2"/>
        <v>136628</v>
      </c>
      <c r="L38" s="466"/>
    </row>
    <row r="39" spans="1:14" x14ac:dyDescent="0.2">
      <c r="A39" s="1526" t="s">
        <v>208</v>
      </c>
      <c r="B39" s="615">
        <v>2140</v>
      </c>
      <c r="C39" s="466">
        <v>116970</v>
      </c>
      <c r="D39" s="466"/>
      <c r="E39" s="466">
        <v>245</v>
      </c>
      <c r="F39" s="466"/>
      <c r="G39" s="466"/>
      <c r="H39" s="466"/>
      <c r="I39" s="467"/>
      <c r="J39" s="467"/>
      <c r="K39" s="1693">
        <f t="shared" si="2"/>
        <v>117215</v>
      </c>
      <c r="L39" s="466"/>
    </row>
    <row r="40" spans="1:14" x14ac:dyDescent="0.2">
      <c r="A40" s="1526" t="s">
        <v>209</v>
      </c>
      <c r="B40" s="615">
        <v>2150</v>
      </c>
      <c r="C40" s="466">
        <v>241328</v>
      </c>
      <c r="D40" s="466"/>
      <c r="E40" s="466">
        <v>1625</v>
      </c>
      <c r="F40" s="466"/>
      <c r="G40" s="466"/>
      <c r="H40" s="466"/>
      <c r="I40" s="467"/>
      <c r="J40" s="467"/>
      <c r="K40" s="1693">
        <f t="shared" si="2"/>
        <v>242953</v>
      </c>
      <c r="L40" s="466"/>
    </row>
    <row r="41" spans="1:14" x14ac:dyDescent="0.2">
      <c r="A41" s="1526" t="s">
        <v>1767</v>
      </c>
      <c r="B41" s="615">
        <v>2190</v>
      </c>
      <c r="C41" s="466">
        <v>7560</v>
      </c>
      <c r="D41" s="466"/>
      <c r="E41" s="466">
        <v>6400</v>
      </c>
      <c r="F41" s="466"/>
      <c r="G41" s="466"/>
      <c r="H41" s="466"/>
      <c r="I41" s="467"/>
      <c r="J41" s="467"/>
      <c r="K41" s="1693">
        <f t="shared" si="2"/>
        <v>13960</v>
      </c>
      <c r="L41" s="466"/>
    </row>
    <row r="42" spans="1:14" ht="12.75" customHeight="1" thickBot="1" x14ac:dyDescent="0.25">
      <c r="A42" s="1690" t="s">
        <v>580</v>
      </c>
      <c r="B42" s="1691" t="s">
        <v>739</v>
      </c>
      <c r="C42" s="1692">
        <f>SUM(C36:C41)</f>
        <v>862565</v>
      </c>
      <c r="D42" s="1692">
        <f t="shared" ref="D42:L42" si="3">SUM(D36:D41)</f>
        <v>54705</v>
      </c>
      <c r="E42" s="1692">
        <f t="shared" si="3"/>
        <v>9743</v>
      </c>
      <c r="F42" s="1692">
        <f t="shared" si="3"/>
        <v>2558</v>
      </c>
      <c r="G42" s="1692">
        <f t="shared" si="3"/>
        <v>0</v>
      </c>
      <c r="H42" s="1692">
        <f t="shared" si="3"/>
        <v>0</v>
      </c>
      <c r="I42" s="1692">
        <f t="shared" si="3"/>
        <v>0</v>
      </c>
      <c r="J42" s="1692">
        <f t="shared" si="3"/>
        <v>0</v>
      </c>
      <c r="K42" s="1692">
        <f t="shared" si="3"/>
        <v>929571</v>
      </c>
      <c r="L42" s="1692">
        <f t="shared" si="3"/>
        <v>992498</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61356</v>
      </c>
      <c r="D44" s="481">
        <v>3449</v>
      </c>
      <c r="E44" s="481">
        <v>20498</v>
      </c>
      <c r="F44" s="481"/>
      <c r="G44" s="481"/>
      <c r="H44" s="481">
        <v>2963</v>
      </c>
      <c r="I44" s="467"/>
      <c r="J44" s="467"/>
      <c r="K44" s="1694">
        <f>SUM(C44:J44)</f>
        <v>88266</v>
      </c>
      <c r="L44" s="481">
        <v>181696</v>
      </c>
    </row>
    <row r="45" spans="1:14" x14ac:dyDescent="0.2">
      <c r="A45" s="1526" t="s">
        <v>868</v>
      </c>
      <c r="B45" s="615">
        <v>2220</v>
      </c>
      <c r="C45" s="466">
        <v>234721</v>
      </c>
      <c r="D45" s="466">
        <v>12015</v>
      </c>
      <c r="E45" s="466">
        <v>87064</v>
      </c>
      <c r="F45" s="466">
        <v>64569</v>
      </c>
      <c r="G45" s="466">
        <v>22953</v>
      </c>
      <c r="H45" s="466"/>
      <c r="I45" s="467"/>
      <c r="J45" s="467"/>
      <c r="K45" s="1694">
        <f>SUM(C45:J45)</f>
        <v>421322</v>
      </c>
      <c r="L45" s="466">
        <v>435018</v>
      </c>
    </row>
    <row r="46" spans="1:14" x14ac:dyDescent="0.2">
      <c r="A46" s="1526" t="s">
        <v>869</v>
      </c>
      <c r="B46" s="615">
        <v>2230</v>
      </c>
      <c r="C46" s="466"/>
      <c r="D46" s="466"/>
      <c r="E46" s="466">
        <v>34303</v>
      </c>
      <c r="F46" s="466"/>
      <c r="G46" s="466"/>
      <c r="H46" s="466"/>
      <c r="I46" s="467"/>
      <c r="J46" s="467"/>
      <c r="K46" s="1694">
        <f>SUM(C46:J46)</f>
        <v>34303</v>
      </c>
      <c r="L46" s="466">
        <v>7550</v>
      </c>
    </row>
    <row r="47" spans="1:14" ht="12.75" customHeight="1" thickBot="1" x14ac:dyDescent="0.25">
      <c r="A47" s="1690" t="s">
        <v>581</v>
      </c>
      <c r="B47" s="1691" t="s">
        <v>32</v>
      </c>
      <c r="C47" s="1692">
        <f>SUM(C44:C46)</f>
        <v>296077</v>
      </c>
      <c r="D47" s="1692">
        <f t="shared" ref="D47:K47" si="4">SUM(D44:D46)</f>
        <v>15464</v>
      </c>
      <c r="E47" s="1692">
        <f t="shared" si="4"/>
        <v>141865</v>
      </c>
      <c r="F47" s="1692">
        <f t="shared" si="4"/>
        <v>64569</v>
      </c>
      <c r="G47" s="1692">
        <f t="shared" si="4"/>
        <v>22953</v>
      </c>
      <c r="H47" s="1692">
        <f t="shared" si="4"/>
        <v>2963</v>
      </c>
      <c r="I47" s="1692">
        <f t="shared" si="4"/>
        <v>0</v>
      </c>
      <c r="J47" s="1692">
        <f t="shared" si="4"/>
        <v>0</v>
      </c>
      <c r="K47" s="1692">
        <f t="shared" si="4"/>
        <v>543891</v>
      </c>
      <c r="L47" s="1692">
        <f>SUM(L44:L46)</f>
        <v>624264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40085</v>
      </c>
      <c r="D49" s="481">
        <v>278091</v>
      </c>
      <c r="E49" s="481">
        <v>39508</v>
      </c>
      <c r="F49" s="481">
        <v>7676</v>
      </c>
      <c r="G49" s="481"/>
      <c r="H49" s="481">
        <v>25823</v>
      </c>
      <c r="I49" s="467"/>
      <c r="J49" s="467">
        <v>72153</v>
      </c>
      <c r="K49" s="1694">
        <f>SUM(C49:J49)</f>
        <v>463336</v>
      </c>
      <c r="L49" s="481">
        <v>524243</v>
      </c>
    </row>
    <row r="50" spans="1:14" x14ac:dyDescent="0.2">
      <c r="A50" s="1526" t="s">
        <v>871</v>
      </c>
      <c r="B50" s="615">
        <v>2320</v>
      </c>
      <c r="C50" s="466">
        <v>310939</v>
      </c>
      <c r="D50" s="466">
        <v>8315</v>
      </c>
      <c r="E50" s="466">
        <v>545</v>
      </c>
      <c r="F50" s="466">
        <v>3137</v>
      </c>
      <c r="G50" s="466">
        <v>689</v>
      </c>
      <c r="H50" s="466">
        <v>690</v>
      </c>
      <c r="I50" s="467"/>
      <c r="J50" s="467"/>
      <c r="K50" s="1694">
        <f>SUM(C50:J50)</f>
        <v>324315</v>
      </c>
      <c r="L50" s="466">
        <v>311647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351024</v>
      </c>
      <c r="D53" s="1692">
        <f t="shared" ref="D53:L53" si="5">SUM(D49:D52)</f>
        <v>286406</v>
      </c>
      <c r="E53" s="1692">
        <f t="shared" si="5"/>
        <v>40053</v>
      </c>
      <c r="F53" s="1692">
        <f t="shared" si="5"/>
        <v>10813</v>
      </c>
      <c r="G53" s="1692">
        <f t="shared" si="5"/>
        <v>689</v>
      </c>
      <c r="H53" s="1692">
        <f t="shared" si="5"/>
        <v>26513</v>
      </c>
      <c r="I53" s="1692">
        <f t="shared" si="5"/>
        <v>0</v>
      </c>
      <c r="J53" s="1692">
        <f t="shared" si="5"/>
        <v>72153</v>
      </c>
      <c r="K53" s="1692">
        <f t="shared" si="5"/>
        <v>787651</v>
      </c>
      <c r="L53" s="1692">
        <f t="shared" si="5"/>
        <v>835890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885255</v>
      </c>
      <c r="D55" s="481">
        <v>14526</v>
      </c>
      <c r="E55" s="481">
        <v>10505</v>
      </c>
      <c r="F55" s="481">
        <v>4602</v>
      </c>
      <c r="G55" s="481"/>
      <c r="H55" s="481">
        <v>1819</v>
      </c>
      <c r="I55" s="467"/>
      <c r="J55" s="467"/>
      <c r="K55" s="1694">
        <f>SUM(C55:J55)</f>
        <v>916707</v>
      </c>
      <c r="L55" s="481">
        <v>996728</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885255</v>
      </c>
      <c r="D57" s="1696">
        <f t="shared" ref="D57:K57" si="6">SUM(D55:D56)</f>
        <v>14526</v>
      </c>
      <c r="E57" s="1696">
        <f t="shared" si="6"/>
        <v>10505</v>
      </c>
      <c r="F57" s="1696">
        <f t="shared" si="6"/>
        <v>4602</v>
      </c>
      <c r="G57" s="1696">
        <f t="shared" si="6"/>
        <v>0</v>
      </c>
      <c r="H57" s="1696">
        <f t="shared" si="6"/>
        <v>1819</v>
      </c>
      <c r="I57" s="1696">
        <f t="shared" si="6"/>
        <v>0</v>
      </c>
      <c r="J57" s="1696">
        <f t="shared" si="6"/>
        <v>0</v>
      </c>
      <c r="K57" s="1696">
        <f t="shared" si="6"/>
        <v>916707</v>
      </c>
      <c r="L57" s="1692">
        <f>SUM(L55:L56)</f>
        <v>996728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121252</v>
      </c>
      <c r="D60" s="466">
        <v>10217</v>
      </c>
      <c r="E60" s="466">
        <v>40291</v>
      </c>
      <c r="F60" s="466">
        <v>2889</v>
      </c>
      <c r="G60" s="466"/>
      <c r="H60" s="466"/>
      <c r="I60" s="467"/>
      <c r="J60" s="467"/>
      <c r="K60" s="1694">
        <f t="shared" si="7"/>
        <v>174649</v>
      </c>
      <c r="L60" s="466">
        <v>181478</v>
      </c>
      <c r="M60" s="610"/>
      <c r="N60" s="610"/>
    </row>
    <row r="61" spans="1:14" s="343" customFormat="1" x14ac:dyDescent="0.2">
      <c r="A61" s="1526" t="s">
        <v>206</v>
      </c>
      <c r="B61" s="615">
        <v>2540</v>
      </c>
      <c r="C61" s="466">
        <v>501898</v>
      </c>
      <c r="D61" s="466">
        <v>50725</v>
      </c>
      <c r="E61" s="466">
        <v>115169</v>
      </c>
      <c r="F61" s="466">
        <v>225578</v>
      </c>
      <c r="G61" s="466"/>
      <c r="H61" s="466"/>
      <c r="I61" s="467"/>
      <c r="J61" s="467"/>
      <c r="K61" s="1694">
        <f t="shared" si="7"/>
        <v>893370</v>
      </c>
      <c r="L61" s="466">
        <v>705170</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467702</v>
      </c>
      <c r="D63" s="466">
        <v>56723</v>
      </c>
      <c r="E63" s="466">
        <v>14648</v>
      </c>
      <c r="F63" s="466">
        <v>563899</v>
      </c>
      <c r="G63" s="466">
        <v>21673</v>
      </c>
      <c r="H63" s="466"/>
      <c r="I63" s="467"/>
      <c r="J63" s="467"/>
      <c r="K63" s="1694">
        <f t="shared" si="7"/>
        <v>1124645</v>
      </c>
      <c r="L63" s="466">
        <v>1104539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1090852</v>
      </c>
      <c r="D65" s="1692">
        <f t="shared" ref="D65:L65" si="8">SUM(D59:D64)</f>
        <v>117665</v>
      </c>
      <c r="E65" s="1692">
        <f t="shared" si="8"/>
        <v>170108</v>
      </c>
      <c r="F65" s="1692">
        <f t="shared" si="8"/>
        <v>792366</v>
      </c>
      <c r="G65" s="1692">
        <f t="shared" si="8"/>
        <v>21673</v>
      </c>
      <c r="H65" s="1692">
        <f t="shared" si="8"/>
        <v>0</v>
      </c>
      <c r="I65" s="1692">
        <f t="shared" si="8"/>
        <v>0</v>
      </c>
      <c r="J65" s="1692">
        <f t="shared" si="8"/>
        <v>0</v>
      </c>
      <c r="K65" s="1692">
        <f t="shared" si="8"/>
        <v>2192664</v>
      </c>
      <c r="L65" s="1692">
        <f t="shared" si="8"/>
        <v>1991187</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3485773</v>
      </c>
      <c r="D74" s="1699">
        <f t="shared" ref="D74:K74" si="10">SUM(D42,D47,D53,D57,D65,D72,D73)</f>
        <v>488766</v>
      </c>
      <c r="E74" s="1699">
        <f t="shared" si="10"/>
        <v>372274</v>
      </c>
      <c r="F74" s="1699">
        <f t="shared" si="10"/>
        <v>874908</v>
      </c>
      <c r="G74" s="1699">
        <f t="shared" si="10"/>
        <v>45315</v>
      </c>
      <c r="H74" s="1699">
        <f t="shared" si="10"/>
        <v>31295</v>
      </c>
      <c r="I74" s="1699">
        <f t="shared" si="10"/>
        <v>0</v>
      </c>
      <c r="J74" s="1699">
        <f t="shared" si="10"/>
        <v>72153</v>
      </c>
      <c r="K74" s="1699">
        <f t="shared" si="10"/>
        <v>5370484</v>
      </c>
      <c r="L74" s="1699">
        <f>SUM(L42,L47,L53,L57,L65,L72,L73)</f>
        <v>5440567</v>
      </c>
    </row>
    <row r="75" spans="1:14" s="259" customFormat="1" ht="15.75" customHeight="1" thickTop="1" thickBot="1" x14ac:dyDescent="0.25">
      <c r="A75" s="1632" t="s">
        <v>49</v>
      </c>
      <c r="B75" s="1633" t="s">
        <v>595</v>
      </c>
      <c r="C75" s="573">
        <v>19957</v>
      </c>
      <c r="D75" s="573">
        <v>428</v>
      </c>
      <c r="E75" s="573">
        <v>7085</v>
      </c>
      <c r="F75" s="573">
        <v>5023</v>
      </c>
      <c r="G75" s="573"/>
      <c r="H75" s="573"/>
      <c r="I75" s="531"/>
      <c r="J75" s="531"/>
      <c r="K75" s="1692">
        <f>SUM(C75:J75)</f>
        <v>32493</v>
      </c>
      <c r="L75" s="576">
        <v>52630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v>76775</v>
      </c>
      <c r="I79" s="477"/>
      <c r="J79" s="477"/>
      <c r="K79" s="1693">
        <f t="shared" si="11"/>
        <v>76775</v>
      </c>
      <c r="L79" s="466">
        <v>71770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v>2224</v>
      </c>
      <c r="F83" s="617"/>
      <c r="G83" s="617"/>
      <c r="H83" s="466"/>
      <c r="I83" s="477"/>
      <c r="J83" s="477"/>
      <c r="K83" s="1693">
        <f t="shared" si="11"/>
        <v>2224</v>
      </c>
      <c r="L83" s="466">
        <v>3740</v>
      </c>
    </row>
    <row r="84" spans="1:12" ht="13.5" thickBot="1" x14ac:dyDescent="0.25">
      <c r="A84" s="1690" t="s">
        <v>1564</v>
      </c>
      <c r="B84" s="1700">
        <v>4100</v>
      </c>
      <c r="C84" s="617"/>
      <c r="D84" s="617"/>
      <c r="E84" s="1692">
        <f>SUM(E78:E83)</f>
        <v>2224</v>
      </c>
      <c r="F84" s="617"/>
      <c r="G84" s="617"/>
      <c r="H84" s="1692">
        <f>SUM(H78:H83)</f>
        <v>76775</v>
      </c>
      <c r="I84" s="477"/>
      <c r="J84" s="477"/>
      <c r="K84" s="1692">
        <f>SUM(K78:K83)</f>
        <v>78999</v>
      </c>
      <c r="L84" s="1692">
        <f>SUM(L78:L83)</f>
        <v>75510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v>134331</v>
      </c>
      <c r="I94" s="477"/>
      <c r="J94" s="477"/>
      <c r="K94" s="1699">
        <f t="shared" si="12"/>
        <v>134331</v>
      </c>
      <c r="L94" s="530">
        <v>66200</v>
      </c>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134331</v>
      </c>
      <c r="I100" s="477"/>
      <c r="J100" s="477"/>
      <c r="K100" s="1699">
        <f>SUM(K93:K99)</f>
        <v>134331</v>
      </c>
      <c r="L100" s="1699">
        <f>SUM(L93:L99)</f>
        <v>66200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2224</v>
      </c>
      <c r="F102" s="617"/>
      <c r="G102" s="617"/>
      <c r="H102" s="1699">
        <f>SUM(H84,H92,H100,H101)</f>
        <v>211106</v>
      </c>
      <c r="I102" s="477"/>
      <c r="J102" s="477"/>
      <c r="K102" s="1699">
        <f>SUM(K84,K92,K100,K101)</f>
        <v>213330</v>
      </c>
      <c r="L102" s="1699">
        <f>SUM(L84,L92,L100,L101)</f>
        <v>141710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13199508</v>
      </c>
      <c r="D114" s="1692">
        <f t="shared" ref="D114:K114" si="13">SUM(D33,D74,D75,D102,D112,D113)</f>
        <v>954058</v>
      </c>
      <c r="E114" s="1692">
        <f t="shared" si="13"/>
        <v>481393</v>
      </c>
      <c r="F114" s="1692">
        <f t="shared" si="13"/>
        <v>1069552</v>
      </c>
      <c r="G114" s="1692">
        <f t="shared" si="13"/>
        <v>104905</v>
      </c>
      <c r="H114" s="1692">
        <f>SUM(H33,H74,H75,H102,H112,H113)</f>
        <v>702748</v>
      </c>
      <c r="I114" s="1692">
        <f t="shared" si="13"/>
        <v>0</v>
      </c>
      <c r="J114" s="1692">
        <f t="shared" si="13"/>
        <v>72153</v>
      </c>
      <c r="K114" s="1692">
        <f t="shared" si="13"/>
        <v>16584317</v>
      </c>
      <c r="L114" s="1692">
        <f>SUM(L33,L74,L75,L102,L112,L113)</f>
        <v>16913508</v>
      </c>
    </row>
    <row r="115" spans="1:14" ht="13.5" thickTop="1" x14ac:dyDescent="0.2">
      <c r="A115" s="2200" t="s">
        <v>1052</v>
      </c>
      <c r="B115" s="2201"/>
      <c r="C115" s="619"/>
      <c r="D115" s="619"/>
      <c r="E115" s="619"/>
      <c r="F115" s="619"/>
      <c r="G115" s="619"/>
      <c r="H115" s="619"/>
      <c r="I115" s="619"/>
      <c r="J115" s="619"/>
      <c r="K115" s="1706">
        <f>'Revenues 9-14'!C275-'Expenditures 15-22'!K114</f>
        <v>2368195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150653</v>
      </c>
      <c r="D124" s="466">
        <v>10864</v>
      </c>
      <c r="E124" s="466">
        <v>173897</v>
      </c>
      <c r="F124" s="466">
        <v>301426</v>
      </c>
      <c r="G124" s="466">
        <v>11206</v>
      </c>
      <c r="H124" s="466"/>
      <c r="I124" s="467"/>
      <c r="J124" s="467"/>
      <c r="K124" s="1692">
        <f>SUM(C124:J124)</f>
        <v>648046</v>
      </c>
      <c r="L124" s="466">
        <v>860997</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150653</v>
      </c>
      <c r="D127" s="1692">
        <f t="shared" ref="D127:L127" si="14">SUM(D122:D126)</f>
        <v>10864</v>
      </c>
      <c r="E127" s="1692">
        <f t="shared" si="14"/>
        <v>173897</v>
      </c>
      <c r="F127" s="1692">
        <f t="shared" si="14"/>
        <v>301426</v>
      </c>
      <c r="G127" s="1692">
        <f t="shared" si="14"/>
        <v>11206</v>
      </c>
      <c r="H127" s="1692">
        <f t="shared" si="14"/>
        <v>0</v>
      </c>
      <c r="I127" s="1692">
        <f t="shared" si="14"/>
        <v>0</v>
      </c>
      <c r="J127" s="1692">
        <f t="shared" si="14"/>
        <v>0</v>
      </c>
      <c r="K127" s="1692">
        <f t="shared" si="14"/>
        <v>648046</v>
      </c>
      <c r="L127" s="1692">
        <f t="shared" si="14"/>
        <v>860997</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150653</v>
      </c>
      <c r="D129" s="1699">
        <f t="shared" ref="D129:L129" si="15">SUM(D120,D127,D128)</f>
        <v>10864</v>
      </c>
      <c r="E129" s="1699">
        <f t="shared" si="15"/>
        <v>173897</v>
      </c>
      <c r="F129" s="1699">
        <f t="shared" si="15"/>
        <v>301426</v>
      </c>
      <c r="G129" s="1699">
        <f t="shared" si="15"/>
        <v>11206</v>
      </c>
      <c r="H129" s="1699">
        <f t="shared" si="15"/>
        <v>0</v>
      </c>
      <c r="I129" s="1699">
        <f t="shared" si="15"/>
        <v>0</v>
      </c>
      <c r="J129" s="1699">
        <f t="shared" si="15"/>
        <v>0</v>
      </c>
      <c r="K129" s="1699">
        <f t="shared" si="15"/>
        <v>648046</v>
      </c>
      <c r="L129" s="1699">
        <f t="shared" si="15"/>
        <v>860997</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0" t="s">
        <v>640</v>
      </c>
      <c r="B151" s="2172"/>
      <c r="C151" s="1692">
        <f>SUM(C129,C130,C139,C149,C150)</f>
        <v>150653</v>
      </c>
      <c r="D151" s="1692">
        <f t="shared" ref="D151:K151" si="16">SUM(D129,D130,D139,D149,D150)</f>
        <v>10864</v>
      </c>
      <c r="E151" s="1692">
        <f t="shared" si="16"/>
        <v>173897</v>
      </c>
      <c r="F151" s="1692">
        <f t="shared" si="16"/>
        <v>301426</v>
      </c>
      <c r="G151" s="1692">
        <f t="shared" si="16"/>
        <v>11206</v>
      </c>
      <c r="H151" s="1692">
        <f t="shared" si="16"/>
        <v>0</v>
      </c>
      <c r="I151" s="1692">
        <f t="shared" si="16"/>
        <v>0</v>
      </c>
      <c r="J151" s="1692">
        <f t="shared" si="16"/>
        <v>0</v>
      </c>
      <c r="K151" s="1692">
        <f t="shared" si="16"/>
        <v>648046</v>
      </c>
      <c r="L151" s="1692">
        <f>SUM(L129,L130,L139,L149,L150)</f>
        <v>860997</v>
      </c>
    </row>
    <row r="152" spans="1:14" ht="12.75" customHeight="1" thickTop="1" x14ac:dyDescent="0.2">
      <c r="A152" s="2193" t="s">
        <v>1239</v>
      </c>
      <c r="B152" s="2194"/>
      <c r="C152" s="619"/>
      <c r="D152" s="619"/>
      <c r="E152" s="619"/>
      <c r="F152" s="619"/>
      <c r="G152" s="619"/>
      <c r="H152" s="619"/>
      <c r="I152" s="619"/>
      <c r="J152" s="617"/>
      <c r="K152" s="1706">
        <f>'Revenues 9-14'!D275-'Expenditures 15-22'!K151</f>
        <v>379825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553006</v>
      </c>
      <c r="I169" s="617"/>
      <c r="J169" s="617"/>
      <c r="K169" s="1693">
        <f>SUM(C169:H169)</f>
        <v>553006</v>
      </c>
      <c r="L169" s="657">
        <v>372239</v>
      </c>
    </row>
    <row r="170" spans="1:14" ht="33.75" customHeight="1" x14ac:dyDescent="0.2">
      <c r="A170" s="670" t="s">
        <v>1768</v>
      </c>
      <c r="B170" s="672" t="s">
        <v>31</v>
      </c>
      <c r="C170" s="617"/>
      <c r="D170" s="617"/>
      <c r="E170" s="617"/>
      <c r="F170" s="617"/>
      <c r="G170" s="617"/>
      <c r="H170" s="569">
        <v>1791503</v>
      </c>
      <c r="I170" s="617"/>
      <c r="J170" s="617"/>
      <c r="K170" s="1693">
        <f>SUM(C170:J170)</f>
        <v>1791503</v>
      </c>
      <c r="L170" s="569">
        <v>1524662</v>
      </c>
    </row>
    <row r="171" spans="1:14" ht="15.75" customHeight="1" x14ac:dyDescent="0.2">
      <c r="A171" s="622" t="s">
        <v>789</v>
      </c>
      <c r="B171" s="673" t="s">
        <v>86</v>
      </c>
      <c r="C171" s="617"/>
      <c r="D171" s="617"/>
      <c r="E171" s="466"/>
      <c r="F171" s="617"/>
      <c r="G171" s="617"/>
      <c r="H171" s="569">
        <v>1431</v>
      </c>
      <c r="I171" s="477"/>
      <c r="J171" s="617"/>
      <c r="K171" s="1693">
        <f>SUM(C171:J171)</f>
        <v>1431</v>
      </c>
      <c r="L171" s="569"/>
    </row>
    <row r="172" spans="1:14" ht="12.75" customHeight="1" thickBot="1" x14ac:dyDescent="0.25">
      <c r="A172" s="1690" t="s">
        <v>658</v>
      </c>
      <c r="B172" s="1691" t="s">
        <v>512</v>
      </c>
      <c r="C172" s="617"/>
      <c r="D172" s="617"/>
      <c r="E172" s="1699">
        <f>SUM(E168,E169,E170,E171)</f>
        <v>0</v>
      </c>
      <c r="F172" s="617"/>
      <c r="G172" s="617"/>
      <c r="H172" s="1699">
        <f>SUM(H168,H169,H170,H171)</f>
        <v>2345940</v>
      </c>
      <c r="I172" s="639"/>
      <c r="J172" s="617"/>
      <c r="K172" s="1699">
        <f>SUM(K168,K169,K170,K171)</f>
        <v>2345940</v>
      </c>
      <c r="L172" s="1699">
        <f>SUM(L168,L169,L170,L171)</f>
        <v>1896901</v>
      </c>
    </row>
    <row r="173" spans="1:14" ht="15.75" customHeight="1" thickTop="1" thickBot="1" x14ac:dyDescent="0.25">
      <c r="A173" s="1641" t="s">
        <v>87</v>
      </c>
      <c r="B173" s="1633" t="s">
        <v>915</v>
      </c>
      <c r="C173" s="617"/>
      <c r="D173" s="617"/>
      <c r="E173" s="624"/>
      <c r="F173" s="617"/>
      <c r="G173" s="617"/>
      <c r="H173" s="627"/>
      <c r="I173" s="639"/>
      <c r="J173" s="617"/>
      <c r="K173" s="624"/>
      <c r="L173" s="576">
        <v>1865</v>
      </c>
    </row>
    <row r="174" spans="1:14" ht="12.75" customHeight="1" thickTop="1" thickBot="1" x14ac:dyDescent="0.25">
      <c r="A174" s="1711" t="s">
        <v>92</v>
      </c>
      <c r="B174" s="1712"/>
      <c r="C174" s="617"/>
      <c r="D174" s="617"/>
      <c r="E174" s="1699">
        <f>SUM(E155,E172,E173)</f>
        <v>0</v>
      </c>
      <c r="F174" s="617"/>
      <c r="G174" s="617"/>
      <c r="H174" s="1699">
        <f>SUM(H160,H172,H173)</f>
        <v>2345940</v>
      </c>
      <c r="I174" s="639"/>
      <c r="J174" s="617"/>
      <c r="K174" s="1699">
        <f>SUM(K160,K172,K173)</f>
        <v>2345940</v>
      </c>
      <c r="L174" s="1699">
        <f>SUM(L160,L172,L173)</f>
        <v>1898766</v>
      </c>
    </row>
    <row r="175" spans="1:14" ht="13.5" thickTop="1" x14ac:dyDescent="0.2">
      <c r="A175" s="2200" t="s">
        <v>1052</v>
      </c>
      <c r="B175" s="2201"/>
      <c r="C175" s="617"/>
      <c r="D175" s="617"/>
      <c r="E175" s="617"/>
      <c r="F175" s="617"/>
      <c r="G175" s="617"/>
      <c r="H175" s="619"/>
      <c r="I175" s="617"/>
      <c r="J175" s="617"/>
      <c r="K175" s="1706">
        <f>'Revenues 9-14'!E275-'Expenditures 15-22'!K174</f>
        <v>-483797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604915</v>
      </c>
      <c r="D182" s="466">
        <v>80921</v>
      </c>
      <c r="E182" s="466">
        <v>27953</v>
      </c>
      <c r="F182" s="466">
        <v>126226</v>
      </c>
      <c r="G182" s="466">
        <v>3096983</v>
      </c>
      <c r="H182" s="466">
        <v>3266</v>
      </c>
      <c r="I182" s="467"/>
      <c r="J182" s="467"/>
      <c r="K182" s="1693">
        <f>SUM(C182:J182)</f>
        <v>3940264</v>
      </c>
      <c r="L182" s="466">
        <v>1260677</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604915</v>
      </c>
      <c r="D184" s="1699">
        <f t="shared" ref="D184:J184" si="17">SUM(D180,D182,D183)</f>
        <v>80921</v>
      </c>
      <c r="E184" s="1699">
        <f t="shared" si="17"/>
        <v>27953</v>
      </c>
      <c r="F184" s="1699">
        <f t="shared" si="17"/>
        <v>126226</v>
      </c>
      <c r="G184" s="1699">
        <f t="shared" si="17"/>
        <v>3096983</v>
      </c>
      <c r="H184" s="1699">
        <f t="shared" si="17"/>
        <v>3266</v>
      </c>
      <c r="I184" s="1699">
        <f t="shared" si="17"/>
        <v>0</v>
      </c>
      <c r="J184" s="1699">
        <f t="shared" si="17"/>
        <v>0</v>
      </c>
      <c r="K184" s="1699">
        <f>SUM(K180,K182,K183)</f>
        <v>3940264</v>
      </c>
      <c r="L184" s="1699">
        <f>SUM(L180, L182:L183)</f>
        <v>1260677</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604915</v>
      </c>
      <c r="D210" s="1692">
        <f>SUM(D184,D185)</f>
        <v>80921</v>
      </c>
      <c r="E210" s="1692">
        <f>SUM(E184,E185,E196)</f>
        <v>27953</v>
      </c>
      <c r="F210" s="1692">
        <f>SUM(F184,F185)</f>
        <v>126226</v>
      </c>
      <c r="G210" s="1692">
        <f>SUM(G184,G185)</f>
        <v>3096983</v>
      </c>
      <c r="H210" s="1692">
        <f>SUM(H184,H185,H196,H208,H209)</f>
        <v>3266</v>
      </c>
      <c r="I210" s="1692">
        <f>SUM(I184,I185)</f>
        <v>0</v>
      </c>
      <c r="J210" s="1692">
        <f>SUM(J184,J185)</f>
        <v>0</v>
      </c>
      <c r="K210" s="1693">
        <f>SUM(K184,K185,K196,K208,K209)</f>
        <v>3940264</v>
      </c>
      <c r="L210" s="1692">
        <f>SUM(L184,L185,L196,L208,L209)</f>
        <v>1260677</v>
      </c>
    </row>
    <row r="211" spans="1:14" ht="13.5" thickTop="1" x14ac:dyDescent="0.2">
      <c r="A211" s="2200" t="s">
        <v>1052</v>
      </c>
      <c r="B211" s="2201"/>
      <c r="C211" s="619"/>
      <c r="D211" s="619"/>
      <c r="E211" s="619"/>
      <c r="F211" s="619"/>
      <c r="G211" s="619"/>
      <c r="H211" s="619"/>
      <c r="I211" s="617"/>
      <c r="J211" s="617"/>
      <c r="K211" s="1706">
        <f>'Revenues 9-14'!F275-'Expenditures 15-22'!K210</f>
        <v>-2357448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114173</v>
      </c>
      <c r="E215" s="617"/>
      <c r="F215" s="617"/>
      <c r="G215" s="617"/>
      <c r="H215" s="617"/>
      <c r="I215" s="617"/>
      <c r="J215" s="617"/>
      <c r="K215" s="1693">
        <f>D215</f>
        <v>114173</v>
      </c>
      <c r="L215" s="466">
        <v>75256</v>
      </c>
    </row>
    <row r="216" spans="1:14" x14ac:dyDescent="0.2">
      <c r="A216" s="1526" t="s">
        <v>165</v>
      </c>
      <c r="B216" s="615" t="s">
        <v>1023</v>
      </c>
      <c r="C216" s="617"/>
      <c r="D216" s="467">
        <v>6423</v>
      </c>
      <c r="E216" s="617"/>
      <c r="F216" s="617"/>
      <c r="G216" s="617"/>
      <c r="H216" s="617"/>
      <c r="I216" s="617"/>
      <c r="J216" s="617"/>
      <c r="K216" s="1693">
        <f t="shared" ref="K216:K228" si="19">D216</f>
        <v>6423</v>
      </c>
      <c r="L216" s="466">
        <v>47761</v>
      </c>
    </row>
    <row r="217" spans="1:14" x14ac:dyDescent="0.2">
      <c r="A217" s="1526" t="s">
        <v>166</v>
      </c>
      <c r="B217" s="615">
        <v>1200</v>
      </c>
      <c r="C217" s="617"/>
      <c r="D217" s="466">
        <v>168629</v>
      </c>
      <c r="E217" s="617"/>
      <c r="F217" s="617"/>
      <c r="G217" s="617"/>
      <c r="H217" s="617"/>
      <c r="I217" s="617"/>
      <c r="J217" s="617"/>
      <c r="K217" s="1693">
        <f t="shared" si="19"/>
        <v>168629</v>
      </c>
      <c r="L217" s="466">
        <v>174787</v>
      </c>
    </row>
    <row r="218" spans="1:14" x14ac:dyDescent="0.2">
      <c r="A218" s="1526" t="s">
        <v>295</v>
      </c>
      <c r="B218" s="615" t="s">
        <v>1024</v>
      </c>
      <c r="C218" s="617"/>
      <c r="D218" s="467">
        <v>11629</v>
      </c>
      <c r="E218" s="617"/>
      <c r="F218" s="617"/>
      <c r="G218" s="617"/>
      <c r="H218" s="617"/>
      <c r="I218" s="617"/>
      <c r="J218" s="617"/>
      <c r="K218" s="1693">
        <f t="shared" si="19"/>
        <v>11629</v>
      </c>
      <c r="L218" s="466">
        <v>11606</v>
      </c>
    </row>
    <row r="219" spans="1:14" x14ac:dyDescent="0.2">
      <c r="A219" s="1526" t="s">
        <v>296</v>
      </c>
      <c r="B219" s="615">
        <v>1250</v>
      </c>
      <c r="C219" s="617"/>
      <c r="D219" s="466">
        <v>62937</v>
      </c>
      <c r="E219" s="617"/>
      <c r="F219" s="617"/>
      <c r="G219" s="617"/>
      <c r="H219" s="617"/>
      <c r="I219" s="617"/>
      <c r="J219" s="617"/>
      <c r="K219" s="1693">
        <f t="shared" si="19"/>
        <v>62937</v>
      </c>
      <c r="L219" s="466">
        <v>63765</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11943</v>
      </c>
      <c r="E222" s="617"/>
      <c r="F222" s="617"/>
      <c r="G222" s="617"/>
      <c r="H222" s="617"/>
      <c r="I222" s="617"/>
      <c r="J222" s="617"/>
      <c r="K222" s="1693">
        <f t="shared" si="19"/>
        <v>11943</v>
      </c>
      <c r="L222" s="466">
        <v>11916</v>
      </c>
    </row>
    <row r="223" spans="1:14" x14ac:dyDescent="0.2">
      <c r="A223" s="1526" t="s">
        <v>1019</v>
      </c>
      <c r="B223" s="615">
        <v>1500</v>
      </c>
      <c r="C223" s="617"/>
      <c r="D223" s="466">
        <v>22657</v>
      </c>
      <c r="E223" s="617"/>
      <c r="F223" s="617"/>
      <c r="G223" s="617"/>
      <c r="H223" s="617"/>
      <c r="I223" s="617"/>
      <c r="J223" s="617"/>
      <c r="K223" s="1693">
        <f t="shared" si="19"/>
        <v>22657</v>
      </c>
      <c r="L223" s="466">
        <v>22411</v>
      </c>
    </row>
    <row r="224" spans="1:14" x14ac:dyDescent="0.2">
      <c r="A224" s="1526" t="s">
        <v>1020</v>
      </c>
      <c r="B224" s="615">
        <v>1600</v>
      </c>
      <c r="C224" s="617"/>
      <c r="D224" s="466">
        <v>3524</v>
      </c>
      <c r="E224" s="617"/>
      <c r="F224" s="617"/>
      <c r="G224" s="617"/>
      <c r="H224" s="617"/>
      <c r="I224" s="617"/>
      <c r="J224" s="617"/>
      <c r="K224" s="1693">
        <f t="shared" si="19"/>
        <v>3524</v>
      </c>
      <c r="L224" s="466">
        <v>3856</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412</v>
      </c>
      <c r="E226" s="617"/>
      <c r="F226" s="617"/>
      <c r="G226" s="617"/>
      <c r="H226" s="617"/>
      <c r="I226" s="617"/>
      <c r="J226" s="617"/>
      <c r="K226" s="1693">
        <f t="shared" si="19"/>
        <v>412</v>
      </c>
      <c r="L226" s="466">
        <v>413</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v>5417</v>
      </c>
    </row>
    <row r="229" spans="1:12" ht="12.75" customHeight="1" thickBot="1" x14ac:dyDescent="0.25">
      <c r="A229" s="1690" t="s">
        <v>738</v>
      </c>
      <c r="B229" s="1697" t="s">
        <v>590</v>
      </c>
      <c r="C229" s="617"/>
      <c r="D229" s="1692">
        <f>SUM(D215:D228)</f>
        <v>402327</v>
      </c>
      <c r="E229" s="617"/>
      <c r="F229" s="617"/>
      <c r="G229" s="617"/>
      <c r="H229" s="617"/>
      <c r="I229" s="617"/>
      <c r="J229" s="617"/>
      <c r="K229" s="1692">
        <f>SUM(K215:K228)</f>
        <v>402327</v>
      </c>
      <c r="L229" s="1692">
        <f>SUM(L215:L228)</f>
        <v>417188</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19304</v>
      </c>
      <c r="E232" s="617"/>
      <c r="F232" s="617"/>
      <c r="G232" s="617"/>
      <c r="H232" s="617"/>
      <c r="I232" s="617"/>
      <c r="J232" s="617"/>
      <c r="K232" s="1693">
        <f t="shared" ref="K232:K237" si="20">D232</f>
        <v>19304</v>
      </c>
      <c r="L232" s="466">
        <v>18810</v>
      </c>
    </row>
    <row r="233" spans="1:12" x14ac:dyDescent="0.2">
      <c r="A233" s="1526" t="s">
        <v>1150</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19304</v>
      </c>
      <c r="E238" s="617"/>
      <c r="F238" s="617"/>
      <c r="G238" s="617"/>
      <c r="H238" s="617"/>
      <c r="I238" s="617"/>
      <c r="J238" s="617"/>
      <c r="K238" s="1692">
        <f>SUM(K232:K237)</f>
        <v>19304</v>
      </c>
      <c r="L238" s="1692">
        <f>SUM(L232:L237)</f>
        <v>18810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936</v>
      </c>
      <c r="E240" s="617"/>
      <c r="F240" s="617"/>
      <c r="G240" s="617"/>
      <c r="H240" s="617"/>
      <c r="I240" s="617"/>
      <c r="J240" s="617"/>
      <c r="K240" s="1694">
        <f>D240</f>
        <v>936</v>
      </c>
      <c r="L240" s="481">
        <v>1925</v>
      </c>
    </row>
    <row r="241" spans="1:12" x14ac:dyDescent="0.2">
      <c r="A241" s="1526" t="s">
        <v>868</v>
      </c>
      <c r="B241" s="615">
        <v>2220</v>
      </c>
      <c r="C241" s="617"/>
      <c r="D241" s="466">
        <v>66166</v>
      </c>
      <c r="E241" s="617"/>
      <c r="F241" s="617"/>
      <c r="G241" s="617"/>
      <c r="H241" s="617"/>
      <c r="I241" s="617"/>
      <c r="J241" s="617"/>
      <c r="K241" s="1694">
        <f>D241</f>
        <v>66166</v>
      </c>
      <c r="L241" s="466">
        <v>73666</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67102</v>
      </c>
      <c r="E243" s="617"/>
      <c r="F243" s="617"/>
      <c r="G243" s="617"/>
      <c r="H243" s="617"/>
      <c r="I243" s="617"/>
      <c r="J243" s="617"/>
      <c r="K243" s="1692">
        <f>SUM(K240:K242)</f>
        <v>67102</v>
      </c>
      <c r="L243" s="1692">
        <f>SUM(L240:L242)</f>
        <v>75591</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19246</v>
      </c>
      <c r="E245" s="617"/>
      <c r="F245" s="617"/>
      <c r="G245" s="617"/>
      <c r="H245" s="617"/>
      <c r="I245" s="617"/>
      <c r="J245" s="617"/>
      <c r="K245" s="1694">
        <f>D245</f>
        <v>19246</v>
      </c>
      <c r="L245" s="481">
        <v>21324</v>
      </c>
    </row>
    <row r="246" spans="1:12" x14ac:dyDescent="0.2">
      <c r="A246" s="1526" t="s">
        <v>871</v>
      </c>
      <c r="B246" s="615">
        <v>2320</v>
      </c>
      <c r="C246" s="617"/>
      <c r="D246" s="466">
        <v>11760</v>
      </c>
      <c r="E246" s="617"/>
      <c r="F246" s="617"/>
      <c r="G246" s="617"/>
      <c r="H246" s="617"/>
      <c r="I246" s="617"/>
      <c r="J246" s="617"/>
      <c r="K246" s="1694">
        <f t="shared" ref="K246:K256" si="21">D246</f>
        <v>11760</v>
      </c>
      <c r="L246" s="466">
        <v>9089</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v>74402</v>
      </c>
      <c r="E254" s="617"/>
      <c r="F254" s="617"/>
      <c r="G254" s="617"/>
      <c r="H254" s="617"/>
      <c r="I254" s="617"/>
      <c r="J254" s="617"/>
      <c r="K254" s="1694">
        <f t="shared" si="21"/>
        <v>74402</v>
      </c>
      <c r="L254" s="466">
        <v>91515</v>
      </c>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105408</v>
      </c>
      <c r="E257" s="617"/>
      <c r="F257" s="617"/>
      <c r="G257" s="617"/>
      <c r="H257" s="617"/>
      <c r="I257" s="617"/>
      <c r="J257" s="617"/>
      <c r="K257" s="1692">
        <f>SUM(K245:K256)</f>
        <v>105408</v>
      </c>
      <c r="L257" s="1692">
        <f>SUM(L245:L256)</f>
        <v>121928</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83399</v>
      </c>
      <c r="E259" s="617"/>
      <c r="F259" s="617"/>
      <c r="G259" s="617"/>
      <c r="H259" s="617"/>
      <c r="I259" s="617"/>
      <c r="J259" s="617"/>
      <c r="K259" s="1694">
        <f>D259</f>
        <v>83399</v>
      </c>
      <c r="L259" s="481">
        <v>91727</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83399</v>
      </c>
      <c r="E261" s="617"/>
      <c r="F261" s="617"/>
      <c r="G261" s="617"/>
      <c r="H261" s="617"/>
      <c r="I261" s="617"/>
      <c r="J261" s="617"/>
      <c r="K261" s="1692">
        <f>SUM(K259:K260)</f>
        <v>83399</v>
      </c>
      <c r="L261" s="1692">
        <f>SUM(L259:L260)</f>
        <v>91727</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33296</v>
      </c>
      <c r="E264" s="617"/>
      <c r="F264" s="617"/>
      <c r="G264" s="617"/>
      <c r="H264" s="617"/>
      <c r="I264" s="617"/>
      <c r="J264" s="617"/>
      <c r="K264" s="1694">
        <f t="shared" ref="K264:K269" si="22">D264</f>
        <v>33296</v>
      </c>
      <c r="L264" s="466">
        <v>28390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177248</v>
      </c>
      <c r="E266" s="617"/>
      <c r="F266" s="617"/>
      <c r="G266" s="617"/>
      <c r="H266" s="617"/>
      <c r="I266" s="617"/>
      <c r="J266" s="617"/>
      <c r="K266" s="1694">
        <f t="shared" si="22"/>
        <v>177248</v>
      </c>
      <c r="L266" s="466">
        <v>182696</v>
      </c>
    </row>
    <row r="267" spans="1:14" x14ac:dyDescent="0.2">
      <c r="A267" s="1526" t="s">
        <v>1009</v>
      </c>
      <c r="B267" s="615">
        <v>2550</v>
      </c>
      <c r="C267" s="617"/>
      <c r="D267" s="466">
        <v>166833</v>
      </c>
      <c r="E267" s="617"/>
      <c r="F267" s="617"/>
      <c r="G267" s="617"/>
      <c r="H267" s="617"/>
      <c r="I267" s="617"/>
      <c r="J267" s="617"/>
      <c r="K267" s="1694">
        <f t="shared" si="22"/>
        <v>166833</v>
      </c>
      <c r="L267" s="466">
        <v>176438</v>
      </c>
    </row>
    <row r="268" spans="1:14" x14ac:dyDescent="0.2">
      <c r="A268" s="1526" t="s">
        <v>102</v>
      </c>
      <c r="B268" s="615">
        <v>2560</v>
      </c>
      <c r="C268" s="617"/>
      <c r="D268" s="466">
        <v>120261</v>
      </c>
      <c r="E268" s="617"/>
      <c r="F268" s="617"/>
      <c r="G268" s="617"/>
      <c r="H268" s="617"/>
      <c r="I268" s="617"/>
      <c r="J268" s="617"/>
      <c r="K268" s="1694">
        <f t="shared" si="22"/>
        <v>120261</v>
      </c>
      <c r="L268" s="466">
        <v>127101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497638</v>
      </c>
      <c r="E270" s="617"/>
      <c r="F270" s="617"/>
      <c r="G270" s="617"/>
      <c r="H270" s="617"/>
      <c r="I270" s="617"/>
      <c r="J270" s="617"/>
      <c r="K270" s="1692">
        <f>SUM(K263:K269)</f>
        <v>497638</v>
      </c>
      <c r="L270" s="1692">
        <f>SUM(L263:L269)</f>
        <v>514625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772851</v>
      </c>
      <c r="E279" s="617"/>
      <c r="F279" s="617"/>
      <c r="G279" s="617"/>
      <c r="H279" s="617"/>
      <c r="I279" s="617"/>
      <c r="J279" s="617"/>
      <c r="K279" s="1699">
        <f>SUM(K238,K243,K257,K261,K270,K277,K278)</f>
        <v>772851</v>
      </c>
      <c r="L279" s="1699">
        <f>SUM(L238,L243,L257,L261,L270,L277,L278)</f>
        <v>822681</v>
      </c>
    </row>
    <row r="280" spans="1:12" ht="15.75" customHeight="1" thickTop="1" thickBot="1" x14ac:dyDescent="0.25">
      <c r="A280" s="1646" t="s">
        <v>929</v>
      </c>
      <c r="B280" s="1635">
        <v>3000</v>
      </c>
      <c r="C280" s="617"/>
      <c r="D280" s="576">
        <v>3492</v>
      </c>
      <c r="E280" s="617"/>
      <c r="F280" s="617"/>
      <c r="G280" s="617"/>
      <c r="H280" s="617"/>
      <c r="I280" s="617"/>
      <c r="J280" s="617"/>
      <c r="K280" s="1701">
        <f>D280</f>
        <v>3492</v>
      </c>
      <c r="L280" s="576">
        <v>2925</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1178670</v>
      </c>
      <c r="E295" s="617"/>
      <c r="F295" s="617"/>
      <c r="G295" s="617"/>
      <c r="H295" s="1692">
        <f>H293</f>
        <v>0</v>
      </c>
      <c r="I295" s="617"/>
      <c r="J295" s="617"/>
      <c r="K295" s="1692">
        <f>SUM(K229,K279,K280,K285,K293,K294)</f>
        <v>1178670</v>
      </c>
      <c r="L295" s="1692">
        <f>SUM(L229,L279,L280,L285,L293,L294)</f>
        <v>1242794</v>
      </c>
    </row>
    <row r="296" spans="1:14" ht="13.5" thickTop="1" x14ac:dyDescent="0.2">
      <c r="A296" s="2200" t="s">
        <v>1052</v>
      </c>
      <c r="B296" s="2201"/>
      <c r="C296" s="617"/>
      <c r="D296" s="619"/>
      <c r="E296" s="617"/>
      <c r="F296" s="617"/>
      <c r="G296" s="617"/>
      <c r="H296" s="688"/>
      <c r="I296" s="617"/>
      <c r="J296" s="617"/>
      <c r="K296" s="1706">
        <f>'Revenues 9-14'!G275-'Expenditures 15-22'!K295</f>
        <v>-78119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208794</v>
      </c>
      <c r="H301" s="466"/>
      <c r="I301" s="467"/>
      <c r="J301" s="467"/>
      <c r="K301" s="1693">
        <f>SUM(C301:J301)</f>
        <v>208794</v>
      </c>
      <c r="L301" s="467">
        <v>289778</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208794</v>
      </c>
      <c r="H303" s="1699">
        <f t="shared" si="23"/>
        <v>0</v>
      </c>
      <c r="I303" s="1699">
        <f t="shared" si="23"/>
        <v>0</v>
      </c>
      <c r="J303" s="1699">
        <f t="shared" si="23"/>
        <v>0</v>
      </c>
      <c r="K303" s="1699">
        <f t="shared" si="23"/>
        <v>208794</v>
      </c>
      <c r="L303" s="1699">
        <f t="shared" si="23"/>
        <v>289778</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0</v>
      </c>
      <c r="F312" s="1692">
        <f>SUM(F303)</f>
        <v>0</v>
      </c>
      <c r="G312" s="1692">
        <f>SUM(G303)</f>
        <v>208794</v>
      </c>
      <c r="H312" s="1692">
        <f>SUM(H303,H310)</f>
        <v>0</v>
      </c>
      <c r="I312" s="1692">
        <f>SUM(I303)</f>
        <v>0</v>
      </c>
      <c r="J312" s="1692">
        <f>SUM(J303)</f>
        <v>0</v>
      </c>
      <c r="K312" s="1692">
        <f>SUM(K303,K310,K311)</f>
        <v>208794</v>
      </c>
      <c r="L312" s="1692">
        <f>SUM(L303,L310,L311)</f>
        <v>289778</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-204930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196303</v>
      </c>
      <c r="F320" s="467"/>
      <c r="G320" s="467"/>
      <c r="H320" s="467"/>
      <c r="I320" s="467"/>
      <c r="J320" s="467"/>
      <c r="K320" s="1693">
        <f t="shared" ref="K320:K327" si="24">SUM(C320:J320)</f>
        <v>196303</v>
      </c>
      <c r="L320" s="467">
        <v>275000</v>
      </c>
      <c r="M320" s="666"/>
      <c r="N320" s="666"/>
    </row>
    <row r="321" spans="1:14" s="675" customFormat="1" x14ac:dyDescent="0.2">
      <c r="A321" s="1541" t="s">
        <v>317</v>
      </c>
      <c r="B321" s="698" t="s">
        <v>300</v>
      </c>
      <c r="C321" s="467"/>
      <c r="D321" s="467"/>
      <c r="E321" s="467">
        <v>16503</v>
      </c>
      <c r="F321" s="467"/>
      <c r="G321" s="467"/>
      <c r="H321" s="467"/>
      <c r="I321" s="467"/>
      <c r="J321" s="467"/>
      <c r="K321" s="1693">
        <f t="shared" si="24"/>
        <v>16503</v>
      </c>
      <c r="L321" s="467">
        <v>7500</v>
      </c>
      <c r="M321" s="666"/>
      <c r="N321" s="666"/>
    </row>
    <row r="322" spans="1:14" s="675" customFormat="1" x14ac:dyDescent="0.2">
      <c r="A322" s="1541" t="s">
        <v>256</v>
      </c>
      <c r="B322" s="698" t="s">
        <v>301</v>
      </c>
      <c r="C322" s="467"/>
      <c r="D322" s="467"/>
      <c r="E322" s="467">
        <v>147952</v>
      </c>
      <c r="F322" s="467"/>
      <c r="G322" s="467"/>
      <c r="H322" s="467"/>
      <c r="I322" s="467"/>
      <c r="J322" s="467"/>
      <c r="K322" s="1693">
        <f t="shared" si="24"/>
        <v>147952</v>
      </c>
      <c r="L322" s="467">
        <v>163000</v>
      </c>
      <c r="M322" s="666"/>
      <c r="N322" s="666"/>
    </row>
    <row r="323" spans="1:14" s="675" customFormat="1" x14ac:dyDescent="0.2">
      <c r="A323" s="1541" t="s">
        <v>725</v>
      </c>
      <c r="B323" s="698" t="s">
        <v>302</v>
      </c>
      <c r="C323" s="467"/>
      <c r="D323" s="467"/>
      <c r="E323" s="467">
        <v>3027</v>
      </c>
      <c r="F323" s="467"/>
      <c r="G323" s="467"/>
      <c r="H323" s="467"/>
      <c r="I323" s="467"/>
      <c r="J323" s="467"/>
      <c r="K323" s="1693">
        <f t="shared" si="24"/>
        <v>3027</v>
      </c>
      <c r="L323" s="467">
        <v>2500</v>
      </c>
      <c r="M323" s="666"/>
      <c r="N323" s="666"/>
    </row>
    <row r="324" spans="1:14" s="675" customFormat="1" x14ac:dyDescent="0.2">
      <c r="A324" s="1541" t="s">
        <v>257</v>
      </c>
      <c r="B324" s="698" t="s">
        <v>303</v>
      </c>
      <c r="C324" s="467"/>
      <c r="D324" s="467"/>
      <c r="E324" s="467">
        <v>5885</v>
      </c>
      <c r="F324" s="467"/>
      <c r="G324" s="467"/>
      <c r="H324" s="467"/>
      <c r="I324" s="467"/>
      <c r="J324" s="467"/>
      <c r="K324" s="1693">
        <f t="shared" si="24"/>
        <v>5885</v>
      </c>
      <c r="L324" s="467"/>
      <c r="M324" s="666"/>
      <c r="N324" s="666"/>
    </row>
    <row r="325" spans="1:14" s="675" customFormat="1" ht="22.5" x14ac:dyDescent="0.2">
      <c r="A325" s="1541" t="s">
        <v>1086</v>
      </c>
      <c r="B325" s="699" t="s">
        <v>304</v>
      </c>
      <c r="C325" s="467">
        <v>739682</v>
      </c>
      <c r="D325" s="467">
        <v>43939</v>
      </c>
      <c r="E325" s="467">
        <v>109441</v>
      </c>
      <c r="F325" s="467"/>
      <c r="G325" s="467"/>
      <c r="H325" s="467"/>
      <c r="I325" s="467"/>
      <c r="J325" s="467"/>
      <c r="K325" s="1693">
        <f t="shared" si="24"/>
        <v>893062</v>
      </c>
      <c r="L325" s="467">
        <v>1090700</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v>75000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739682</v>
      </c>
      <c r="D330" s="1692">
        <f t="shared" ref="D330:J330" si="25">SUM(D319:D329)</f>
        <v>43939</v>
      </c>
      <c r="E330" s="1692">
        <f t="shared" si="25"/>
        <v>479111</v>
      </c>
      <c r="F330" s="1692">
        <f t="shared" si="25"/>
        <v>0</v>
      </c>
      <c r="G330" s="1692">
        <f t="shared" si="25"/>
        <v>0</v>
      </c>
      <c r="H330" s="1692">
        <f t="shared" si="25"/>
        <v>0</v>
      </c>
      <c r="I330" s="1692">
        <f t="shared" si="25"/>
        <v>0</v>
      </c>
      <c r="J330" s="1692">
        <f t="shared" si="25"/>
        <v>0</v>
      </c>
      <c r="K330" s="1692">
        <f>SUM(K319:K329)</f>
        <v>1262732</v>
      </c>
      <c r="L330" s="1692">
        <f>SUM(L319:L329)</f>
        <v>1613700</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739682</v>
      </c>
      <c r="D342" s="1692">
        <f>SUM(D330)</f>
        <v>43939</v>
      </c>
      <c r="E342" s="1692">
        <f>SUM(E330)</f>
        <v>479111</v>
      </c>
      <c r="F342" s="1692">
        <f>SUM(F330)</f>
        <v>0</v>
      </c>
      <c r="G342" s="1692">
        <f>SUM(G330)</f>
        <v>0</v>
      </c>
      <c r="H342" s="1692">
        <f>SUM(H330,H334,H340)</f>
        <v>0</v>
      </c>
      <c r="I342" s="1692">
        <f>SUM(I330)</f>
        <v>0</v>
      </c>
      <c r="J342" s="1692">
        <f>SUM(J330)</f>
        <v>0</v>
      </c>
      <c r="K342" s="1692">
        <f>SUM(K330,K334,K340)</f>
        <v>1262732</v>
      </c>
      <c r="L342" s="1699">
        <f>SUM(L330,L340,L341)</f>
        <v>1613700</v>
      </c>
    </row>
    <row r="343" spans="1:14" ht="12.75" customHeight="1" thickTop="1" x14ac:dyDescent="0.2">
      <c r="A343" s="2186" t="s">
        <v>1052</v>
      </c>
      <c r="B343" s="2187"/>
      <c r="C343" s="617"/>
      <c r="D343" s="617"/>
      <c r="E343" s="617"/>
      <c r="F343" s="617"/>
      <c r="G343" s="617"/>
      <c r="H343" s="617"/>
      <c r="I343" s="617"/>
      <c r="J343" s="617"/>
      <c r="K343" s="1706">
        <f>'Revenues 9-14'!J275-'Expenditures 15-22'!K342</f>
        <v>785035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12425</v>
      </c>
      <c r="F348" s="466"/>
      <c r="G348" s="466">
        <v>995783</v>
      </c>
      <c r="H348" s="466"/>
      <c r="I348" s="467"/>
      <c r="J348" s="467"/>
      <c r="K348" s="1693">
        <f>SUM(C348:J348)</f>
        <v>1008208</v>
      </c>
      <c r="L348" s="466">
        <v>1106380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12425</v>
      </c>
      <c r="F350" s="1692">
        <f t="shared" si="26"/>
        <v>0</v>
      </c>
      <c r="G350" s="1692">
        <f t="shared" si="26"/>
        <v>995783</v>
      </c>
      <c r="H350" s="1692">
        <f t="shared" si="26"/>
        <v>0</v>
      </c>
      <c r="I350" s="1692">
        <f t="shared" si="26"/>
        <v>0</v>
      </c>
      <c r="J350" s="1692">
        <f t="shared" si="26"/>
        <v>0</v>
      </c>
      <c r="K350" s="1692">
        <f t="shared" si="26"/>
        <v>1008208</v>
      </c>
      <c r="L350" s="1692">
        <f t="shared" si="26"/>
        <v>1106380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12425</v>
      </c>
      <c r="F352" s="1692">
        <f t="shared" si="27"/>
        <v>0</v>
      </c>
      <c r="G352" s="1692">
        <f t="shared" si="27"/>
        <v>995783</v>
      </c>
      <c r="H352" s="1692">
        <f t="shared" si="27"/>
        <v>0</v>
      </c>
      <c r="I352" s="1692">
        <f t="shared" si="27"/>
        <v>0</v>
      </c>
      <c r="J352" s="1692">
        <f t="shared" si="27"/>
        <v>0</v>
      </c>
      <c r="K352" s="1692">
        <f t="shared" si="27"/>
        <v>1008208</v>
      </c>
      <c r="L352" s="1692">
        <f t="shared" si="27"/>
        <v>1106380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12425</v>
      </c>
      <c r="F367" s="1692">
        <f t="shared" si="28"/>
        <v>0</v>
      </c>
      <c r="G367" s="1692">
        <f t="shared" si="28"/>
        <v>995783</v>
      </c>
      <c r="H367" s="1692">
        <f t="shared" si="28"/>
        <v>0</v>
      </c>
      <c r="I367" s="1692">
        <f t="shared" si="28"/>
        <v>0</v>
      </c>
      <c r="J367" s="1692">
        <f t="shared" si="28"/>
        <v>0</v>
      </c>
      <c r="K367" s="1692">
        <f t="shared" si="28"/>
        <v>1008208</v>
      </c>
      <c r="L367" s="1692">
        <f t="shared" si="28"/>
        <v>1106380</v>
      </c>
    </row>
    <row r="368" spans="1:14" ht="13.5" thickTop="1" x14ac:dyDescent="0.2">
      <c r="A368" s="2200" t="s">
        <v>1052</v>
      </c>
      <c r="B368" s="2201"/>
      <c r="C368" s="655"/>
      <c r="D368" s="655"/>
      <c r="E368" s="627"/>
      <c r="F368" s="627"/>
      <c r="G368" s="627"/>
      <c r="H368" s="627"/>
      <c r="I368" s="627"/>
      <c r="J368" s="624"/>
      <c r="K368" s="1693">
        <f>'Revenues 9-14'!K275-'Expenditures 15-22'!K367</f>
        <v>-905223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75" right="0.75" top="1.1499999999999999" bottom="0.5" header="0.5" footer="0.5"/>
  <pageSetup scale="60" firstPageNumber="15" fitToHeight="0" orientation="landscape" r:id="rId1"/>
  <headerFooter>
    <oddHeader>&amp;C&amp;"Times New Roman,Regular"BETHALTO COMMUNITY UNIT SCHOOL DISTRICT NO. 8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dcmitype/"/>
    <ds:schemaRef ds:uri="4d435f69-8686-490b-bd6d-b153bf22ab50"/>
    <ds:schemaRef ds:uri="http://purl.org/dc/elements/1.1/"/>
    <ds:schemaRef ds:uri="http://schemas.microsoft.com/office/infopath/2007/PartnerControls"/>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Sec-3</vt:lpstr>
      <vt:lpstr>SSPAF</vt:lpstr>
      <vt:lpstr>' SEFA'!Print_Area</vt:lpstr>
      <vt:lpstr>' SEFA (2)'!Print_Area</vt:lpstr>
      <vt:lpstr>' SEFA (3)'!Print_Area</vt:lpstr>
      <vt:lpstr>' SEFA (4)'!Print_Area</vt:lpstr>
      <vt:lpstr>' SEFA (5)'!Print_Area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2018-11-09T17:45:02Z</cp:lastPrinted>
  <dcterms:created xsi:type="dcterms:W3CDTF">2003-10-29T19:06:34Z</dcterms:created>
  <dcterms:modified xsi:type="dcterms:W3CDTF">2018-11-29T20:00:04Z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