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8">'Itemization 33'!$A$1:$K$65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K15" i="127" l="1"/>
  <c r="C79" i="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J12" i="12"/>
  <c r="J21" i="12"/>
  <c r="B7727" i="106" s="1"/>
  <c r="D7727" i="106" s="1"/>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C228" i="5"/>
  <c r="C259" i="5"/>
  <c r="B6833" i="106" s="1"/>
  <c r="D6833" i="106" s="1"/>
  <c r="B7761" i="106"/>
  <c r="L127" i="29"/>
  <c r="L129" i="29" s="1"/>
  <c r="L139" i="29"/>
  <c r="L149" i="29"/>
  <c r="I7" i="145"/>
  <c r="I6" i="145"/>
  <c r="D78" i="36"/>
  <c r="K75" i="29"/>
  <c r="C14" i="4" s="1"/>
  <c r="B2558" i="106" s="1"/>
  <c r="D2558" i="106" s="1"/>
  <c r="K130" i="29"/>
  <c r="F56" i="34"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K83" i="29"/>
  <c r="B2978" i="106" s="1"/>
  <c r="D2978" i="106" s="1"/>
  <c r="K93" i="29"/>
  <c r="K94" i="29"/>
  <c r="K95" i="29"/>
  <c r="B7001" i="106" s="1"/>
  <c r="D7001" i="106" s="1"/>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B7082" i="106" s="1"/>
  <c r="D7082" i="106" s="1"/>
  <c r="K249" i="29"/>
  <c r="B7084" i="106" s="1"/>
  <c r="D7084" i="106" s="1"/>
  <c r="K250" i="29"/>
  <c r="B7086" i="106" s="1"/>
  <c r="D7086" i="106" s="1"/>
  <c r="K251" i="29"/>
  <c r="B7088" i="106" s="1"/>
  <c r="D7088" i="106" s="1"/>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c r="B6307" i="106"/>
  <c r="D6307" i="106" s="1"/>
  <c r="B6308" i="106"/>
  <c r="D6308" i="106" s="1"/>
  <c r="B6309" i="106"/>
  <c r="D6309" i="106" s="1"/>
  <c r="B6310" i="106"/>
  <c r="D6310" i="106"/>
  <c r="B6311" i="106"/>
  <c r="D6311" i="106" s="1"/>
  <c r="B6312" i="106"/>
  <c r="D6312" i="106" s="1"/>
  <c r="B6313" i="106"/>
  <c r="D6313" i="106" s="1"/>
  <c r="B6314" i="106"/>
  <c r="D6314" i="106" s="1"/>
  <c r="B6315" i="106"/>
  <c r="D6315" i="106" s="1"/>
  <c r="B6316" i="106"/>
  <c r="D6316" i="106" s="1"/>
  <c r="B6317" i="106"/>
  <c r="D6317" i="106" s="1"/>
  <c r="B6319" i="106"/>
  <c r="D6319" i="106"/>
  <c r="B6320" i="106"/>
  <c r="D6320" i="106" s="1"/>
  <c r="B6321" i="106"/>
  <c r="D6321" i="106" s="1"/>
  <c r="B6322" i="106"/>
  <c r="D6322" i="106" s="1"/>
  <c r="B6323" i="106"/>
  <c r="D6323" i="106"/>
  <c r="B6324" i="106"/>
  <c r="D6324" i="106" s="1"/>
  <c r="B6325" i="106"/>
  <c r="D6325" i="106" s="1"/>
  <c r="B6326" i="106"/>
  <c r="D6326" i="106" s="1"/>
  <c r="B6327" i="106"/>
  <c r="D6327" i="106"/>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c r="B6340" i="106"/>
  <c r="D6340" i="106" s="1"/>
  <c r="B6341" i="106"/>
  <c r="D6341" i="106" s="1"/>
  <c r="B6342" i="106"/>
  <c r="D6342" i="106" s="1"/>
  <c r="B6343" i="106"/>
  <c r="D6343" i="106"/>
  <c r="B6344" i="106"/>
  <c r="D6344" i="106" s="1"/>
  <c r="B6345" i="106"/>
  <c r="D6345" i="106" s="1"/>
  <c r="B6346" i="106"/>
  <c r="D6346" i="106" s="1"/>
  <c r="B6347" i="106"/>
  <c r="D6347" i="106" s="1"/>
  <c r="B6348" i="106"/>
  <c r="D6348" i="106" s="1"/>
  <c r="B6349" i="106"/>
  <c r="D6349" i="106" s="1"/>
  <c r="B6350" i="106"/>
  <c r="D6350" i="106" s="1"/>
  <c r="B6353" i="106"/>
  <c r="D6353" i="106"/>
  <c r="B6354" i="106"/>
  <c r="D6354" i="106" s="1"/>
  <c r="B6355" i="106"/>
  <c r="D6355" i="106" s="1"/>
  <c r="B6356" i="106"/>
  <c r="D6356" i="106" s="1"/>
  <c r="B6358" i="106"/>
  <c r="D6358" i="106"/>
  <c r="B6359" i="106"/>
  <c r="D6359" i="106" s="1"/>
  <c r="B6360" i="106"/>
  <c r="D6360" i="106" s="1"/>
  <c r="B6361" i="106"/>
  <c r="D6361" i="106" s="1"/>
  <c r="B6362" i="106"/>
  <c r="D6362" i="106"/>
  <c r="B6363" i="106"/>
  <c r="D6363" i="106" s="1"/>
  <c r="B6364" i="106"/>
  <c r="D6364" i="106" s="1"/>
  <c r="B6365" i="106"/>
  <c r="D6365" i="106" s="1"/>
  <c r="B6366" i="106"/>
  <c r="D6366" i="106" s="1"/>
  <c r="B6367" i="106"/>
  <c r="D6367" i="106" s="1"/>
  <c r="B6368" i="106"/>
  <c r="D6368" i="106" s="1"/>
  <c r="B6369" i="106"/>
  <c r="D6369" i="106" s="1"/>
  <c r="B6370" i="106"/>
  <c r="D6370" i="106"/>
  <c r="B6371" i="106"/>
  <c r="D6371" i="106" s="1"/>
  <c r="B6372" i="106"/>
  <c r="D6372" i="106" s="1"/>
  <c r="B6373" i="106"/>
  <c r="D6373" i="106" s="1"/>
  <c r="B6374" i="106"/>
  <c r="D6374" i="106"/>
  <c r="B6375" i="106"/>
  <c r="D6375" i="106" s="1"/>
  <c r="B6376" i="106"/>
  <c r="D6376" i="106" s="1"/>
  <c r="B6377" i="106"/>
  <c r="D6377" i="106" s="1"/>
  <c r="B6378" i="106"/>
  <c r="D6378" i="106"/>
  <c r="B6379" i="106"/>
  <c r="D6379" i="106" s="1"/>
  <c r="B6380" i="106"/>
  <c r="D6380" i="106" s="1"/>
  <c r="B6381" i="106"/>
  <c r="D6381" i="106" s="1"/>
  <c r="B6382" i="106"/>
  <c r="D6382" i="106" s="1"/>
  <c r="B6383" i="106"/>
  <c r="D6383" i="106" s="1"/>
  <c r="B6384" i="106"/>
  <c r="D6384" i="106" s="1"/>
  <c r="B6385" i="106"/>
  <c r="D6385" i="106" s="1"/>
  <c r="B6386" i="106"/>
  <c r="D6386" i="106"/>
  <c r="B6387" i="106"/>
  <c r="D6387" i="106" s="1"/>
  <c r="B6388" i="106"/>
  <c r="D6388" i="106" s="1"/>
  <c r="B6389" i="106"/>
  <c r="D6389" i="106" s="1"/>
  <c r="B6390" i="106"/>
  <c r="D6390" i="106"/>
  <c r="B6391" i="106"/>
  <c r="D6391" i="106" s="1"/>
  <c r="B6392" i="106"/>
  <c r="D6392" i="106" s="1"/>
  <c r="B6393" i="106"/>
  <c r="D6393" i="106" s="1"/>
  <c r="B6394" i="106"/>
  <c r="D6394" i="106"/>
  <c r="B6395" i="106"/>
  <c r="D6395" i="106" s="1"/>
  <c r="B6398" i="106"/>
  <c r="D6398" i="106" s="1"/>
  <c r="B6399" i="106"/>
  <c r="D6399" i="106" s="1"/>
  <c r="B6401" i="106"/>
  <c r="D6401" i="106" s="1"/>
  <c r="B6402" i="106"/>
  <c r="D6402" i="106" s="1"/>
  <c r="B6403" i="106"/>
  <c r="D6403" i="106" s="1"/>
  <c r="B6404" i="106"/>
  <c r="D6404" i="106" s="1"/>
  <c r="B6405" i="106"/>
  <c r="D6405" i="106"/>
  <c r="B6406" i="106"/>
  <c r="D6406" i="106" s="1"/>
  <c r="B6407" i="106"/>
  <c r="D6407" i="106" s="1"/>
  <c r="B6408" i="106"/>
  <c r="D6408" i="106" s="1"/>
  <c r="B6410" i="106"/>
  <c r="D6410" i="106"/>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c r="B6620" i="106"/>
  <c r="D6620" i="106" s="1"/>
  <c r="B6621" i="106"/>
  <c r="D6621" i="106" s="1"/>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c r="B6632" i="106"/>
  <c r="D6632" i="106" s="1"/>
  <c r="B6633" i="106"/>
  <c r="D6633" i="106" s="1"/>
  <c r="B6634" i="106"/>
  <c r="D6634" i="106" s="1"/>
  <c r="B6635" i="106"/>
  <c r="D6635" i="106"/>
  <c r="B6636" i="106"/>
  <c r="D6636" i="106" s="1"/>
  <c r="B6637" i="106"/>
  <c r="D6637" i="106" s="1"/>
  <c r="B6638" i="106"/>
  <c r="D6638" i="106" s="1"/>
  <c r="B6639" i="106"/>
  <c r="D6639" i="106" s="1"/>
  <c r="B6640" i="106"/>
  <c r="D6640" i="106" s="1"/>
  <c r="B6641" i="106"/>
  <c r="D6641" i="106" s="1"/>
  <c r="B6642" i="106"/>
  <c r="D6642" i="106" s="1"/>
  <c r="B6643" i="106"/>
  <c r="D6643" i="106"/>
  <c r="B6644" i="106"/>
  <c r="D6644" i="106" s="1"/>
  <c r="B6645" i="106"/>
  <c r="D6645" i="106" s="1"/>
  <c r="B6646" i="106"/>
  <c r="D6646" i="106" s="1"/>
  <c r="B6647" i="106"/>
  <c r="D6647" i="106"/>
  <c r="B6648" i="106"/>
  <c r="D6648" i="106" s="1"/>
  <c r="B6649" i="106"/>
  <c r="D6649" i="106" s="1"/>
  <c r="B6650" i="106"/>
  <c r="D6650" i="106" s="1"/>
  <c r="B6651" i="106"/>
  <c r="D6651" i="106"/>
  <c r="B6652" i="106"/>
  <c r="D6652" i="106" s="1"/>
  <c r="B6653" i="106"/>
  <c r="D6653" i="106" s="1"/>
  <c r="B6654" i="106"/>
  <c r="D6654" i="106" s="1"/>
  <c r="B6655" i="106"/>
  <c r="D6655" i="106" s="1"/>
  <c r="B6656" i="106"/>
  <c r="D6656" i="106" s="1"/>
  <c r="B6657" i="106"/>
  <c r="D6657" i="106" s="1"/>
  <c r="B6658" i="106"/>
  <c r="D6658" i="106" s="1"/>
  <c r="B6659" i="106"/>
  <c r="D6659" i="106"/>
  <c r="B6660" i="106"/>
  <c r="D6660" i="106" s="1"/>
  <c r="B6661" i="106"/>
  <c r="D6661" i="106" s="1"/>
  <c r="B6662" i="106"/>
  <c r="D6662" i="106" s="1"/>
  <c r="B6663" i="106"/>
  <c r="D6663" i="106"/>
  <c r="B6664" i="106"/>
  <c r="D6664" i="106" s="1"/>
  <c r="B6665" i="106"/>
  <c r="D6665" i="106" s="1"/>
  <c r="B6666" i="106"/>
  <c r="D6666" i="106" s="1"/>
  <c r="B6667" i="106"/>
  <c r="D6667" i="106"/>
  <c r="B6668" i="106"/>
  <c r="D6668" i="106" s="1"/>
  <c r="B6669" i="106"/>
  <c r="D6669" i="106" s="1"/>
  <c r="B6670" i="106"/>
  <c r="D6670" i="106" s="1"/>
  <c r="B6671" i="106"/>
  <c r="D6671" i="106" s="1"/>
  <c r="B6672" i="106"/>
  <c r="D6672" i="106" s="1"/>
  <c r="B6673" i="106"/>
  <c r="D6673" i="106" s="1"/>
  <c r="B6674" i="106"/>
  <c r="D6674" i="106" s="1"/>
  <c r="B6675" i="106"/>
  <c r="D6675" i="106"/>
  <c r="B6676" i="106"/>
  <c r="D6676" i="106" s="1"/>
  <c r="B6677" i="106"/>
  <c r="D6677" i="106" s="1"/>
  <c r="B6678" i="106"/>
  <c r="D6678" i="106" s="1"/>
  <c r="B6679" i="106"/>
  <c r="D6679" i="106"/>
  <c r="B6680" i="106"/>
  <c r="D6680" i="106" s="1"/>
  <c r="B6681" i="106"/>
  <c r="D6681" i="106" s="1"/>
  <c r="B6682" i="106"/>
  <c r="D6682" i="106" s="1"/>
  <c r="B6683" i="106"/>
  <c r="D6683" i="106"/>
  <c r="B6684" i="106"/>
  <c r="D6684" i="106" s="1"/>
  <c r="B6685" i="106"/>
  <c r="D6685" i="106" s="1"/>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c r="B6696" i="106"/>
  <c r="D6696" i="106" s="1"/>
  <c r="B6697" i="106"/>
  <c r="D6697" i="106" s="1"/>
  <c r="B6698" i="106"/>
  <c r="D6698" i="106" s="1"/>
  <c r="B6699" i="106"/>
  <c r="D6699" i="106"/>
  <c r="B6700" i="106"/>
  <c r="D6700" i="106" s="1"/>
  <c r="B6701" i="106"/>
  <c r="D6701" i="106" s="1"/>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c r="B6712" i="106"/>
  <c r="D6712" i="106" s="1"/>
  <c r="B6713" i="106"/>
  <c r="D6713" i="106" s="1"/>
  <c r="B6714" i="106"/>
  <c r="D6714" i="106" s="1"/>
  <c r="B6715" i="106"/>
  <c r="D6715" i="106"/>
  <c r="B6716" i="106"/>
  <c r="D6716" i="106" s="1"/>
  <c r="B6717" i="106"/>
  <c r="D6717" i="106" s="1"/>
  <c r="B6718" i="106"/>
  <c r="D6718" i="106" s="1"/>
  <c r="B6719" i="106"/>
  <c r="D6719" i="106" s="1"/>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c r="B6737" i="106"/>
  <c r="D6737" i="106" s="1"/>
  <c r="B6738" i="106"/>
  <c r="D6738" i="106" s="1"/>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c r="B6769" i="106"/>
  <c r="D6769" i="106" s="1"/>
  <c r="B6770" i="106"/>
  <c r="D6770" i="106" s="1"/>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c r="B6801" i="106"/>
  <c r="D6801" i="106" s="1"/>
  <c r="B6802" i="106"/>
  <c r="D6802" i="106" s="1"/>
  <c r="B6803" i="106"/>
  <c r="D6803" i="106" s="1"/>
  <c r="B6804" i="106"/>
  <c r="D6804" i="106" s="1"/>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A63" i="127"/>
  <c r="A64" i="127"/>
  <c r="F26" i="108"/>
  <c r="D27" i="108"/>
  <c r="E27" i="108"/>
  <c r="F27" i="108"/>
  <c r="G27" i="108"/>
  <c r="F31" i="108"/>
  <c r="F36" i="108"/>
  <c r="G28"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D216" i="5"/>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33" i="118"/>
  <c r="D22" i="37"/>
  <c r="J22" i="37"/>
  <c r="L22" i="37"/>
  <c r="D24" i="37"/>
  <c r="B4270" i="106" s="1"/>
  <c r="D4270" i="106" s="1"/>
  <c r="L5" i="11"/>
  <c r="B2056" i="106" s="1"/>
  <c r="D2056" i="106" s="1"/>
  <c r="D9" i="7"/>
  <c r="B1767" i="106" s="1"/>
  <c r="D1767" i="106" s="1"/>
  <c r="B5752" i="106"/>
  <c r="D5752" i="106" s="1"/>
  <c r="D17" i="7"/>
  <c r="B4104" i="106" s="1"/>
  <c r="D4104" i="106" s="1"/>
  <c r="I210" i="29" l="1"/>
  <c r="K24" i="12"/>
  <c r="K274" i="5"/>
  <c r="B4373" i="106"/>
  <c r="D4373" i="106" s="1"/>
  <c r="K173" i="5"/>
  <c r="K6" i="4" s="1"/>
  <c r="B3570" i="106" s="1"/>
  <c r="D3570" i="106" s="1"/>
  <c r="H28" i="118"/>
  <c r="F14" i="4"/>
  <c r="B2597" i="106" s="1"/>
  <c r="D2597" i="106" s="1"/>
  <c r="F46" i="34"/>
  <c r="G39" i="108"/>
  <c r="E26" i="108"/>
  <c r="B7047" i="106"/>
  <c r="D7047" i="106" s="1"/>
  <c r="B6995" i="106"/>
  <c r="D6995" i="106" s="1"/>
  <c r="D15" i="7"/>
  <c r="B1772" i="106" s="1"/>
  <c r="D1772" i="106" s="1"/>
  <c r="D14" i="4"/>
  <c r="B2570" i="106" s="1"/>
  <c r="D2570" i="106" s="1"/>
  <c r="L367" i="29"/>
  <c r="F49" i="34"/>
  <c r="F36" i="34"/>
  <c r="J129" i="29"/>
  <c r="B7038" i="106" s="1"/>
  <c r="D7038" i="106" s="1"/>
  <c r="D6103" i="106"/>
  <c r="G15" i="145"/>
  <c r="F72" i="34"/>
  <c r="F127" i="34"/>
  <c r="F50" i="34"/>
  <c r="F37" i="34"/>
  <c r="F128" i="34"/>
  <c r="G14" i="4"/>
  <c r="B2609" i="106" s="1"/>
  <c r="D2609" i="106" s="1"/>
  <c r="F62" i="34"/>
  <c r="I129" i="29"/>
  <c r="B7037" i="106" s="1"/>
  <c r="D7037" i="106" s="1"/>
  <c r="H112" i="29"/>
  <c r="B7018" i="106" s="1"/>
  <c r="D7018" i="106" s="1"/>
  <c r="J77" i="4"/>
  <c r="B6262" i="106" s="1"/>
  <c r="D6262" i="106" s="1"/>
  <c r="F77" i="4"/>
  <c r="B3255" i="106" s="1"/>
  <c r="D3255" i="106" s="1"/>
  <c r="B2724" i="106"/>
  <c r="D2724" i="106" s="1"/>
  <c r="G26" i="108"/>
  <c r="F71" i="34"/>
  <c r="D12" i="7"/>
  <c r="B1769" i="106" s="1"/>
  <c r="D1769" i="106" s="1"/>
  <c r="D5" i="4"/>
  <c r="B3406" i="106" s="1"/>
  <c r="D3406" i="106" s="1"/>
  <c r="F45" i="34"/>
  <c r="F42" i="34"/>
  <c r="K76" i="4"/>
  <c r="B3586" i="106" s="1"/>
  <c r="D3586" i="106" s="1"/>
  <c r="B1274" i="106"/>
  <c r="D1274" i="106" s="1"/>
  <c r="F19" i="7"/>
  <c r="B1807" i="106" s="1"/>
  <c r="D1807" i="106" s="1"/>
  <c r="E28" i="108"/>
  <c r="L342" i="29"/>
  <c r="G29" i="108"/>
  <c r="K184" i="29"/>
  <c r="F13" i="4" s="1"/>
  <c r="B2596" i="106" s="1"/>
  <c r="D2596" i="106" s="1"/>
  <c r="E29" i="108"/>
  <c r="B3488" i="106"/>
  <c r="D3488" i="106" s="1"/>
  <c r="B1223" i="106"/>
  <c r="D1223" i="106" s="1"/>
  <c r="F28" i="108"/>
  <c r="F37" i="108"/>
  <c r="F52" i="34"/>
  <c r="G38" i="108"/>
  <c r="E38" i="108"/>
  <c r="D37" i="108"/>
  <c r="G30" i="108"/>
  <c r="E30" i="108"/>
  <c r="F41" i="34"/>
  <c r="F38" i="34"/>
  <c r="F34" i="34"/>
  <c r="D5" i="7"/>
  <c r="B1761" i="106" s="1"/>
  <c r="D1761" i="106" s="1"/>
  <c r="D109" i="5"/>
  <c r="B5356" i="106" s="1"/>
  <c r="D5356" i="106" s="1"/>
  <c r="D13" i="7"/>
  <c r="B3726" i="106" s="1"/>
  <c r="D3726" i="106" s="1"/>
  <c r="D4" i="7"/>
  <c r="B1760" i="106" s="1"/>
  <c r="D1760" i="106" s="1"/>
  <c r="D54" i="36"/>
  <c r="H29" i="118"/>
  <c r="K28" i="118" s="1"/>
  <c r="O27" i="118" s="1"/>
  <c r="O29" i="118" s="1"/>
  <c r="D31" i="36"/>
  <c r="D11" i="37"/>
  <c r="B5178" i="106"/>
  <c r="D5178" i="106" s="1"/>
  <c r="F111" i="34"/>
  <c r="B5881" i="106"/>
  <c r="D5881" i="106" s="1"/>
  <c r="H109" i="5"/>
  <c r="B6191" i="106"/>
  <c r="D6191" i="106" s="1"/>
  <c r="J41" i="3"/>
  <c r="B6216" i="106" s="1"/>
  <c r="D6216" i="106" s="1"/>
  <c r="B3565" i="106"/>
  <c r="D3565" i="106" s="1"/>
  <c r="K41" i="3"/>
  <c r="F130" i="34"/>
  <c r="I173" i="5"/>
  <c r="B4216" i="106" s="1"/>
  <c r="D4216" i="106" s="1"/>
  <c r="B5741" i="106"/>
  <c r="D5741" i="106" s="1"/>
  <c r="G5" i="4"/>
  <c r="B3409" i="106" s="1"/>
  <c r="D3409" i="106" s="1"/>
  <c r="J274" i="5"/>
  <c r="B7054" i="106" s="1"/>
  <c r="D7054" i="106" s="1"/>
  <c r="B7041" i="106"/>
  <c r="D7041" i="106" s="1"/>
  <c r="C172" i="5"/>
  <c r="B4412" i="106"/>
  <c r="D4412" i="106" s="1"/>
  <c r="F131" i="34"/>
  <c r="G109" i="5"/>
  <c r="B1746" i="106"/>
  <c r="D1746" i="106" s="1"/>
  <c r="D7" i="7"/>
  <c r="B1763" i="106" s="1"/>
  <c r="D1763" i="106" s="1"/>
  <c r="H173" i="5"/>
  <c r="F136" i="34"/>
  <c r="C109" i="5"/>
  <c r="B5121" i="106" s="1"/>
  <c r="D5121" i="106" s="1"/>
  <c r="L312" i="29"/>
  <c r="B7235" i="106"/>
  <c r="D7235" i="106" s="1"/>
  <c r="B6289" i="106"/>
  <c r="D6289" i="106" s="1"/>
  <c r="F106" i="34"/>
  <c r="G172" i="5"/>
  <c r="F172" i="5"/>
  <c r="B5644" i="106" s="1"/>
  <c r="D5644" i="106" s="1"/>
  <c r="B5096" i="106"/>
  <c r="D5096" i="106" s="1"/>
  <c r="B5518" i="106"/>
  <c r="D5518" i="106" s="1"/>
  <c r="E109" i="5"/>
  <c r="E4" i="4" s="1"/>
  <c r="B2630" i="106" s="1"/>
  <c r="D2630" i="106" s="1"/>
  <c r="B1752" i="106"/>
  <c r="D1752" i="106" s="1"/>
  <c r="D11" i="7"/>
  <c r="B1768" i="106" s="1"/>
  <c r="D1768" i="106" s="1"/>
  <c r="D26" i="108"/>
  <c r="D41" i="108" s="1"/>
  <c r="E43" i="108" s="1"/>
  <c r="B3658" i="106"/>
  <c r="D3658" i="106" s="1"/>
  <c r="H365" i="29"/>
  <c r="B3649" i="106"/>
  <c r="D3649" i="106" s="1"/>
  <c r="G367" i="29"/>
  <c r="B3650" i="106" s="1"/>
  <c r="D3650" i="106" s="1"/>
  <c r="B3619" i="106"/>
  <c r="D3619" i="106" s="1"/>
  <c r="C352" i="29"/>
  <c r="B3170" i="106"/>
  <c r="D3170" i="106" s="1"/>
  <c r="H76" i="4"/>
  <c r="B3298" i="106" s="1"/>
  <c r="D3298" i="106" s="1"/>
  <c r="B1995" i="106"/>
  <c r="D1995" i="106" s="1"/>
  <c r="I24" i="12"/>
  <c r="B3670" i="106"/>
  <c r="D3670" i="106" s="1"/>
  <c r="K352" i="29"/>
  <c r="K13" i="4" s="1"/>
  <c r="B3572" i="106" s="1"/>
  <c r="D3572" i="106" s="1"/>
  <c r="B1126" i="106"/>
  <c r="D1126" i="106" s="1"/>
  <c r="F21" i="8"/>
  <c r="B3689" i="106"/>
  <c r="D3689" i="106" s="1"/>
  <c r="B3647" i="106"/>
  <c r="D3647" i="106" s="1"/>
  <c r="L15" i="11"/>
  <c r="B3459" i="106" s="1"/>
  <c r="D3459" i="106" s="1"/>
  <c r="L13" i="11"/>
  <c r="B2060" i="106" s="1"/>
  <c r="D2060" i="106" s="1"/>
  <c r="G210" i="29"/>
  <c r="K285"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B2657" i="106"/>
  <c r="D2657" i="106" s="1"/>
  <c r="D274" i="5"/>
  <c r="B3447" i="106"/>
  <c r="D3447" i="106" s="1"/>
  <c r="B7270" i="106"/>
  <c r="D7252" i="106" l="1"/>
  <c r="B7733" i="106"/>
  <c r="D7733" i="106" s="1"/>
  <c r="K26" i="12"/>
  <c r="B7743" i="106" s="1"/>
  <c r="D7743" i="106" s="1"/>
  <c r="B7071" i="106"/>
  <c r="D7071" i="106" s="1"/>
  <c r="F66" i="34"/>
  <c r="I151" i="29"/>
  <c r="F59" i="34" s="1"/>
  <c r="D7255" i="106"/>
  <c r="D7256" i="106"/>
  <c r="D7251" i="106"/>
  <c r="J7" i="4"/>
  <c r="H151" i="29"/>
  <c r="B1273" i="106" s="1"/>
  <c r="D1273" i="106" s="1"/>
  <c r="K365" i="29"/>
  <c r="K367" i="29" s="1"/>
  <c r="H275" i="5"/>
  <c r="B5915" i="106" s="1"/>
  <c r="D5915" i="106" s="1"/>
  <c r="D51" i="36"/>
  <c r="L114" i="29"/>
  <c r="F41" i="108"/>
  <c r="G43" i="108" s="1"/>
  <c r="K342" i="29"/>
  <c r="F13" i="34" s="1"/>
  <c r="B1381" i="106"/>
  <c r="D1381" i="106" s="1"/>
  <c r="C114" i="29"/>
  <c r="B757" i="106" s="1"/>
  <c r="D757" i="106" s="1"/>
  <c r="D19" i="7"/>
  <c r="B1775" i="106" s="1"/>
  <c r="D1775" i="106" s="1"/>
  <c r="F173" i="5"/>
  <c r="B5653" i="106" s="1"/>
  <c r="D5653" i="106" s="1"/>
  <c r="D4" i="4"/>
  <c r="B2564" i="106" s="1"/>
  <c r="D2564" i="106" s="1"/>
  <c r="D44" i="36"/>
  <c r="F73" i="34"/>
  <c r="G15" i="4"/>
  <c r="B6032" i="106" s="1"/>
  <c r="D6032" i="106" s="1"/>
  <c r="B5214" i="106"/>
  <c r="D5214" i="106" s="1"/>
  <c r="C173" i="5"/>
  <c r="B3568" i="106"/>
  <c r="D3568" i="106" s="1"/>
  <c r="D52" i="36"/>
  <c r="B3628" i="106"/>
  <c r="D3628" i="106" s="1"/>
  <c r="B1365" i="106"/>
  <c r="D1365" i="106" s="1"/>
  <c r="F65" i="34"/>
  <c r="B6024" i="106"/>
  <c r="D6024" i="106" s="1"/>
  <c r="G4" i="4"/>
  <c r="B2603" i="106" s="1"/>
  <c r="D2603" i="106" s="1"/>
  <c r="B6025" i="106"/>
  <c r="D6025" i="106" s="1"/>
  <c r="H4" i="4"/>
  <c r="H77" i="4"/>
  <c r="B3299" i="106" s="1"/>
  <c r="D3299" i="106" s="1"/>
  <c r="B1317" i="106"/>
  <c r="D1317" i="106" s="1"/>
  <c r="D7253" i="106"/>
  <c r="F274" i="5"/>
  <c r="F7" i="4" s="1"/>
  <c r="B2594" i="106" s="1"/>
  <c r="D2594" i="106" s="1"/>
  <c r="C4" i="4"/>
  <c r="B2551" i="106" s="1"/>
  <c r="D2551" i="106" s="1"/>
  <c r="B1879" i="106"/>
  <c r="D1879" i="106" s="1"/>
  <c r="H22" i="37"/>
  <c r="B1996" i="106"/>
  <c r="D1996" i="106" s="1"/>
  <c r="I26" i="12"/>
  <c r="B7741" i="106" s="1"/>
  <c r="D7741" i="106" s="1"/>
  <c r="B3621" i="106"/>
  <c r="D3621" i="106" s="1"/>
  <c r="C367" i="29"/>
  <c r="B3622" i="106" s="1"/>
  <c r="D3622" i="106" s="1"/>
  <c r="H367" i="29"/>
  <c r="B3660" i="106" s="1"/>
  <c r="D3660" i="106" s="1"/>
  <c r="B7242" i="106"/>
  <c r="D7242" i="106" s="1"/>
  <c r="B5906" i="106"/>
  <c r="D5906" i="106" s="1"/>
  <c r="H6" i="4"/>
  <c r="B2656" i="106" s="1"/>
  <c r="D2656" i="106" s="1"/>
  <c r="L16" i="11"/>
  <c r="B2061" i="106" s="1"/>
  <c r="D2061" i="106" s="1"/>
  <c r="G173" i="5"/>
  <c r="B5770" i="106"/>
  <c r="D577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D7" i="4"/>
  <c r="B5507" i="106"/>
  <c r="D5507" i="106" s="1"/>
  <c r="B7298" i="106"/>
  <c r="B7299" i="106"/>
  <c r="B7224" i="106" l="1"/>
  <c r="D7224" i="106" s="1"/>
  <c r="B7243" i="106"/>
  <c r="D7243" i="106" s="1"/>
  <c r="F275" i="5"/>
  <c r="B5720" i="106" s="1"/>
  <c r="D5720" i="106" s="1"/>
  <c r="B1145" i="106"/>
  <c r="D1145" i="106" s="1"/>
  <c r="B5719" i="106"/>
  <c r="D5719" i="106" s="1"/>
  <c r="F6" i="4"/>
  <c r="B2593" i="106" s="1"/>
  <c r="D2593" i="106" s="1"/>
  <c r="J8" i="4"/>
  <c r="J20" i="4" s="1"/>
  <c r="B5223" i="106"/>
  <c r="D5223" i="106" s="1"/>
  <c r="C6" i="4"/>
  <c r="B2553" i="106" s="1"/>
  <c r="D2553" i="106" s="1"/>
  <c r="E41" i="108"/>
  <c r="E44" i="108" s="1"/>
  <c r="E45" i="108" s="1"/>
  <c r="B5778" i="106"/>
  <c r="D5778" i="106" s="1"/>
  <c r="G6" i="4"/>
  <c r="B2604" i="106" s="1"/>
  <c r="D2604" i="106" s="1"/>
  <c r="G41" i="108"/>
  <c r="G44" i="108" s="1"/>
  <c r="G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4" l="1"/>
  <c r="F8" i="4"/>
  <c r="D8" i="146" s="1"/>
  <c r="B6223" i="106"/>
  <c r="D6223" i="106" s="1"/>
  <c r="J10" i="4"/>
  <c r="B6225" i="106" s="1"/>
  <c r="D6225" i="106" s="1"/>
  <c r="D10" i="171"/>
  <c r="D19" i="171" s="1"/>
  <c r="D32" i="171" s="1"/>
  <c r="D49" i="171" s="1"/>
  <c r="F76" i="34"/>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B2595" i="106"/>
  <c r="D2595" i="106" s="1"/>
  <c r="F10" i="4"/>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<sst xmlns="http://schemas.openxmlformats.org/spreadsheetml/2006/main" count="5056" uniqueCount="2122">
  <si>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</si>
  <si>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</si>
  <si>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</si>
  <si>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</si>
  <si>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</si>
  <si>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</si>
  <si>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</si>
  <si>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</si>
  <si>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</si>
  <si>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</si>
  <si>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</si>
  <si>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</si>
  <si>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</si>
  <si>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</si>
  <si>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</si>
  <si>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</si>
  <si>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</si>
  <si>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</si>
  <si>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</si>
  <si>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</si>
  <si>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</si>
  <si>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</si>
  <si>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</si>
  <si>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</si>
  <si>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</si>
  <si>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</si>
  <si>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</si>
  <si>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</si>
  <si>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</si>
  <si>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</si>
  <si>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</si>
  <si>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</si>
  <si>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</si>
  <si>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</si>
  <si>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</si>
  <si>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</si>
  <si>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</si>
  <si>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</si>
  <si>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</si>
  <si>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</si>
  <si>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</si>
  <si>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</si>
  <si>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</si>
  <si>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</si>
  <si>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</si>
  <si>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</si>
  <si>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</si>
  <si>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</si>
  <si>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</si>
  <si>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</si>
  <si>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</si>
  <si>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</si>
  <si>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</si>
  <si>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</si>
  <si>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</si>
  <si>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</si>
  <si>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</si>
  <si>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</si>
  <si>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</si>
  <si>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</si>
  <si>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</si>
  <si>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</si>
  <si>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</si>
  <si>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</si>
  <si>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</si>
  <si>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</si>
  <si>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</si>
  <si>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</si>
  <si>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</si>
  <si>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</si>
  <si>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</si>
  <si>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</si>
  <si>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</si>
  <si>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</si>
  <si>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</si>
  <si>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</si>
  <si>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</si>
  <si>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</si>
  <si>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</si>
  <si>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</si>
  <si>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</si>
  <si>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</si>
  <si>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</si>
  <si>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</si>
  <si>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</si>
  <si>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</si>
  <si>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</si>
  <si>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</si>
  <si>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</si>
  <si>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</si>
  <si>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</si>
  <si>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</si>
  <si>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</si>
  <si>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</si>
  <si>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</si>
  <si>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</si>
  <si>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</si>
  <si>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</si>
  <si>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</si>
  <si>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</si>
  <si>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</si>
  <si>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</si>
  <si>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</si>
  <si>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</si>
  <si>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</si>
  <si>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</si>
  <si>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</si>
  <si>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</si>
  <si>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</si>
  <si>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</si>
  <si>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</si>
  <si>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</si>
  <si>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</si>
  <si>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</si>
  <si>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</si>
  <si>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</si>
  <si>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</si>
  <si>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</si>
  <si>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</si>
  <si>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</si>
  <si>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</si>
  <si>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</si>
  <si>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</si>
  <si>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</si>
  <si>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</si>
  <si>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</si>
  <si>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</si>
  <si>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</si>
  <si>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</si>
  <si>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</si>
  <si>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</si>
  <si>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</si>
  <si>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</si>
  <si>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</si>
  <si>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</si>
  <si>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</si>
  <si>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</si>
  <si>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</si>
  <si>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</si>
  <si>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</si>
  <si>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</si>
  <si>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</si>
  <si>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</si>
  <si>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</si>
  <si>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</si>
  <si>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</si>
  <si>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</si>
  <si>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</si>
  <si>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</si>
  <si>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</si>
  <si>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</si>
  <si>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</si>
  <si>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</si>
  <si>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</si>
  <si>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</si>
  <si>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</si>
  <si>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</si>
  <si>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</si>
  <si>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</si>
  <si>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</si>
  <si>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</si>
  <si>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</si>
  <si>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</si>
  <si>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</si>
  <si>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</si>
  <si>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</si>
  <si>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</si>
  <si>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</si>
  <si>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</si>
  <si>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</si>
  <si>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</si>
  <si>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</si>
  <si>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</si>
  <si>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</si>
  <si>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</si>
  <si>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</si>
  <si>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</si>
  <si>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</si>
  <si>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</si>
  <si>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</si>
  <si>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</si>
  <si>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</si>
  <si>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</si>
  <si>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</si>
  <si>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</si>
  <si>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</si>
  <si>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</si>
  <si>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</si>
  <si>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</si>
  <si>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</si>
  <si>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</si>
  <si>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</si>
  <si>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</si>
  <si>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</si>
  <si>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</si>
  <si>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</si>
  <si>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</si>
  <si>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</si>
  <si>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</si>
  <si>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</si>
  <si>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</si>
  <si>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</si>
  <si>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</si>
  <si>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</si>
  <si>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</si>
  <si>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</si>
  <si>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</si>
  <si>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</si>
  <si>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</si>
  <si>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</si>
  <si>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</si>
  <si>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</si>
  <si>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</si>
  <si>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</si>
  <si>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</si>
  <si>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</si>
  <si>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</si>
  <si>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</si>
  <si>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</si>
  <si>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</si>
  <si>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</si>
  <si>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</si>
  <si>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</si>
  <si>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</si>
  <si>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</si>
  <si>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</si>
  <si>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</si>
  <si>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</si>
  <si>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</si>
  <si>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</si>
  <si>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</si>
  <si>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</si>
  <si>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</si>
  <si>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</si>
  <si>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</si>
  <si>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</si>
  <si>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</si>
  <si>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</si>
  <si>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</si>
  <si>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</si>
  <si>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</si>
  <si>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</si>
  <si>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</si>
  <si>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</si>
  <si>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</si>
  <si>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</si>
  <si>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</si>
  <si>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</si>
  <si>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</si>
  <si>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</si>
  <si>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</si>
  <si>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</si>
  <si>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</si>
  <si>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</si>
  <si>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</si>
  <si>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</si>
  <si>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</si>
  <si>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</si>
  <si>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</si>
  <si>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</si>
  <si>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</si>
  <si>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</si>
  <si>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</si>
  <si>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</si>
  <si>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</si>
  <si>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</si>
  <si>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</si>
  <si>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</si>
  <si>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</si>
  <si>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</si>
  <si>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</si>
  <si>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</si>
  <si>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</si>
  <si>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</si>
  <si>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</si>
  <si>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</si>
  <si>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</si>
  <si>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</si>
  <si>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</si>
  <si>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</si>
  <si>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</si>
  <si>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</si>
  <si>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</si>
  <si>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</si>
  <si>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</si>
  <si>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</si>
  <si>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</si>
  <si>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</si>
  <si>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</si>
  <si>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</si>
  <si>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</si>
  <si>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</si>
  <si>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</si>
  <si>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</si>
  <si>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</si>
  <si>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</si>
  <si>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</si>
  <si>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</si>
  <si>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</si>
  <si>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</si>
  <si>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</si>
  <si>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</si>
  <si>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</si>
  <si>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</si>
  <si>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</si>
  <si>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</si>
  <si>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</si>
  <si>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</si>
  <si>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</si>
  <si>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</si>
  <si>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</si>
  <si>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</si>
  <si>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</si>
  <si>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</si>
  <si>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</si>
  <si>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</si>
  <si>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</si>
  <si>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</si>
  <si>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</si>
  <si>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</si>
  <si>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</si>
  <si>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</si>
  <si>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</si>
  <si>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</si>
  <si>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</si>
  <si>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</si>
  <si>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</si>
  <si>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</si>
  <si>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</si>
  <si>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</si>
  <si>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</si>
  <si>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</si>
  <si>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</si>
  <si>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</si>
  <si>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</si>
  <si>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</si>
  <si>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</si>
  <si>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</si>
  <si>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</si>
  <si>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</si>
  <si>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</si>
  <si>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</si>
  <si>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</si>
  <si>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</si>
  <si>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</si>
  <si>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</si>
  <si>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</si>
  <si>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</si>
  <si>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</si>
  <si>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</si>
  <si>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</si>
  <si>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</si>
  <si>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</si>
  <si>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</si>
  <si>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</si>
  <si>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</si>
  <si>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</si>
  <si>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</si>
  <si>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</si>
  <si>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</si>
  <si>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</si>
  <si>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</si>
  <si>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</si>
  <si>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</si>
  <si>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</si>
  <si>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</si>
  <si>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</si>
  <si>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</si>
  <si>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</si>
  <si>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</si>
  <si>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</si>
  <si>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</si>
  <si>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</si>
  <si>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</si>
  <si>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</si>
  <si>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</si>
  <si>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</si>
  <si>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</si>
  <si>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</si>
  <si>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</si>
  <si>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</si>
  <si>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</si>
  <si>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</si>
  <si>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</si>
  <si>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</si>
  <si>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</si>
  <si>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</si>
  <si>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</si>
  <si>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</si>
  <si>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</si>
  <si>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</si>
  <si>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</si>
  <si>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</si>
  <si>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</si>
  <si>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</si>
  <si>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</si>
  <si>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</si>
  <si>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</si>
  <si>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</si>
  <si>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</si>
  <si>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</si>
  <si>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</si>
  <si>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</si>
  <si>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</si>
  <si>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</si>
  <si>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</si>
  <si>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</si>
  <si>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</si>
  <si>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</si>
  <si>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</si>
  <si>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</si>
  <si>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</si>
  <si>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</si>
  <si>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</si>
  <si>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</si>
  <si>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</si>
  <si>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</si>
  <si>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</si>
  <si>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</si>
  <si>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</si>
  <si>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</si>
  <si>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</si>
  <si>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</si>
  <si>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</si>
  <si>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</si>
  <si>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</si>
  <si>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</si>
  <si>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</si>
  <si>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</si>
  <si>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</si>
  <si>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</si>
  <si>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</si>
  <si>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</si>
  <si>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</si>
  <si>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</si>
  <si>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</si>
  <si>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</si>
  <si>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</si>
  <si>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</si>
  <si>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</si>
  <si>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</si>
  <si>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</si>
  <si>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</si>
  <si>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</si>
  <si>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</si>
  <si>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</si>
  <si>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</si>
  <si>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</si>
  <si>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</si>
  <si>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</si>
  <si>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</si>
  <si>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</si>
  <si>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</si>
  <si>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</si>
  <si>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</si>
  <si>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</si>
  <si>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</si>
  <si>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</si>
  <si>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</si>
  <si>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</si>
  <si>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</si>
  <si>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</si>
  <si>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</si>
  <si>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</si>
  <si>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</si>
  <si>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</si>
  <si>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</si>
  <si>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</si>
  <si>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</si>
  <si>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</si>
  <si>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</si>
  <si>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</si>
  <si>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</si>
  <si>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</si>
  <si>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</si>
  <si>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</si>
  <si>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</si>
  <si>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</si>
  <si>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</si>
  <si>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</si>
  <si>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</si>
  <si>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</si>
  <si>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</si>
  <si>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</si>
  <si>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</si>
  <si>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</si>
  <si>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</si>
  <si>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</si>
  <si>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</si>
  <si>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</si>
  <si>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</si>
  <si>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</si>
  <si>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</si>
  <si>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</si>
  <si>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</si>
  <si>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</si>
  <si>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</si>
  <si>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</si>
  <si>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</si>
  <si>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</si>
  <si>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</si>
  <si>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</si>
  <si>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</si>
  <si>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</si>
  <si>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</si>
  <si>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</si>
  <si>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</si>
  <si>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</si>
  <si>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</si>
  <si>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</si>
  <si>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</si>
  <si>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</si>
  <si>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</si>
  <si>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</si>
  <si>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</si>
  <si>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</si>
  <si>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</si>
  <si>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</si>
  <si>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</si>
  <si>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</si>
  <si>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</si>
  <si>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</si>
  <si>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</si>
  <si>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</si>
  <si>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</si>
  <si>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</si>
  <si>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</si>
  <si>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</si>
  <si>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</si>
  <si>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</si>
  <si>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</si>
  <si>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</si>
  <si>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</si>
  <si>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</si>
  <si>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</si>
  <si>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</si>
  <si>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</si>
  <si>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</si>
  <si>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</si>
  <si>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</si>
  <si>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</si>
  <si>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</si>
  <si>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</si>
  <si>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</si>
  <si>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</si>
  <si>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</si>
  <si>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</si>
  <si>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</si>
  <si>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</si>
  <si>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</si>
  <si>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</si>
  <si>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</si>
  <si>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</si>
  <si>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</si>
  <si>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</si>
  <si>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</si>
  <si>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</si>
  <si>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</si>
  <si>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</si>
  <si>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</si>
  <si>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</si>
  <si>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</si>
  <si>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</si>
  <si>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</si>
  <si>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</si>
  <si>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</si>
  <si>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</si>
  <si>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</si>
  <si>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</si>
  <si>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</si>
  <si>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</si>
  <si>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</si>
  <si>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</si>
  <si>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</si>
  <si>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</si>
  <si>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</si>
  <si>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</si>
  <si>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</si>
  <si>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</si>
  <si>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</si>
  <si>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</si>
  <si>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</si>
  <si>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</si>
  <si>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</si>
  <si>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</si>
  <si>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</si>
  <si>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</si>
  <si>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</si>
  <si>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</si>
  <si>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</si>
  <si>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</si>
  <si>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</si>
  <si>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</si>
  <si>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</si>
  <si>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</si>
  <si>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</si>
  <si>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</si>
  <si>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</si>
  <si>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</si>
  <si>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</si>
  <si>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</si>
  <si>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</si>
  <si>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</si>
  <si>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</si>
  <si>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</si>
  <si>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</si>
  <si>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</si>
  <si>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</si>
  <si>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</si>
  <si>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</si>
  <si>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</si>
  <si>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</si>
  <si>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</si>
  <si>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</si>
  <si>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</si>
  <si>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</si>
  <si>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</si>
  <si>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</si>
  <si>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</si>
  <si>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</si>
  <si>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</si>
  <si>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</si>
  <si>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</si>
  <si>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</si>
  <si>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</si>
  <si>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</si>
  <si>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</si>
  <si>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</si>
  <si>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</si>
  <si>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</si>
  <si>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</si>
  <si>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</si>
  <si>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</si>
  <si>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</si>
  <si>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</si>
  <si>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</si>
  <si>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</si>
  <si>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</si>
  <si>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</si>
  <si>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</si>
  <si>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</si>
  <si>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</si>
  <si>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</si>
  <si>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</si>
  <si>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</si>
  <si>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</si>
  <si>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</si>
  <si>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</si>
  <si>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</si>
  <si>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</si>
  <si>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</si>
  <si>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</si>
  <si>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</si>
  <si>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</si>
  <si>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</si>
  <si>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</si>
  <si>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</si>
  <si>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</si>
  <si>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</si>
  <si>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</si>
  <si>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</si>
  <si>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</si>
  <si>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</si>
  <si>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</si>
  <si>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</si>
  <si>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</si>
  <si>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</si>
  <si>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</si>
  <si>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</si>
  <si>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</si>
  <si>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</si>
  <si>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</si>
  <si>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</si>
  <si>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</si>
  <si>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</si>
  <si>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</si>
  <si>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</si>
  <si>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</si>
  <si>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</si>
  <si>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</si>
  <si>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</si>
  <si>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</si>
  <si>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</si>
  <si>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</si>
  <si>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</si>
  <si>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</si>
  <si>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</si>
  <si>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</si>
  <si>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</si>
  <si>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</si>
  <si>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</si>
  <si>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</si>
  <si>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</si>
  <si>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</si>
  <si>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</si>
  <si>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</si>
  <si>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</si>
  <si>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</si>
  <si>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</si>
  <si>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</si>
  <si>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</si>
  <si>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</si>
  <si>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</si>
  <si>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</si>
  <si>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</si>
  <si>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</si>
  <si>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</si>
  <si>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</si>
  <si>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</si>
  <si>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</si>
  <si>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</si>
  <si>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</si>
  <si>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</si>
  <si>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</si>
  <si>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</si>
  <si>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</si>
  <si>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</si>
  <si>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</si>
  <si>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</si>
  <si>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</si>
  <si>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</si>
  <si>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</si>
  <si>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</si>
  <si>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</si>
  <si>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</si>
  <si>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</si>
  <si>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</si>
  <si>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</si>
  <si>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</si>
  <si>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</si>
  <si>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</si>
  <si>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</si>
  <si>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</si>
  <si>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</si>
  <si>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</si>
  <si>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</si>
  <si>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</si>
  <si>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</si>
  <si>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</si>
  <si>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</si>
  <si>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</si>
  <si>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</si>
  <si>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</si>
  <si>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</si>
  <si>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</si>
  <si>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</si>
  <si>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</si>
  <si>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</si>
  <si>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</si>
  <si>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</si>
  <si>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</si>
  <si>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</si>
  <si>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</si>
  <si>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</si>
  <si>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</si>
  <si>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</si>
  <si>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</si>
  <si>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</si>
  <si>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</si>
  <si>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</si>
  <si>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</si>
  <si>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</si>
  <si>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</si>
  <si>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</si>
  <si>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</si>
  <si>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</si>
  <si>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</si>
  <si>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</si>
  <si>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</si>
  <si>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</si>
  <si>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</si>
  <si>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</si>
  <si>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</si>
  <si>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</si>
  <si>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</si>
  <si>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</si>
  <si>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</si>
  <si>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</si>
  <si>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</si>
  <si>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</si>
  <si>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</si>
  <si>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</si>
  <si>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</si>
  <si>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</si>
  <si>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</si>
  <si>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</si>
  <si>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</si>
  <si>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</si>
  <si>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</si>
  <si>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</si>
  <si>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</si>
  <si>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</si>
  <si>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</si>
  <si>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</si>
  <si>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</si>
  <si>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</si>
  <si>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</si>
  <si>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</si>
  <si>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</si>
  <si>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</si>
  <si>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</si>
  <si>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</si>
  <si>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</si>
  <si>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</si>
  <si>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</si>
  <si>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</si>
  <si>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</si>
  <si>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</si>
  <si>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</si>
  <si>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</si>
  <si>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</si>
  <si>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</si>
  <si>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</si>
  <si>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</si>
  <si>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</si>
  <si>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</si>
  <si>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</si>
  <si>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</si>
  <si>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</si>
  <si>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</si>
  <si>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</si>
  <si>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</si>
  <si>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</si>
  <si>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</si>
  <si>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</si>
  <si>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</si>
  <si>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</si>
  <si>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</si>
  <si>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</si>
  <si>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</si>
  <si>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</si>
  <si>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</si>
  <si>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</si>
  <si>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</si>
  <si>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</si>
  <si>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</si>
  <si>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</si>
  <si>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</si>
  <si>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</si>
  <si>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</si>
  <si>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</si>
  <si>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</si>
  <si>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</si>
  <si>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</si>
  <si>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</si>
  <si>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</si>
  <si>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</si>
  <si>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</si>
  <si>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</si>
  <si>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</si>
  <si>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</si>
  <si>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</si>
  <si>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</si>
  <si>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</si>
  <si>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</si>
  <si>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</si>
  <si>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</si>
  <si>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</si>
  <si>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</si>
  <si>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</si>
  <si>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</si>
  <si>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</si>
  <si>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</si>
  <si>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</si>
  <si>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</si>
  <si>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</si>
  <si>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</si>
  <si>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</si>
  <si>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</si>
  <si>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</si>
  <si>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</si>
  <si>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</si>
  <si>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</si>
  <si>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</si>
  <si>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</si>
  <si>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</si>
  <si>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</si>
  <si>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</si>
  <si>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</si>
  <si>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</si>
  <si>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</si>
  <si>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</si>
  <si>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</si>
  <si>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</si>
  <si>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</si>
  <si>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</si>
  <si>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</si>
  <si>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</si>
  <si>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</si>
  <si>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</si>
  <si>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</si>
  <si>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</si>
  <si>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</si>
  <si>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</si>
  <si>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</si>
  <si>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</si>
  <si>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</si>
  <si>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</si>
  <si>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</si>
  <si>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</si>
  <si>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</si>
  <si>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</si>
  <si>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</si>
  <si>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</si>
  <si>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</si>
  <si>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</si>
  <si>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</si>
  <si>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</si>
  <si>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</si>
  <si>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</si>
  <si>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</si>
  <si>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</si>
  <si>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</si>
  <si>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</si>
  <si>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</si>
  <si>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</si>
  <si>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</si>
  <si>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</si>
  <si>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</si>
  <si>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</si>
  <si>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</si>
  <si>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</si>
  <si>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</si>
  <si>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</si>
  <si>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</si>
  <si>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</si>
  <si>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</si>
  <si>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</si>
  <si>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</si>
  <si>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</si>
  <si>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</si>
  <si>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</si>
  <si>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</si>
  <si>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</si>
  <si>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</si>
  <si>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</si>
  <si>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</si>
  <si>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</si>
  <si>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</si>
  <si>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</si>
  <si>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</si>
  <si>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</si>
  <si>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</si>
  <si>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</si>
  <si>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</si>
  <si>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</si>
  <si>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</si>
  <si>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</si>
  <si>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</si>
  <si>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</si>
  <si>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</si>
  <si>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</si>
  <si>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</si>
  <si>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</si>
  <si>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</si>
  <si>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</si>
  <si>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</si>
  <si>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</si>
  <si>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</si>
  <si>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</si>
  <si>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</si>
  <si>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</si>
  <si>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</si>
  <si>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</si>
  <si>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</si>
  <si>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</si>
  <si>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</si>
  <si>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</si>
  <si>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</si>
  <si>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</si>
  <si>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</si>
  <si>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</si>
  <si>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</si>
  <si>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</si>
  <si>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</si>
  <si>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</si>
  <si>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</si>
  <si>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</si>
  <si>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</si>
  <si>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</si>
  <si>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</si>
  <si>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</si>
  <si>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</si>
  <si>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</si>
  <si>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</si>
  <si>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</si>
  <si>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</si>
  <si>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</si>
  <si>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</si>
  <si>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</si>
  <si>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</si>
  <si>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</si>
  <si>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</si>
  <si>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</si>
  <si>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</si>
  <si>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</si>
  <si>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</si>
  <si>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</si>
  <si>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</si>
  <si>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</si>
  <si>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</si>
  <si>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</si>
  <si>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</si>
  <si>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</si>
  <si>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</si>
  <si>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</si>
  <si>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</si>
  <si>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</si>
  <si>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</si>
  <si>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</si>
  <si>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</si>
  <si>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</si>
  <si>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</si>
  <si>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</si>
  <si>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</si>
  <si>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</si>
  <si>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</si>
  <si>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</si>
  <si>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</si>
  <si>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</si>
  <si>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</si>
  <si>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</si>
  <si>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</si>
  <si>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</si>
  <si>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</si>
  <si>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</si>
  <si>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</si>
  <si>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</si>
  <si>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</si>
  <si>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</si>
  <si>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</si>
  <si>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</si>
  <si>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</si>
  <si>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</si>
  <si>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</si>
  <si>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</si>
  <si>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</si>
  <si>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</si>
  <si>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</si>
  <si>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</si>
  <si>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</si>
  <si>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</si>
  <si>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</si>
  <si>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</si>
  <si>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</si>
  <si>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</si>
  <si>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</si>
  <si>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</si>
  <si>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</si>
  <si>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</si>
  <si>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</si>
  <si>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</si>
  <si>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</si>
  <si>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</si>
  <si>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</si>
  <si>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</si>
  <si>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</si>
  <si>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</si>
  <si>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</si>
  <si>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</si>
  <si>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</si>
  <si>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</si>
  <si>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</si>
  <si>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</si>
  <si>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</si>
  <si>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</si>
  <si>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</si>
  <si>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</si>
  <si>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</si>
  <si>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</si>
  <si>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</si>
  <si>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</si>
  <si>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</si>
  <si>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</si>
  <si>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</si>
  <si>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</si>
  <si>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</si>
  <si>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</si>
  <si>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</si>
  <si>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</si>
  <si>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</si>
  <si>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</si>
  <si>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</si>
  <si>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</si>
  <si>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</si>
  <si>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</si>
  <si>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</si>
  <si>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</si>
  <si>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</si>
  <si>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</si>
  <si>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</si>
  <si>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</si>
  <si>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</si>
  <si>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</si>
  <si>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</si>
  <si>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</si>
  <si>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</si>
  <si>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</si>
  <si>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</si>
  <si>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</si>
  <si>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</si>
  <si>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</si>
  <si>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</si>
  <si>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</si>
  <si>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</si>
  <si>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</si>
  <si>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</si>
  <si>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</si>
  <si>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</si>
  <si>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</si>
  <si>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</si>
  <si>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</si>
  <si>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</si>
  <si>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</si>
  <si>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</si>
  <si>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</si>
  <si>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</si>
  <si>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</si>
  <si>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</si>
  <si>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</si>
  <si>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</si>
  <si>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</si>
  <si>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</si>
  <si>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</si>
  <si>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</si>
  <si>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</si>
  <si>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</si>
  <si>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</si>
  <si>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</si>
  <si>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</si>
  <si>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</si>
  <si>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</si>
  <si>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</si>
  <si>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</si>
  <si>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</si>
  <si>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</si>
  <si>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</si>
  <si>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</si>
  <si>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</si>
  <si>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</si>
  <si>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</si>
  <si>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</si>
  <si>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</si>
  <si>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</si>
  <si>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</si>
  <si>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</si>
  <si>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</si>
  <si>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</si>
  <si>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</si>
  <si>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</si>
  <si>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</si>
  <si>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</si>
  <si>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</si>
  <si>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</si>
  <si>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</si>
  <si>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</si>
  <si>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</si>
  <si>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</si>
  <si>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</si>
  <si>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</si>
  <si>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</si>
  <si>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</si>
  <si>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</si>
  <si>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</si>
  <si>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</si>
  <si>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</si>
  <si>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</si>
  <si>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</si>
  <si>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</si>
  <si>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</si>
  <si>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</si>
  <si>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</si>
  <si>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</si>
  <si>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</si>
  <si>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</si>
  <si>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</si>
  <si>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</si>
  <si>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</si>
  <si>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</si>
  <si>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</si>
  <si>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</si>
  <si>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</si>
  <si>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</si>
  <si>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</si>
  <si>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</si>
  <si>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</si>
  <si>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</si>
  <si>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</si>
  <si>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</si>
  <si>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</si>
  <si>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</si>
  <si>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</si>
  <si>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</si>
  <si>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</si>
  <si>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</si>
  <si>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</si>
  <si>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</si>
  <si>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</si>
  <si>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</si>
  <si>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</si>
  <si>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</si>
  <si>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</si>
  <si>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</si>
  <si>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</si>
  <si>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</si>
  <si>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</si>
  <si>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</si>
  <si>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</si>
  <si>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</si>
  <si>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</si>
  <si>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</si>
  <si>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</si>
  <si>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</si>
  <si>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</si>
  <si>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</si>
  <si>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</si>
  <si>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</si>
  <si>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</si>
  <si>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</si>
  <si>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</si>
  <si>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</si>
  <si>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</si>
  <si>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</si>
  <si>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</si>
  <si>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</si>
  <si>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</si>
  <si>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</si>
  <si>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</si>
  <si>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</si>
  <si>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</si>
  <si>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</si>
  <si>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</si>
  <si>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</si>
  <si>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</si>
  <si>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</si>
  <si>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</si>
  <si>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</si>
  <si>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</si>
  <si>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</si>
  <si>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</si>
  <si>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</si>
  <si>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</si>
  <si>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</si>
  <si>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</si>
  <si>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</si>
  <si>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</si>
  <si>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</si>
  <si>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</si>
  <si>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</si>
  <si>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</si>
  <si>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</si>
  <si>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</si>
  <si>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</si>
  <si>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</si>
  <si>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</si>
  <si>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</si>
  <si>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</si>
  <si>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</si>
  <si>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</si>
  <si>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</si>
  <si>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</si>
  <si>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</si>
  <si>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</si>
  <si>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</si>
  <si>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</si>
  <si>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</si>
  <si>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</si>
  <si>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</si>
  <si>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</si>
  <si>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</si>
  <si>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</si>
  <si>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</si>
  <si>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</si>
  <si>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</si>
  <si>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</si>
  <si>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</si>
  <si>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</si>
  <si>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</si>
  <si>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</si>
  <si>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</si>
  <si>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</si>
  <si>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</si>
  <si>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</si>
  <si>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</si>
  <si>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</si>
  <si>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</si>
  <si>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</si>
  <si>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</si>
  <si>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</si>
  <si>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</si>
  <si>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</si>
  <si>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</si>
  <si>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</si>
  <si>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</si>
  <si>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</si>
  <si>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</si>
  <si>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</si>
  <si>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</si>
  <si>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</si>
  <si>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</si>
  <si>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</si>
  <si>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</si>
  <si>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</si>
  <si>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</si>
  <si>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</si>
  <si>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</si>
  <si>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</si>
  <si>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</si>
  <si>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</si>
  <si>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</si>
  <si>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</si>
  <si>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</si>
  <si>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</si>
  <si>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</si>
  <si>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</si>
  <si>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</si>
  <si>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</si>
  <si>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</si>
  <si>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</si>
  <si>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</si>
  <si>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</si>
  <si>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</si>
  <si>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</si>
  <si>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</si>
  <si>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</si>
  <si>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</si>
  <si>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</si>
  <si>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</si>
  <si>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</si>
  <si>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</si>
  <si>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</si>
  <si>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</si>
  <si>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</si>
  <si>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</si>
  <si>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</si>
  <si>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</si>
  <si>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</si>
  <si>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</si>
  <si>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</si>
  <si>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</si>
  <si>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</si>
  <si>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</si>
  <si>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</si>
  <si>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</si>
  <si>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</si>
  <si>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</si>
  <si>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</si>
  <si>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</si>
  <si>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</si>
  <si>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</si>
  <si>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</si>
  <si>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</si>
  <si>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</si>
  <si>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</si>
  <si>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</si>
  <si>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</si>
  <si>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</si>
  <si>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</si>
  <si>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</si>
  <si>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</si>
  <si>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</si>
  <si>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</si>
  <si>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</si>
  <si>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</si>
  <si>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</si>
  <si>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</si>
  <si>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</si>
  <si>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</si>
  <si>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</si>
  <si>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</si>
  <si>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</si>
  <si>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</si>
  <si>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</si>
  <si>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</si>
  <si>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</si>
  <si>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</si>
  <si>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</si>
  <si>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</si>
  <si>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</si>
  <si>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</si>
  <si>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</si>
  <si>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</si>
  <si>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</si>
  <si>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</si>
  <si>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</si>
  <si>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</si>
  <si>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</si>
  <si>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</si>
  <si>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</si>
  <si>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</si>
  <si>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</si>
  <si>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</si>
  <si>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</si>
  <si>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</si>
  <si>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</si>
  <si>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</si>
  <si>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</si>
  <si>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</si>
  <si>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</si>
  <si>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</si>
  <si>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</si>
  <si>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</si>
  <si>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</si>
  <si>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</si>
  <si>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</si>
  <si>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</si>
  <si>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</si>
  <si>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</si>
  <si>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</si>
  <si>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</si>
  <si>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</si>
  <si>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</si>
  <si>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</si>
  <si>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</si>
  <si>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</si>
  <si>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</si>
  <si>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</si>
  <si>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</si>
  <si>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</si>
  <si>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</si>
  <si>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</si>
  <si>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</si>
  <si>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</si>
  <si>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</si>
  <si>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</si>
  <si>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</si>
  <si>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</si>
  <si>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</si>
  <si>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</si>
  <si>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</si>
  <si>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</si>
  <si>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</si>
  <si>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</si>
  <si>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</si>
  <si>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</si>
  <si>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</si>
  <si>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</si>
  <si>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</si>
  <si>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</si>
  <si>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</si>
  <si>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</si>
  <si>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</si>
  <si>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</si>
  <si>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</si>
  <si>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</si>
  <si>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</si>
  <si>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</si>
  <si>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</si>
  <si>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</si>
  <si>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</si>
  <si>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</si>
  <si>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</si>
  <si>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</si>
  <si>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</si>
  <si>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</si>
  <si>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</si>
  <si>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</si>
  <si>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</si>
  <si>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</si>
  <si>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</si>
  <si>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</si>
  <si>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</si>
  <si>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</si>
  <si>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</si>
  <si>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</si>
  <si>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</si>
  <si>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</si>
  <si>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</si>
  <si>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</si>
  <si>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</si>
  <si>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</si>
  <si>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</si>
  <si>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</si>
  <si>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</si>
  <si>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</si>
  <si>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</si>
  <si>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</si>
  <si>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</si>
  <si>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</si>
  <si>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</si>
  <si>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</si>
  <si>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</si>
  <si>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</si>
  <si>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</si>
  <si>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</si>
  <si>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</si>
  <si>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</si>
  <si>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</si>
  <si>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</si>
  <si>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</si>
  <si>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</si>
  <si>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</si>
  <si>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</si>
  <si>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</si>
  <si>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</si>
  <si>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</si>
  <si>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</si>
  <si>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</si>
  <si>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</si>
  <si>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</si>
  <si>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</si>
  <si>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</si>
  <si>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</si>
  <si>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</si>
  <si>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</si>
  <si>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</si>
  <si>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</si>
  <si>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</si>
  <si>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</si>
  <si>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</si>
  <si>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</si>
  <si>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</si>
  <si>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</si>
  <si>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</si>
  <si>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</si>
  <si>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</si>
  <si>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</si>
  <si>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</si>
  <si>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</si>
  <si>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</si>
  <si>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</si>
  <si>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</si>
  <si>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</si>
  <si>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</si>
  <si>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</si>
  <si>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</si>
  <si>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</si>
  <si>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</si>
  <si>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</si>
  <si>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</si>
  <si>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</si>
  <si>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</si>
  <si>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</si>
  <si>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</si>
  <si>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</si>
  <si>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</si>
  <si>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</si>
  <si>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</si>
  <si>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</si>
  <si>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</si>
  <si>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</si>
  <si>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</si>
  <si>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</si>
  <si>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</si>
  <si>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</si>
  <si>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</si>
  <si>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</si>
  <si>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</si>
  <si>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</si>
  <si>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</si>
  <si>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</si>
  <si>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</si>
  <si>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</si>
  <si>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</si>
  <si>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</si>
  <si>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</si>
  <si>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</si>
  <si>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</si>
  <si>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</si>
  <si>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</si>
  <si>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</si>
  <si>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</si>
  <si>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</si>
  <si>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</si>
  <si>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</si>
  <si>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</si>
  <si>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</si>
  <si>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</si>
  <si>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</si>
  <si>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</si>
  <si>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</si>
  <si>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</si>
  <si>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</si>
  <si>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</si>
  <si>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</si>
  <si>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</si>
  <si>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</si>
  <si>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</si>
  <si>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</si>
  <si>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</si>
  <si>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</si>
  <si>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</si>
  <si>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</si>
  <si>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</si>
  <si>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</si>
  <si>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</si>
  <si>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</si>
  <si>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</si>
  <si>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</si>
  <si>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</si>
  <si>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</si>
  <si>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</si>
  <si>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</si>
  <si>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</si>
  <si>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</si>
  <si>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</si>
  <si>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</si>
  <si>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</si>
  <si>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</si>
  <si>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</si>
  <si>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</si>
  <si>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</si>
  <si>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</si>
  <si>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</si>
  <si>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</si>
  <si>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</si>
  <si>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</si>
  <si>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</si>
  <si>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</si>
  <si>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</si>
  <si>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</si>
  <si>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</si>
  <si>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</si>
  <si>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</si>
  <si>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</si>
  <si>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</si>
  <si>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</si>
  <si>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</si>
  <si>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</si>
  <si>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</si>
  <si>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</si>
  <si>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</si>
  <si>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</si>
  <si>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</si>
  <si>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</si>
  <si>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</si>
  <si>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</si>
  <si>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</si>
  <si>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</si>
  <si>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</si>
  <si>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</si>
  <si>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</si>
  <si>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</si>
  <si>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</si>
  <si>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</si>
  <si>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</si>
  <si>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</si>
  <si>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</si>
  <si>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</si>
  <si>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</si>
  <si>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</si>
  <si>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</si>
  <si>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</si>
  <si>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</si>
  <si>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</si>
  <si>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</si>
  <si>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</si>
  <si>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</si>
  <si>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</si>
  <si>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</si>
  <si>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</si>
  <si>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</si>
  <si>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</si>
  <si>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</si>
  <si>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</si>
  <si>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</si>
  <si>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</si>
  <si>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</si>
  <si>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</si>
  <si>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</si>
  <si>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</si>
  <si>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</si>
  <si>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</si>
  <si>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</si>
  <si>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</si>
  <si>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</si>
  <si>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</si>
  <si>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</si>
  <si>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</si>
  <si>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</si>
  <si>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</si>
  <si>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</si>
  <si>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</si>
  <si>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</si>
  <si>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</si>
  <si>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</si>
  <si>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</si>
  <si>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</si>
  <si>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</si>
  <si>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</si>
  <si>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</si>
  <si>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</si>
  <si>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</si>
  <si>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</si>
  <si>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</si>
  <si>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</si>
  <si>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</si>
  <si>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</si>
  <si>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</si>
  <si>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</si>
  <si>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</si>
  <si>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</si>
  <si>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</si>
  <si>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</si>
  <si>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</si>
  <si>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</si>
  <si>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</si>
  <si>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</si>
  <si>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</si>
  <si>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</si>
  <si>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</si>
  <si>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</si>
  <si>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</si>
  <si>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</si>
  <si>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</si>
  <si>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</si>
  <si>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</si>
  <si>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</si>
  <si>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</si>
  <si>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</si>
  <si>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</si>
  <si>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</si>
  <si>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</si>
  <si>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</si>
  <si>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</si>
  <si>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</si>
  <si>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</si>
  <si>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</si>
  <si>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</si>
  <si>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</si>
  <si>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</si>
  <si>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</si>
  <si>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</si>
  <si>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</si>
  <si>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</si>
  <si>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</si>
  <si>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</si>
  <si>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</si>
  <si>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</si>
  <si>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</si>
  <si>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</si>
  <si>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</si>
  <si>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</si>
  <si>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</si>
  <si>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</si>
  <si>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</si>
  <si>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</si>
  <si>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</si>
  <si>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</si>
  <si>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</si>
  <si>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</si>
  <si>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</si>
  <si>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</si>
  <si>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</si>
  <si>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</si>
  <si>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</si>
  <si>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</si>
  <si>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</si>
  <si>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</si>
  <si>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</si>
  <si>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</si>
  <si>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</si>
  <si>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</si>
  <si>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</si>
  <si>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</si>
  <si>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</si>
  <si>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</si>
  <si>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</si>
  <si>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</si>
  <si>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</si>
  <si>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</si>
  <si>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</si>
  <si>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</si>
  <si>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</si>
  <si>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</si>
  <si>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</si>
  <si>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</si>
  <si>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</si>
  <si>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</si>
  <si>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</si>
  <si>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</si>
  <si>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</si>
  <si>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</si>
  <si>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</si>
  <si>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</si>
  <si>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</si>
  <si>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</si>
  <si>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</si>
  <si>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</si>
  <si>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</si>
  <si>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</si>
  <si>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</si>
  <si>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</si>
  <si>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</si>
  <si>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</si>
  <si>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</si>
  <si>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</si>
  <si>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</si>
  <si>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</si>
  <si>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</si>
  <si>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</si>
  <si>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</si>
  <si>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</si>
  <si>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</si>
  <si>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</si>
  <si>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</si>
  <si>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</si>
  <si>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</si>
  <si>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</si>
  <si>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</si>
  <si>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</si>
  <si>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</si>
  <si>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</si>
  <si>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</si>
  <si>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</si>
  <si>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</si>
  <si>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</si>
  <si>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</si>
  <si>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</si>
  <si>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</si>
  <si>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</si>
  <si>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</si>
  <si>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</si>
  <si>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</si>
  <si>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</si>
  <si>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</si>
  <si>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</si>
  <si>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</si>
  <si>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</si>
  <si>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</si>
  <si>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</si>
  <si>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</si>
  <si>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</si>
  <si>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</si>
  <si>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</si>
  <si>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</si>
  <si>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</si>
  <si>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</si>
  <si>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</si>
  <si>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</si>
  <si>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</si>
  <si>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</si>
  <si>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</si>
  <si>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</si>
  <si>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</si>
  <si>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</si>
  <si>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</si>
  <si>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</si>
  <si>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</si>
  <si>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</si>
  <si>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</si>
  <si>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</si>
  <si>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</si>
  <si>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</si>
  <si>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</si>
  <si>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</si>
  <si>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</si>
  <si>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</si>
  <si>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</si>
  <si>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</si>
  <si>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</si>
  <si>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</si>
  <si>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</si>
  <si>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</si>
  <si>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</si>
  <si>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</si>
  <si>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</si>
  <si>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</si>
  <si>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</si>
  <si>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</si>
  <si>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</si>
  <si>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</si>
  <si>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</si>
  <si>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</si>
  <si>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</si>
  <si>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</si>
  <si>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</si>
  <si>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</si>
  <si>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</si>
  <si>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</si>
  <si>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</si>
  <si>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</si>
  <si>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</si>
  <si>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</si>
  <si>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</si>
  <si>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</si>
  <si>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</si>
  <si>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</si>
  <si>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</si>
  <si>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</si>
  <si>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</si>
  <si>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</si>
  <si>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</si>
  <si>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</si>
  <si>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</si>
  <si>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</si>
  <si>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</si>
  <si>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</si>
  <si>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</si>
  <si>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</si>
  <si>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</si>
  <si>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</si>
  <si>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</si>
  <si>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</si>
  <si>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</si>
  <si>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</si>
  <si>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</si>
  <si>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</si>
  <si>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</si>
  <si>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</si>
  <si>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</si>
  <si>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</si>
  <si>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</si>
  <si>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</si>
  <si>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</si>
  <si>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</si>
  <si>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</si>
  <si>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</si>
  <si>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</si>
  <si>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</si>
  <si>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</si>
  <si>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</si>
  <si>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</si>
  <si>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</si>
  <si>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</si>
  <si>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</si>
  <si>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</si>
  <si>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</si>
  <si>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</si>
  <si>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</si>
  <si>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</si>
  <si>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</si>
  <si>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</si>
  <si>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</si>
  <si>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</si>
  <si>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</si>
  <si>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</si>
  <si>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</si>
  <si>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</si>
  <si>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</si>
  <si>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</si>
  <si>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</si>
  <si>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</si>
  <si>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</si>
  <si>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</si>
  <si>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</si>
  <si>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</si>
  <si>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</si>
  <si>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</si>
  <si>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</si>
  <si>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</si>
  <si>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</si>
  <si>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</si>
  <si>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</si>
  <si>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</si>
  <si>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</si>
  <si>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</si>
  <si>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</si>
  <si>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</si>
  <si>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</si>
  <si>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</si>
  <si>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</si>
  <si>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</si>
  <si>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</si>
  <si>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</si>
  <si>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</si>
  <si>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</si>
  <si>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</si>
  <si>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</si>
  <si>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</si>
  <si>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</si>
  <si>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</si>
  <si>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</si>
  <si>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</si>
  <si>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</si>
  <si>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</si>
  <si>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</si>
  <si>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</si>
  <si>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</si>
  <si>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</si>
  <si>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</si>
  <si>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</si>
  <si>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</si>
  <si>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</si>
  <si>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</si>
  <si>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</si>
  <si>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</si>
  <si>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</si>
  <si>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</si>
  <si>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</si>
  <si>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</si>
  <si>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</si>
  <si>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</si>
  <si>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</si>
  <si>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</si>
  <si>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</si>
  <si>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</si>
  <si>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</si>
  <si>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</si>
  <si>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</si>
  <si>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</si>
  <si>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</si>
  <si>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</si>
  <si>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</si>
  <si>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</si>
  <si>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</si>
  <si>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</si>
  <si>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</si>
  <si>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</si>
  <si>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</si>
  <si>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</si>
  <si>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</si>
  <si>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</si>
  <si>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</si>
  <si>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</si>
  <si>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</si>
  <si>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</si>
  <si>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</si>
  <si>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</si>
  <si>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</si>
  <si>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</si>
  <si>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</si>
  <si>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</si>
  <si>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</si>
  <si>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</si>
  <si>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</si>
  <si>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</si>
  <si>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</si>
  <si>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</si>
  <si>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</si>
  <si>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</si>
  <si>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</si>
  <si>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</si>
  <si>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</si>
  <si>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</si>
  <si>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</si>
  <si>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</si>
  <si>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</si>
  <si>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</si>
  <si>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</si>
  <si>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</si>
  <si>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</si>
  <si>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</si>
  <si>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</si>
  <si>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</si>
  <si>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</si>
  <si>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</si>
  <si>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</si>
  <si>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</si>
  <si>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</si>
  <si>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</si>
  <si>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</si>
  <si>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</si>
  <si>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</si>
  <si>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</si>
  <si>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</si>
  <si>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</si>
  <si>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</si>
  <si>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</si>
  <si>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</si>
  <si>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</si>
  <si>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</si>
  <si>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</si>
  <si>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</si>
  <si>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</si>
  <si>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</si>
  <si>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</si>
  <si>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</si>
  <si>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</si>
  <si>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</si>
  <si>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</si>
  <si>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</si>
  <si>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</si>
  <si>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</si>
  <si>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</si>
  <si>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</si>
  <si>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</si>
  <si>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</si>
  <si>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</si>
  <si>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</si>
  <si>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</si>
  <si>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</si>
  <si>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</si>
  <si>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</si>
  <si>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</si>
  <si>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</si>
  <si>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</si>
  <si>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</si>
  <si>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Madison </t>
  </si>
  <si>
    <t xml:space="preserve">300 South 4th Street </t>
  </si>
  <si>
    <t xml:space="preserve">Venice  </t>
  </si>
  <si>
    <t xml:space="preserve">Brian Brink </t>
  </si>
  <si>
    <t>618-274-7958</t>
  </si>
  <si>
    <t xml:space="preserve">Scheffel Boyle </t>
  </si>
  <si>
    <t>Dale Holtmann</t>
  </si>
  <si>
    <t xml:space="preserve">222 East Main Street </t>
  </si>
  <si>
    <t xml:space="preserve">Belleville </t>
  </si>
  <si>
    <t xml:space="preserve">IL </t>
  </si>
  <si>
    <t>618-277-8100</t>
  </si>
  <si>
    <t>618-277-9307</t>
  </si>
  <si>
    <t>Dr. Robert A Daiber</t>
  </si>
  <si>
    <t>618-296-4530</t>
  </si>
  <si>
    <t>618-692-7018</t>
  </si>
  <si>
    <t>10-2660-300</t>
  </si>
  <si>
    <t xml:space="preserve">Americom Imaging Systems, Inc. </t>
  </si>
  <si>
    <t>ED-Data Processing Services- Purchased Services</t>
  </si>
  <si>
    <t>Madison County Spec. Ed. Coop Region I</t>
  </si>
  <si>
    <t>East St. Louis #189/Brooklyn CUSD #188</t>
  </si>
  <si>
    <t>SCHEFFEL BOYLE</t>
  </si>
  <si>
    <t>Page #</t>
  </si>
  <si>
    <t>Line #</t>
  </si>
  <si>
    <t xml:space="preserve">Description </t>
  </si>
  <si>
    <t xml:space="preserve">Amount </t>
  </si>
  <si>
    <t xml:space="preserve">Educational </t>
  </si>
  <si>
    <t>Miscellaneous Refunds/Reimbursements</t>
  </si>
  <si>
    <t>21st Century Salaries</t>
  </si>
  <si>
    <t>21st Century Employee Benefits</t>
  </si>
  <si>
    <t>Title I Homeless Supplies</t>
  </si>
  <si>
    <t>Payment to Brooklyn Unit School District # 188</t>
  </si>
  <si>
    <t xml:space="preserve">Municipal Retirement/Social Security </t>
  </si>
  <si>
    <t>065-026956</t>
  </si>
  <si>
    <t>bbrink@veniceschools.org</t>
  </si>
  <si>
    <t>618-451-1486</t>
  </si>
  <si>
    <t>radaiber@co.madison.il.us</t>
  </si>
  <si>
    <t>X</t>
  </si>
  <si>
    <t>Mobile Home Tax</t>
  </si>
  <si>
    <t xml:space="preserve">ISBE - Other State Programs </t>
  </si>
  <si>
    <t xml:space="preserve">ISBE - Title IV A Student Support &amp; Academic Enrichment Revenue </t>
  </si>
  <si>
    <t>Ed-Support Services Gen Admin-Purchased Servise</t>
  </si>
  <si>
    <t>10-2300-300</t>
  </si>
  <si>
    <t>Scheffel Boyle</t>
  </si>
  <si>
    <t>Venice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</si>
</sst>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4" fontId="56" fillId="0" borderId="0" xfId="19" applyFont="1"/>
    <xf numFmtId="181" fontId="56" fillId="0" borderId="0" xfId="1" applyNumberFormat="1" applyFont="1"/>
    <xf numFmtId="0" fontId="74" fillId="0" borderId="0" xfId="0" applyFont="1" applyAlignment="1">
      <alignment horizontal="center"/>
    </xf>
    <xf numFmtId="0" fontId="56" fillId="0" borderId="0" xfId="1" applyNumberFormat="1" applyFont="1" applyAlignment="1">
      <alignment horizontal="center"/>
    </xf>
    <xf numFmtId="0" fontId="56" fillId="0" borderId="0" xfId="0" applyFont="1" applyAlignment="1">
      <alignment horizontal="center"/>
    </xf>
    <xf numFmtId="42" fontId="56" fillId="0" borderId="0" xfId="19" applyNumberFormat="1" applyFont="1"/>
    <xf numFmtId="42" fontId="56" fillId="0" borderId="166" xfId="19"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1272886</xdr:colOff>
          <xdr:row>3</xdr:row>
          <xdr:rowOff>1</xdr:rowOff>
        </xdr:from>
        <xdr:to>
          <xdr:col>1</xdr:col>
          <xdr:colOff>2187286</xdr:colOff>
          <xdr:row>7</xdr:row>
          <xdr:rowOff>38101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3" t="s">
        <v>425</v>
      </c>
      <c r="J1" s="2044"/>
      <c r="K1" s="2044"/>
      <c r="L1" s="2044"/>
      <c r="M1" s="2044"/>
      <c r="N1" s="2044"/>
      <c r="O1" s="2044"/>
      <c r="P1" s="2044"/>
      <c r="Q1" s="2044"/>
      <c r="R1" s="2044"/>
      <c r="S1" s="2044"/>
    </row>
    <row r="2" spans="1:28" ht="12" customHeight="1" x14ac:dyDescent="0.2">
      <c r="A2" s="47" t="s">
        <v>1684</v>
      </c>
      <c r="D2" s="48"/>
      <c r="I2" s="2045" t="s">
        <v>1036</v>
      </c>
      <c r="J2" s="2044"/>
      <c r="K2" s="2044"/>
      <c r="L2" s="2044"/>
      <c r="M2" s="2044"/>
      <c r="N2" s="2044"/>
      <c r="O2" s="2044"/>
      <c r="P2" s="2044"/>
      <c r="Q2" s="2044"/>
      <c r="R2" s="2044"/>
      <c r="S2" s="2044"/>
    </row>
    <row r="3" spans="1:28" ht="12" customHeight="1" x14ac:dyDescent="0.2">
      <c r="A3" s="155" t="s">
        <v>1685</v>
      </c>
      <c r="B3" s="156"/>
      <c r="C3" s="156"/>
      <c r="D3" s="157"/>
      <c r="I3" s="2045" t="s">
        <v>54</v>
      </c>
      <c r="J3" s="2044"/>
      <c r="K3" s="2044"/>
      <c r="L3" s="2044"/>
      <c r="M3" s="2044"/>
      <c r="N3" s="2044"/>
      <c r="O3" s="2044"/>
      <c r="P3" s="2044"/>
      <c r="Q3" s="2044"/>
      <c r="R3" s="2044"/>
      <c r="S3" s="2044"/>
    </row>
    <row r="4" spans="1:28" ht="12" customHeight="1" x14ac:dyDescent="0.2">
      <c r="A4" s="37"/>
      <c r="I4" s="2045" t="s">
        <v>545</v>
      </c>
      <c r="J4" s="2044"/>
      <c r="K4" s="2044"/>
      <c r="L4" s="2044"/>
      <c r="M4" s="2044"/>
      <c r="N4" s="2044"/>
      <c r="O4" s="2044"/>
      <c r="P4" s="2044"/>
      <c r="Q4" s="2044"/>
      <c r="R4" s="2044"/>
      <c r="S4" s="2044"/>
    </row>
    <row r="5" spans="1:28" ht="14.1" customHeight="1" x14ac:dyDescent="0.2">
      <c r="B5" s="104" t="s">
        <v>2077</v>
      </c>
      <c r="C5" s="26" t="s">
        <v>966</v>
      </c>
      <c r="D5" s="84"/>
      <c r="E5" s="84"/>
      <c r="H5" s="38"/>
      <c r="I5" s="2052" t="s">
        <v>701</v>
      </c>
      <c r="J5" s="1997"/>
      <c r="K5" s="1997"/>
      <c r="L5" s="1997"/>
      <c r="M5" s="1997"/>
      <c r="N5" s="1997"/>
      <c r="O5" s="1997"/>
      <c r="P5" s="1997"/>
      <c r="Q5" s="1997"/>
      <c r="R5" s="1997"/>
      <c r="S5" s="1997"/>
    </row>
    <row r="6" spans="1:28" ht="14.1" customHeight="1" x14ac:dyDescent="0.2">
      <c r="B6" s="104"/>
      <c r="C6" s="26" t="s">
        <v>967</v>
      </c>
      <c r="D6" s="84"/>
      <c r="E6" s="84"/>
      <c r="I6" s="2051" t="s">
        <v>938</v>
      </c>
      <c r="J6" s="1997"/>
      <c r="K6" s="1997"/>
      <c r="L6" s="1997"/>
      <c r="M6" s="1997"/>
      <c r="N6" s="1997"/>
      <c r="O6" s="1997"/>
      <c r="P6" s="1997"/>
      <c r="Q6" s="1997"/>
      <c r="R6" s="1997"/>
      <c r="S6" s="1997"/>
    </row>
    <row r="7" spans="1:28" ht="12.2" customHeight="1" x14ac:dyDescent="0.2">
      <c r="I7" s="2046">
        <v>43281</v>
      </c>
      <c r="J7" s="2047"/>
      <c r="K7" s="2047"/>
      <c r="L7" s="2047"/>
      <c r="M7" s="2047"/>
      <c r="N7" s="2047"/>
      <c r="O7" s="2047"/>
      <c r="P7" s="2047"/>
      <c r="Q7" s="2047"/>
      <c r="R7" s="2047"/>
      <c r="S7" s="204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8" t="s">
        <v>695</v>
      </c>
      <c r="J9" s="2049"/>
      <c r="K9" s="2049"/>
      <c r="L9" s="2049"/>
      <c r="M9" s="2049"/>
      <c r="N9" s="2049"/>
      <c r="O9" s="2049"/>
      <c r="P9" s="2049"/>
      <c r="Q9" s="2049"/>
      <c r="R9" s="2049"/>
      <c r="S9" s="2050"/>
      <c r="T9" s="1993" t="s">
        <v>554</v>
      </c>
      <c r="U9" s="1994"/>
      <c r="V9" s="1994"/>
      <c r="W9" s="1994"/>
      <c r="X9" s="1994"/>
      <c r="Y9" s="1994"/>
      <c r="Z9" s="1994"/>
      <c r="AA9" s="1995"/>
    </row>
    <row r="10" spans="1:28" ht="13.5" customHeight="1" x14ac:dyDescent="0.2">
      <c r="A10" s="2002" t="s">
        <v>696</v>
      </c>
      <c r="B10" s="2003"/>
      <c r="C10" s="2003"/>
      <c r="D10" s="2003"/>
      <c r="E10" s="2003"/>
      <c r="F10" s="2003"/>
      <c r="G10" s="2003"/>
      <c r="H10" s="2004"/>
      <c r="I10" s="29"/>
      <c r="J10" s="30"/>
      <c r="K10" s="28"/>
      <c r="R10" s="30"/>
      <c r="S10" s="30"/>
      <c r="T10" s="1996"/>
      <c r="U10" s="1997"/>
      <c r="V10" s="1997"/>
      <c r="W10" s="1997"/>
      <c r="X10" s="1997"/>
      <c r="Y10" s="1997"/>
      <c r="Z10" s="1997"/>
      <c r="AA10" s="1998"/>
    </row>
    <row r="11" spans="1:28" ht="14.25" customHeight="1" x14ac:dyDescent="0.2">
      <c r="A11" s="2005" t="s">
        <v>1012</v>
      </c>
      <c r="B11" s="2006"/>
      <c r="C11" s="2006"/>
      <c r="D11" s="2006"/>
      <c r="E11" s="2006"/>
      <c r="F11" s="2006"/>
      <c r="G11" s="2006"/>
      <c r="H11" s="2007"/>
      <c r="I11" s="27"/>
      <c r="J11" s="74"/>
      <c r="K11" s="27"/>
      <c r="O11" s="148" t="s">
        <v>2077</v>
      </c>
      <c r="P11" s="100" t="s">
        <v>210</v>
      </c>
      <c r="Q11" s="30"/>
      <c r="R11" s="28"/>
      <c r="S11" s="27"/>
      <c r="T11" s="1999"/>
      <c r="U11" s="2000"/>
      <c r="V11" s="2000"/>
      <c r="W11" s="2000"/>
      <c r="X11" s="2000"/>
      <c r="Y11" s="2000"/>
      <c r="Z11" s="2000"/>
      <c r="AA11" s="200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3">
        <v>41057003026</v>
      </c>
      <c r="B13" s="2014"/>
      <c r="C13" s="2014"/>
      <c r="D13" s="2014"/>
      <c r="E13" s="2014"/>
      <c r="F13" s="2014"/>
      <c r="G13" s="2014"/>
      <c r="H13" s="2015"/>
      <c r="I13" s="31"/>
      <c r="J13" s="30"/>
      <c r="K13" s="28"/>
      <c r="L13" s="30"/>
      <c r="M13" s="30"/>
      <c r="N13" s="30"/>
      <c r="O13" s="30"/>
      <c r="P13" s="30"/>
      <c r="Q13" s="30"/>
      <c r="R13" s="30"/>
      <c r="S13" s="30"/>
      <c r="T13" s="2018" t="s">
        <v>2083</v>
      </c>
      <c r="U13" s="2019"/>
      <c r="V13" s="2019"/>
      <c r="W13" s="2019"/>
      <c r="X13" s="2019"/>
      <c r="Y13" s="2020"/>
      <c r="Z13" s="2020"/>
      <c r="AA13" s="202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1" t="s">
        <v>2078</v>
      </c>
      <c r="B15" s="2016"/>
      <c r="C15" s="2016"/>
      <c r="D15" s="2016"/>
      <c r="E15" s="2016"/>
      <c r="F15" s="2016"/>
      <c r="G15" s="2016"/>
      <c r="H15" s="2017"/>
      <c r="T15" s="1979" t="s">
        <v>2084</v>
      </c>
      <c r="U15" s="1980"/>
      <c r="V15" s="1980"/>
      <c r="W15" s="1980"/>
      <c r="X15" s="1980"/>
      <c r="Y15" s="2022"/>
      <c r="Z15" s="2022"/>
      <c r="AA15" s="202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1" t="s">
        <v>2121</v>
      </c>
      <c r="B17" s="2041"/>
      <c r="C17" s="2041"/>
      <c r="D17" s="2041"/>
      <c r="E17" s="2041"/>
      <c r="F17" s="2041"/>
      <c r="G17" s="2041"/>
      <c r="H17" s="2042"/>
      <c r="T17" s="2028" t="s">
        <v>2085</v>
      </c>
      <c r="U17" s="2029"/>
      <c r="V17" s="2029"/>
      <c r="W17" s="2029"/>
      <c r="X17" s="2029"/>
      <c r="Y17" s="2029"/>
      <c r="Z17" s="2029"/>
      <c r="AA17" s="2030"/>
    </row>
    <row r="18" spans="1:27" ht="13.5" customHeight="1" x14ac:dyDescent="0.2">
      <c r="A18" s="85" t="s">
        <v>551</v>
      </c>
      <c r="B18" s="76"/>
      <c r="C18" s="72"/>
      <c r="D18" s="76"/>
      <c r="E18" s="76"/>
      <c r="F18" s="76"/>
      <c r="G18" s="76"/>
      <c r="H18" s="56"/>
      <c r="I18" s="2038" t="s">
        <v>697</v>
      </c>
      <c r="J18" s="2039"/>
      <c r="K18" s="2039"/>
      <c r="L18" s="2039"/>
      <c r="M18" s="2039"/>
      <c r="N18" s="2039"/>
      <c r="O18" s="2039"/>
      <c r="P18" s="2039"/>
      <c r="Q18" s="2039"/>
      <c r="R18" s="2039"/>
      <c r="S18" s="2040"/>
      <c r="T18" s="85" t="s">
        <v>735</v>
      </c>
      <c r="U18" s="51"/>
      <c r="V18" s="72"/>
      <c r="W18" s="50"/>
      <c r="X18" s="85" t="s">
        <v>284</v>
      </c>
      <c r="Y18" s="81"/>
      <c r="Z18" s="159" t="s">
        <v>698</v>
      </c>
      <c r="AA18" s="46"/>
    </row>
    <row r="19" spans="1:27" ht="13.5" customHeight="1" x14ac:dyDescent="0.2">
      <c r="A19" s="2011" t="s">
        <v>2079</v>
      </c>
      <c r="B19" s="2012"/>
      <c r="C19" s="2012"/>
      <c r="D19" s="2012"/>
      <c r="E19" s="2012"/>
      <c r="F19" s="2012"/>
      <c r="G19" s="2012"/>
      <c r="H19" s="2010"/>
      <c r="I19" s="30"/>
      <c r="J19" s="99"/>
      <c r="K19" s="40"/>
      <c r="L19" s="38"/>
      <c r="M19" s="112" t="s">
        <v>333</v>
      </c>
      <c r="P19" s="27"/>
      <c r="Q19" s="27"/>
      <c r="R19" s="27"/>
      <c r="S19" s="31"/>
      <c r="T19" s="2011" t="s">
        <v>2086</v>
      </c>
      <c r="U19" s="2009"/>
      <c r="V19" s="2009"/>
      <c r="W19" s="2010"/>
      <c r="X19" s="2026" t="s">
        <v>2087</v>
      </c>
      <c r="Y19" s="2027"/>
      <c r="Z19" s="2024">
        <v>62220</v>
      </c>
      <c r="AA19" s="202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8" t="s">
        <v>2080</v>
      </c>
      <c r="B21" s="2009"/>
      <c r="C21" s="2009"/>
      <c r="D21" s="2009"/>
      <c r="E21" s="2009"/>
      <c r="F21" s="2009"/>
      <c r="G21" s="2009"/>
      <c r="H21" s="2010"/>
      <c r="I21" s="2034" t="s">
        <v>699</v>
      </c>
      <c r="J21" s="1997"/>
      <c r="K21" s="1997"/>
      <c r="L21" s="1997"/>
      <c r="M21" s="1997"/>
      <c r="N21" s="1997"/>
      <c r="O21" s="1997"/>
      <c r="P21" s="1997"/>
      <c r="Q21" s="1997"/>
      <c r="R21" s="1997"/>
      <c r="S21" s="1998"/>
      <c r="T21" s="1976" t="s">
        <v>2088</v>
      </c>
      <c r="U21" s="1977"/>
      <c r="V21" s="1977"/>
      <c r="W21" s="1977"/>
      <c r="X21" s="1990" t="s">
        <v>2089</v>
      </c>
      <c r="Y21" s="1991"/>
      <c r="Z21" s="1991"/>
      <c r="AA21" s="1992"/>
    </row>
    <row r="22" spans="1:27" ht="13.5" customHeight="1" x14ac:dyDescent="0.2">
      <c r="A22" s="87" t="s">
        <v>552</v>
      </c>
      <c r="B22" s="59"/>
      <c r="C22" s="59"/>
      <c r="D22" s="59"/>
      <c r="E22" s="59"/>
      <c r="F22" s="59"/>
      <c r="G22" s="59"/>
      <c r="H22" s="60"/>
      <c r="I22" s="2035" t="s">
        <v>1504</v>
      </c>
      <c r="J22" s="2036"/>
      <c r="K22" s="2036"/>
      <c r="L22" s="2036"/>
      <c r="M22" s="2036"/>
      <c r="N22" s="2036"/>
      <c r="O22" s="2036"/>
      <c r="P22" s="2036"/>
      <c r="Q22" s="2036"/>
      <c r="R22" s="2036"/>
      <c r="S22" s="2037"/>
      <c r="T22" s="85" t="s">
        <v>1596</v>
      </c>
      <c r="U22" s="51"/>
      <c r="V22" s="72"/>
      <c r="W22" s="51"/>
      <c r="X22" s="160" t="s">
        <v>1385</v>
      </c>
      <c r="Z22" s="45"/>
      <c r="AA22" s="46"/>
    </row>
    <row r="23" spans="1:27" ht="13.5" customHeight="1" x14ac:dyDescent="0.2">
      <c r="A23" s="2031"/>
      <c r="B23" s="2032"/>
      <c r="C23" s="2032"/>
      <c r="D23" s="2032"/>
      <c r="E23" s="2032"/>
      <c r="F23" s="2032"/>
      <c r="G23" s="2032"/>
      <c r="H23" s="2033"/>
      <c r="T23" s="1971" t="s">
        <v>2110</v>
      </c>
      <c r="U23" s="1972"/>
      <c r="V23" s="1972"/>
      <c r="W23" s="1972"/>
      <c r="X23" s="1987">
        <v>44469</v>
      </c>
      <c r="Y23" s="1988"/>
      <c r="Z23" s="1988"/>
      <c r="AA23" s="1989"/>
    </row>
    <row r="24" spans="1:27" ht="14.1" customHeight="1" x14ac:dyDescent="0.2">
      <c r="A24" s="88" t="s">
        <v>698</v>
      </c>
      <c r="B24" s="49"/>
      <c r="C24" s="49"/>
      <c r="D24" s="49"/>
      <c r="E24" s="49"/>
      <c r="F24" s="49"/>
      <c r="G24" s="49"/>
      <c r="H24" s="61"/>
      <c r="J24" s="2073">
        <f>IF(B5="x",IF(AUDITCHECK!D29="AFR form Incomplete.","",IF(AUDITCHECK!D29="Deficit reduction plan is required.","School District must complete a deficit reduction plan in the 2018-2019 Budget",)),"")</f>
        <v>0</v>
      </c>
      <c r="K24" s="2073"/>
      <c r="L24" s="2073"/>
      <c r="M24" s="2073"/>
      <c r="N24" s="2073"/>
      <c r="O24" s="2073"/>
      <c r="P24" s="2073"/>
      <c r="Q24" s="2073"/>
      <c r="R24" s="2073"/>
      <c r="S24" s="2074"/>
      <c r="T24" s="105" t="s">
        <v>552</v>
      </c>
      <c r="U24" s="106"/>
      <c r="V24" s="106"/>
      <c r="W24" s="106"/>
      <c r="X24" s="107"/>
      <c r="Y24" s="107"/>
      <c r="Z24" s="107"/>
      <c r="AA24" s="108"/>
    </row>
    <row r="25" spans="1:27" ht="14.1" customHeight="1" x14ac:dyDescent="0.2">
      <c r="A25" s="2008">
        <v>62090</v>
      </c>
      <c r="B25" s="2009"/>
      <c r="C25" s="2009"/>
      <c r="D25" s="2009"/>
      <c r="E25" s="2009"/>
      <c r="F25" s="2009"/>
      <c r="G25" s="2009"/>
      <c r="H25" s="2010"/>
      <c r="I25" s="113"/>
      <c r="J25" s="2075"/>
      <c r="K25" s="2075"/>
      <c r="L25" s="2075"/>
      <c r="M25" s="2075"/>
      <c r="N25" s="2075"/>
      <c r="O25" s="2075"/>
      <c r="P25" s="2075"/>
      <c r="Q25" s="2075"/>
      <c r="R25" s="2075"/>
      <c r="S25" s="2076"/>
      <c r="T25" s="1968"/>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6" t="s">
        <v>1591</v>
      </c>
      <c r="J27" s="2039"/>
      <c r="K27" s="2039"/>
      <c r="L27" s="2039"/>
      <c r="M27" s="2039"/>
      <c r="N27" s="2039"/>
      <c r="O27" s="2039"/>
      <c r="P27" s="2039"/>
      <c r="Q27" s="2039"/>
      <c r="R27" s="2039"/>
      <c r="S27" s="204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2"/>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1" t="s">
        <v>2081</v>
      </c>
      <c r="B38" s="2041"/>
      <c r="C38" s="2041"/>
      <c r="D38" s="2041"/>
      <c r="E38" s="2041"/>
      <c r="F38" s="2009"/>
      <c r="G38" s="2009"/>
      <c r="H38" s="2010"/>
      <c r="I38" s="2060"/>
      <c r="J38" s="1980"/>
      <c r="K38" s="1980"/>
      <c r="L38" s="1980"/>
      <c r="M38" s="1980"/>
      <c r="N38" s="1980"/>
      <c r="O38" s="1980"/>
      <c r="P38" s="1981"/>
      <c r="Q38" s="1981"/>
      <c r="R38" s="1981"/>
      <c r="S38" s="1982"/>
      <c r="T38" s="1979" t="s">
        <v>2090</v>
      </c>
      <c r="U38" s="1980"/>
      <c r="V38" s="1980"/>
      <c r="W38" s="1980"/>
      <c r="X38" s="1981"/>
      <c r="Y38" s="1981"/>
      <c r="Z38" s="1981"/>
      <c r="AA38" s="1982"/>
    </row>
    <row r="39" spans="1:27" ht="12" customHeight="1" x14ac:dyDescent="0.2">
      <c r="A39" s="2064" t="s">
        <v>552</v>
      </c>
      <c r="B39" s="2065"/>
      <c r="C39" s="72"/>
      <c r="D39" s="69"/>
      <c r="E39" s="69"/>
      <c r="F39" s="79"/>
      <c r="G39" s="69"/>
      <c r="H39" s="56"/>
      <c r="I39" s="2064" t="s">
        <v>552</v>
      </c>
      <c r="J39" s="2065"/>
      <c r="K39" s="2065"/>
      <c r="L39" s="2065"/>
      <c r="M39" s="2065"/>
      <c r="N39" s="67"/>
      <c r="O39" s="72"/>
      <c r="P39" s="72"/>
      <c r="Q39" s="78"/>
      <c r="R39" s="72"/>
      <c r="S39" s="56"/>
      <c r="T39" s="72" t="s">
        <v>552</v>
      </c>
      <c r="U39" s="51"/>
      <c r="V39" s="72"/>
      <c r="W39" s="50"/>
      <c r="X39" s="78"/>
      <c r="Y39" s="45"/>
      <c r="Z39" s="45"/>
      <c r="AA39" s="46"/>
    </row>
    <row r="40" spans="1:27" ht="13.5" customHeight="1" x14ac:dyDescent="0.2">
      <c r="A40" s="2067" t="s">
        <v>2111</v>
      </c>
      <c r="B40" s="2068"/>
      <c r="C40" s="2069"/>
      <c r="D40" s="2069"/>
      <c r="E40" s="2069"/>
      <c r="F40" s="2070"/>
      <c r="G40" s="2070"/>
      <c r="H40" s="2071"/>
      <c r="I40" s="1983"/>
      <c r="J40" s="1985"/>
      <c r="K40" s="1985"/>
      <c r="L40" s="1985"/>
      <c r="M40" s="1985"/>
      <c r="N40" s="1985"/>
      <c r="O40" s="1985"/>
      <c r="P40" s="1985"/>
      <c r="Q40" s="1985"/>
      <c r="R40" s="1985"/>
      <c r="S40" s="1986"/>
      <c r="T40" s="1983" t="s">
        <v>2113</v>
      </c>
      <c r="U40" s="1984"/>
      <c r="V40" s="1985"/>
      <c r="W40" s="1985"/>
      <c r="X40" s="1985"/>
      <c r="Y40" s="1985"/>
      <c r="Z40" s="1985"/>
      <c r="AA40" s="19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7" t="s">
        <v>2082</v>
      </c>
      <c r="B42" s="2058"/>
      <c r="C42" s="2059"/>
      <c r="D42" s="2072" t="s">
        <v>2112</v>
      </c>
      <c r="E42" s="2058"/>
      <c r="F42" s="2058"/>
      <c r="G42" s="2058"/>
      <c r="H42" s="2059"/>
      <c r="I42" s="1978"/>
      <c r="J42" s="1974"/>
      <c r="K42" s="1974"/>
      <c r="L42" s="1974"/>
      <c r="M42" s="1974"/>
      <c r="N42" s="1974"/>
      <c r="O42" s="1975"/>
      <c r="P42" s="1973"/>
      <c r="Q42" s="1974"/>
      <c r="R42" s="1974"/>
      <c r="S42" s="1975"/>
      <c r="T42" s="1978" t="s">
        <v>2091</v>
      </c>
      <c r="U42" s="1974"/>
      <c r="V42" s="1974"/>
      <c r="W42" s="1975"/>
      <c r="X42" s="1973" t="s">
        <v>2092</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1"/>
      <c r="B44" s="2062"/>
      <c r="C44" s="2062"/>
      <c r="D44" s="2062"/>
      <c r="E44" s="2062"/>
      <c r="F44" s="2062"/>
      <c r="G44" s="2062"/>
      <c r="H44" s="2063"/>
      <c r="I44" s="2053"/>
      <c r="J44" s="2055"/>
      <c r="K44" s="2055"/>
      <c r="L44" s="2055"/>
      <c r="M44" s="2055"/>
      <c r="N44" s="2055"/>
      <c r="O44" s="2055"/>
      <c r="P44" s="2055"/>
      <c r="Q44" s="2055"/>
      <c r="R44" s="2055"/>
      <c r="S44" s="2056"/>
      <c r="T44" s="2053"/>
      <c r="U44" s="2054"/>
      <c r="V44" s="2054"/>
      <c r="W44" s="2054"/>
      <c r="X44" s="2054"/>
      <c r="Y44" s="2054"/>
      <c r="Z44" s="2055"/>
      <c r="AA44" s="205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5" sqref="A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0" t="s">
        <v>1905</v>
      </c>
      <c r="B2" s="1549" t="s">
        <v>2037</v>
      </c>
      <c r="C2" s="715" t="s">
        <v>1910</v>
      </c>
      <c r="D2" s="715" t="s">
        <v>1911</v>
      </c>
      <c r="E2" s="715" t="s">
        <v>1912</v>
      </c>
      <c r="F2" s="715" t="s">
        <v>1913</v>
      </c>
    </row>
    <row r="3" spans="1:6" ht="12" customHeight="1" x14ac:dyDescent="0.2">
      <c r="A3" s="2211"/>
      <c r="B3" s="1546"/>
      <c r="C3" s="1547"/>
      <c r="D3" s="1548" t="s">
        <v>274</v>
      </c>
      <c r="E3" s="1547"/>
      <c r="F3" s="1548" t="s">
        <v>275</v>
      </c>
    </row>
    <row r="4" spans="1:6" ht="13.7" customHeight="1" x14ac:dyDescent="0.2">
      <c r="A4" s="716" t="s">
        <v>1217</v>
      </c>
      <c r="B4" s="1770">
        <f>'Revenues 9-14'!C5</f>
        <v>250688</v>
      </c>
      <c r="C4" s="1545">
        <v>1835</v>
      </c>
      <c r="D4" s="1773">
        <f>B4-C4</f>
        <v>248853</v>
      </c>
      <c r="E4" s="1545">
        <v>258950</v>
      </c>
      <c r="F4" s="1773">
        <f>E4-C4</f>
        <v>257115</v>
      </c>
    </row>
    <row r="5" spans="1:6" ht="13.7" customHeight="1" x14ac:dyDescent="0.2">
      <c r="A5" s="716" t="s">
        <v>925</v>
      </c>
      <c r="B5" s="1771">
        <f>'Revenues 9-14'!D5</f>
        <v>42856</v>
      </c>
      <c r="C5" s="585">
        <v>301</v>
      </c>
      <c r="D5" s="1774">
        <f t="shared" ref="D5:D18" si="0">B5-C5</f>
        <v>42555</v>
      </c>
      <c r="E5" s="585">
        <v>42507</v>
      </c>
      <c r="F5" s="1774">
        <f>E5-C5</f>
        <v>42206</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17215</v>
      </c>
      <c r="C7" s="585">
        <v>138</v>
      </c>
      <c r="D7" s="1774">
        <f t="shared" si="0"/>
        <v>17077</v>
      </c>
      <c r="E7" s="585">
        <v>19543</v>
      </c>
      <c r="F7" s="1774">
        <f t="shared" si="1"/>
        <v>19405</v>
      </c>
    </row>
    <row r="8" spans="1:6" ht="13.7" customHeight="1" x14ac:dyDescent="0.2">
      <c r="A8" s="716" t="s">
        <v>1241</v>
      </c>
      <c r="B8" s="1771">
        <f>'Revenues 9-14'!G5</f>
        <v>2440</v>
      </c>
      <c r="C8" s="585">
        <v>19</v>
      </c>
      <c r="D8" s="1774">
        <f t="shared" si="0"/>
        <v>2421</v>
      </c>
      <c r="E8" s="585">
        <v>2619</v>
      </c>
      <c r="F8" s="1774">
        <f t="shared" si="1"/>
        <v>2600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4730</v>
      </c>
      <c r="C10" s="585">
        <v>35</v>
      </c>
      <c r="D10" s="1774">
        <f t="shared" si="0"/>
        <v>4695</v>
      </c>
      <c r="E10" s="585">
        <v>4886</v>
      </c>
      <c r="F10" s="1774">
        <f t="shared" si="1"/>
        <v>4851</v>
      </c>
    </row>
    <row r="11" spans="1:6" x14ac:dyDescent="0.2">
      <c r="A11" s="716" t="s">
        <v>429</v>
      </c>
      <c r="B11" s="1771">
        <f>'Revenues 9-14'!J5</f>
        <v>100832</v>
      </c>
      <c r="C11" s="585">
        <v>745</v>
      </c>
      <c r="D11" s="1774">
        <f t="shared" si="0"/>
        <v>100087</v>
      </c>
      <c r="E11" s="585">
        <v>105221</v>
      </c>
      <c r="F11" s="1774">
        <f t="shared" si="1"/>
        <v>104476</v>
      </c>
    </row>
    <row r="12" spans="1:6" ht="13.7" customHeight="1" x14ac:dyDescent="0.2">
      <c r="A12" s="716" t="s">
        <v>159</v>
      </c>
      <c r="B12" s="1771">
        <f>'Revenues 9-14'!K5</f>
        <v>4730</v>
      </c>
      <c r="C12" s="585">
        <v>35</v>
      </c>
      <c r="D12" s="1774">
        <f t="shared" si="0"/>
        <v>4695</v>
      </c>
      <c r="E12" s="585">
        <v>4886</v>
      </c>
      <c r="F12" s="1774">
        <f t="shared" si="1"/>
        <v>4851</v>
      </c>
    </row>
    <row r="13" spans="1:6" ht="13.7" customHeight="1" x14ac:dyDescent="0.2">
      <c r="A13" s="716" t="s">
        <v>993</v>
      </c>
      <c r="B13" s="1771">
        <f>SUM('Revenues 9-14'!C6:D6)</f>
        <v>4730</v>
      </c>
      <c r="C13" s="585">
        <v>35</v>
      </c>
      <c r="D13" s="1774">
        <f t="shared" si="0"/>
        <v>4695</v>
      </c>
      <c r="E13" s="585">
        <v>4886</v>
      </c>
      <c r="F13" s="1774">
        <f t="shared" si="1"/>
        <v>4851</v>
      </c>
    </row>
    <row r="14" spans="1:6" ht="13.7" customHeight="1" x14ac:dyDescent="0.2">
      <c r="A14" s="716" t="s">
        <v>430</v>
      </c>
      <c r="B14" s="1771">
        <f>SUM('Revenues 9-14'!C7:D7,'Revenues 9-14'!F7:H7)</f>
        <v>3784</v>
      </c>
      <c r="C14" s="585">
        <v>28</v>
      </c>
      <c r="D14" s="1774">
        <f t="shared" si="0"/>
        <v>3756</v>
      </c>
      <c r="E14" s="585">
        <v>3909</v>
      </c>
      <c r="F14" s="1774">
        <f t="shared" si="1"/>
        <v>3881</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8222</v>
      </c>
      <c r="C16" s="585">
        <v>60</v>
      </c>
      <c r="D16" s="1774">
        <f t="shared" si="0"/>
        <v>8162</v>
      </c>
      <c r="E16" s="585">
        <v>8501</v>
      </c>
      <c r="F16" s="1774">
        <f t="shared" si="1"/>
        <v>8441</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440227</v>
      </c>
      <c r="C19" s="1772">
        <f>SUM(C4:C18)</f>
        <v>3231</v>
      </c>
      <c r="D19" s="1772">
        <f>SUM(D4:D18)</f>
        <v>436996</v>
      </c>
      <c r="E19" s="1772">
        <f>SUM(E4:E18)</f>
        <v>455908</v>
      </c>
      <c r="F19" s="1772">
        <f>SUM(F4:F18)</f>
        <v>452677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activeCell="A5" sqref="A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650</v>
      </c>
      <c r="B1" s="2217"/>
      <c r="C1" s="722"/>
    </row>
    <row r="2" spans="1:7" ht="33.75" x14ac:dyDescent="0.2">
      <c r="A2" s="2225" t="s">
        <v>1905</v>
      </c>
      <c r="B2" s="2226"/>
      <c r="C2" s="1908" t="s">
        <v>2038</v>
      </c>
      <c r="D2" s="724" t="s">
        <v>2045</v>
      </c>
      <c r="E2" s="724" t="s">
        <v>2046</v>
      </c>
      <c r="F2" s="1908" t="s">
        <v>2039</v>
      </c>
    </row>
    <row r="3" spans="1:7" ht="15.75" customHeight="1" x14ac:dyDescent="0.2">
      <c r="A3" s="2229" t="s">
        <v>1176</v>
      </c>
      <c r="B3" s="2230"/>
      <c r="C3" s="2218"/>
      <c r="D3" s="2219"/>
      <c r="E3" s="2219"/>
      <c r="F3" s="2220"/>
    </row>
    <row r="4" spans="1:7" ht="12.75" customHeight="1" thickBot="1" x14ac:dyDescent="0.25">
      <c r="A4" s="2227" t="s">
        <v>651</v>
      </c>
      <c r="B4" s="2228"/>
      <c r="C4" s="581"/>
      <c r="D4" s="581"/>
      <c r="E4" s="581"/>
      <c r="F4" s="1776">
        <f>SUM(C4+D4)-E4</f>
        <v>0</v>
      </c>
    </row>
    <row r="5" spans="1:7" ht="15.75" customHeight="1" thickTop="1" x14ac:dyDescent="0.2">
      <c r="A5" s="2212" t="s">
        <v>1172</v>
      </c>
      <c r="B5" s="2213"/>
      <c r="C5" s="2221"/>
      <c r="D5" s="2222"/>
      <c r="E5" s="2222"/>
      <c r="F5" s="222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4" t="s">
        <v>652</v>
      </c>
      <c r="B15" s="2215"/>
      <c r="C15" s="1776">
        <f>SUM(C6:C14)</f>
        <v>0</v>
      </c>
      <c r="D15" s="1776">
        <f>SUM(D6:D14)</f>
        <v>0</v>
      </c>
      <c r="E15" s="1776">
        <f>SUM(E6:E14)</f>
        <v>0</v>
      </c>
      <c r="F15" s="1776">
        <f>SUM(F6:F14)</f>
        <v>0</v>
      </c>
      <c r="G15" s="552"/>
    </row>
    <row r="16" spans="1:7" s="202" customFormat="1" ht="15.75" customHeight="1" thickTop="1" x14ac:dyDescent="0.2">
      <c r="A16" s="2224" t="s">
        <v>1173</v>
      </c>
      <c r="B16" s="2213"/>
      <c r="C16" s="2221"/>
      <c r="D16" s="2222"/>
      <c r="E16" s="2222"/>
      <c r="F16" s="2223"/>
    </row>
    <row r="17" spans="1:11" ht="12.75" customHeight="1" thickBot="1" x14ac:dyDescent="0.25">
      <c r="A17" s="2237" t="s">
        <v>66</v>
      </c>
      <c r="B17" s="2238"/>
      <c r="C17" s="727"/>
      <c r="D17" s="585"/>
      <c r="E17" s="727"/>
      <c r="F17" s="1776">
        <f>SUM(C17+D17)-E17</f>
        <v>0</v>
      </c>
    </row>
    <row r="18" spans="1:11" ht="12.75" customHeight="1" thickTop="1" thickBot="1" x14ac:dyDescent="0.25">
      <c r="A18" s="2237" t="s">
        <v>6</v>
      </c>
      <c r="B18" s="2238"/>
      <c r="C18" s="727"/>
      <c r="D18" s="585"/>
      <c r="E18" s="727"/>
      <c r="F18" s="1776">
        <f>SUM(C18+D18)-E18</f>
        <v>0</v>
      </c>
    </row>
    <row r="19" spans="1:11" ht="12.75" customHeight="1" thickTop="1" thickBot="1" x14ac:dyDescent="0.25">
      <c r="A19" s="2237" t="s">
        <v>406</v>
      </c>
      <c r="B19" s="2238"/>
      <c r="C19" s="727"/>
      <c r="D19" s="585"/>
      <c r="E19" s="727"/>
      <c r="F19" s="1776">
        <f>SUM(C19+D19)-E19</f>
        <v>0</v>
      </c>
    </row>
    <row r="20" spans="1:11" ht="12.75" customHeight="1" thickTop="1" thickBot="1" x14ac:dyDescent="0.25">
      <c r="A20" s="2237" t="s">
        <v>468</v>
      </c>
      <c r="B20" s="2238"/>
      <c r="C20" s="727"/>
      <c r="D20" s="585"/>
      <c r="E20" s="727"/>
      <c r="F20" s="1776">
        <f>SUM(C20+D20)-E20</f>
        <v>0</v>
      </c>
    </row>
    <row r="21" spans="1:11" ht="14.25" thickTop="1" thickBot="1" x14ac:dyDescent="0.25">
      <c r="A21" s="2214" t="s">
        <v>653</v>
      </c>
      <c r="B21" s="2215"/>
      <c r="C21" s="1776">
        <f>SUM(C17:C20)</f>
        <v>0</v>
      </c>
      <c r="D21" s="1776">
        <f>SUM(D17:D20)</f>
        <v>0</v>
      </c>
      <c r="E21" s="1776">
        <f>SUM(E17:E20)</f>
        <v>0</v>
      </c>
      <c r="F21" s="1776">
        <f>SUM(F17:F20)</f>
        <v>0</v>
      </c>
      <c r="G21" s="552"/>
    </row>
    <row r="22" spans="1:11" ht="15.75" customHeight="1" thickTop="1" x14ac:dyDescent="0.2">
      <c r="A22" s="2239" t="s">
        <v>1174</v>
      </c>
      <c r="B22" s="2213"/>
      <c r="C22" s="2221"/>
      <c r="D22" s="2222"/>
      <c r="E22" s="2222"/>
      <c r="F22" s="2223"/>
    </row>
    <row r="23" spans="1:11" ht="13.5" thickBot="1" x14ac:dyDescent="0.25">
      <c r="A23" s="2227" t="s">
        <v>654</v>
      </c>
      <c r="B23" s="2228"/>
      <c r="C23" s="581"/>
      <c r="D23" s="581"/>
      <c r="E23" s="581"/>
      <c r="F23" s="1776">
        <f>SUM(C23+D23)-E23</f>
        <v>0</v>
      </c>
      <c r="G23" s="552"/>
    </row>
    <row r="24" spans="1:11" ht="15.75" customHeight="1" thickTop="1" x14ac:dyDescent="0.2">
      <c r="A24" s="2239" t="s">
        <v>1175</v>
      </c>
      <c r="B24" s="2213"/>
      <c r="C24" s="2221"/>
      <c r="D24" s="2222"/>
      <c r="E24" s="2222"/>
      <c r="F24" s="2223"/>
    </row>
    <row r="25" spans="1:11" ht="13.5" thickBot="1" x14ac:dyDescent="0.25">
      <c r="A25" s="2227" t="s">
        <v>655</v>
      </c>
      <c r="B25" s="2228"/>
      <c r="C25" s="581"/>
      <c r="D25" s="581"/>
      <c r="E25" s="581"/>
      <c r="F25" s="1776">
        <f>SUM(C25+D25)-E25</f>
        <v>0</v>
      </c>
      <c r="G25" s="552"/>
    </row>
    <row r="26" spans="1:11" ht="15.75" customHeight="1" thickTop="1" x14ac:dyDescent="0.2">
      <c r="A26" s="2212" t="s">
        <v>678</v>
      </c>
      <c r="B26" s="2213"/>
      <c r="C26" s="728"/>
      <c r="D26" s="728"/>
      <c r="E26" s="728"/>
      <c r="F26" s="729"/>
    </row>
    <row r="27" spans="1:11" ht="13.5" thickBot="1" x14ac:dyDescent="0.25">
      <c r="A27" s="2214" t="s">
        <v>1130</v>
      </c>
      <c r="B27" s="2215"/>
      <c r="C27" s="585"/>
      <c r="D27" s="585"/>
      <c r="E27" s="585"/>
      <c r="F27" s="1776">
        <f>SUM(C27+D27)-E27</f>
        <v>0</v>
      </c>
      <c r="G27" s="552"/>
    </row>
    <row r="28" spans="1:11" ht="7.5" customHeight="1" thickTop="1" x14ac:dyDescent="0.2">
      <c r="A28" s="594"/>
    </row>
    <row r="29" spans="1:11" ht="23.25" customHeight="1" x14ac:dyDescent="0.2">
      <c r="A29" s="2240" t="s">
        <v>603</v>
      </c>
      <c r="B29" s="2217"/>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1" t="s">
        <v>605</v>
      </c>
      <c r="C52" s="2232"/>
      <c r="D52" s="2232"/>
      <c r="E52" s="750" t="s">
        <v>900</v>
      </c>
      <c r="F52" s="2233"/>
      <c r="G52" s="2234"/>
      <c r="H52" s="737"/>
      <c r="I52" s="737"/>
      <c r="J52" s="747"/>
    </row>
    <row r="53" spans="1:11" ht="11.25" customHeight="1" x14ac:dyDescent="0.2">
      <c r="A53" s="751" t="s">
        <v>969</v>
      </c>
      <c r="B53" s="752" t="s">
        <v>1008</v>
      </c>
      <c r="C53" s="747"/>
      <c r="D53" s="738"/>
      <c r="E53" s="750" t="s">
        <v>518</v>
      </c>
      <c r="F53" s="2235"/>
      <c r="G53" s="2236"/>
      <c r="H53" s="737"/>
      <c r="I53" s="737"/>
      <c r="J53" s="747"/>
    </row>
    <row r="54" spans="1:11" ht="11.25" customHeight="1" x14ac:dyDescent="0.2">
      <c r="A54" s="753" t="s">
        <v>970</v>
      </c>
      <c r="B54" s="748" t="s">
        <v>1009</v>
      </c>
      <c r="C54" s="747"/>
      <c r="D54" s="738"/>
      <c r="E54" s="750" t="s">
        <v>519</v>
      </c>
      <c r="F54" s="2235"/>
      <c r="G54" s="223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85" zoomScaleNormal="85" workbookViewId="0">
      <selection activeCell="A5" sqref="A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911</v>
      </c>
      <c r="B1" s="2266"/>
      <c r="C1" s="2266"/>
      <c r="D1" s="2266"/>
      <c r="E1" s="2266"/>
      <c r="F1" s="2266"/>
      <c r="G1" s="2267"/>
      <c r="H1" s="1551"/>
      <c r="I1" s="761"/>
      <c r="J1" s="433"/>
    </row>
    <row r="2" spans="1:11" ht="26.25" x14ac:dyDescent="0.2">
      <c r="A2" s="2244" t="s">
        <v>1776</v>
      </c>
      <c r="B2" s="2245"/>
      <c r="C2" s="2245"/>
      <c r="D2" s="2245"/>
      <c r="E2" s="2246"/>
      <c r="F2" s="762" t="s">
        <v>960</v>
      </c>
      <c r="G2" s="763" t="s">
        <v>1773</v>
      </c>
      <c r="H2" s="763" t="s">
        <v>430</v>
      </c>
      <c r="I2" s="763" t="s">
        <v>1220</v>
      </c>
      <c r="J2" s="763" t="s">
        <v>1919</v>
      </c>
      <c r="K2" s="763" t="s">
        <v>140</v>
      </c>
    </row>
    <row r="3" spans="1:11" x14ac:dyDescent="0.2">
      <c r="A3" s="2247" t="s">
        <v>1698</v>
      </c>
      <c r="B3" s="2248"/>
      <c r="C3" s="2248"/>
      <c r="D3" s="2248"/>
      <c r="E3" s="2249"/>
      <c r="F3" s="764"/>
      <c r="G3" s="765"/>
      <c r="H3" s="765"/>
      <c r="I3" s="765"/>
      <c r="J3" s="766"/>
      <c r="K3" s="766"/>
    </row>
    <row r="4" spans="1:11" x14ac:dyDescent="0.2">
      <c r="A4" s="2250" t="s">
        <v>387</v>
      </c>
      <c r="B4" s="2251"/>
      <c r="C4" s="2251"/>
      <c r="D4" s="2251"/>
      <c r="E4" s="2232"/>
      <c r="F4" s="767"/>
      <c r="G4" s="768"/>
      <c r="H4" s="769"/>
      <c r="I4" s="768"/>
      <c r="J4" s="770"/>
      <c r="K4" s="770"/>
    </row>
    <row r="5" spans="1:11" x14ac:dyDescent="0.2">
      <c r="A5" s="2268" t="s">
        <v>1129</v>
      </c>
      <c r="B5" s="2241"/>
      <c r="C5" s="2241"/>
      <c r="D5" s="2241"/>
      <c r="E5" s="2269"/>
      <c r="F5" s="771" t="s">
        <v>903</v>
      </c>
      <c r="G5" s="772"/>
      <c r="H5" s="765">
        <v>3784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8" t="s">
        <v>1920</v>
      </c>
      <c r="B10" s="2241"/>
      <c r="C10" s="2241"/>
      <c r="D10" s="2241"/>
      <c r="E10" s="2270"/>
      <c r="F10" s="784" t="s">
        <v>917</v>
      </c>
      <c r="G10" s="783"/>
      <c r="H10" s="785">
        <v>54</v>
      </c>
      <c r="I10" s="765"/>
      <c r="J10" s="766"/>
      <c r="K10" s="766"/>
    </row>
    <row r="11" spans="1:11" x14ac:dyDescent="0.2">
      <c r="A11" s="2268" t="s">
        <v>162</v>
      </c>
      <c r="B11" s="2241"/>
      <c r="C11" s="2241"/>
      <c r="D11" s="2241"/>
      <c r="E11" s="2269"/>
      <c r="F11" s="771" t="s">
        <v>907</v>
      </c>
      <c r="G11" s="772"/>
      <c r="H11" s="765"/>
      <c r="I11" s="765"/>
      <c r="J11" s="766"/>
      <c r="K11" s="774"/>
    </row>
    <row r="12" spans="1:11" ht="13.5" thickBot="1" x14ac:dyDescent="0.25">
      <c r="A12" s="2258" t="s">
        <v>961</v>
      </c>
      <c r="B12" s="2259"/>
      <c r="C12" s="2259"/>
      <c r="D12" s="2259"/>
      <c r="E12" s="2260"/>
      <c r="F12" s="1778"/>
      <c r="G12" s="1779">
        <f>SUM(G5:G11)</f>
        <v>0</v>
      </c>
      <c r="H12" s="1779">
        <f>SUM(H5:H11)</f>
        <v>3838</v>
      </c>
      <c r="I12" s="1779">
        <f>SUM(I5:I11)</f>
        <v>0</v>
      </c>
      <c r="J12" s="1779">
        <f>SUM(J5:J11)</f>
        <v>0</v>
      </c>
      <c r="K12" s="1779">
        <f>SUM(K5:K11)</f>
        <v>0</v>
      </c>
    </row>
    <row r="13" spans="1:11" ht="13.5" thickTop="1" x14ac:dyDescent="0.2">
      <c r="A13" s="2252" t="s">
        <v>388</v>
      </c>
      <c r="B13" s="2253"/>
      <c r="C13" s="2253"/>
      <c r="D13" s="2253"/>
      <c r="E13" s="2254"/>
      <c r="F13" s="786"/>
      <c r="G13" s="787"/>
      <c r="H13" s="788"/>
      <c r="I13" s="789"/>
      <c r="J13" s="789"/>
      <c r="K13" s="789"/>
    </row>
    <row r="14" spans="1:11" x14ac:dyDescent="0.2">
      <c r="A14" s="2274" t="s">
        <v>476</v>
      </c>
      <c r="B14" s="2274"/>
      <c r="C14" s="2274"/>
      <c r="D14" s="2274"/>
      <c r="E14" s="2275"/>
      <c r="F14" s="790" t="s">
        <v>909</v>
      </c>
      <c r="G14" s="783"/>
      <c r="H14" s="765">
        <v>3838</v>
      </c>
      <c r="I14" s="772"/>
      <c r="J14" s="774"/>
      <c r="K14" s="766"/>
    </row>
    <row r="15" spans="1:11" x14ac:dyDescent="0.2">
      <c r="A15" s="2241" t="s">
        <v>4</v>
      </c>
      <c r="B15" s="2241"/>
      <c r="C15" s="2241"/>
      <c r="D15" s="2241"/>
      <c r="E15" s="2269"/>
      <c r="F15" s="790" t="s">
        <v>910</v>
      </c>
      <c r="G15" s="772"/>
      <c r="H15" s="765"/>
      <c r="I15" s="765"/>
      <c r="J15" s="766"/>
      <c r="K15" s="766"/>
    </row>
    <row r="16" spans="1:11" x14ac:dyDescent="0.2">
      <c r="A16" s="2241" t="s">
        <v>316</v>
      </c>
      <c r="B16" s="2241"/>
      <c r="C16" s="2241"/>
      <c r="D16" s="2241"/>
      <c r="E16" s="2269"/>
      <c r="F16" s="790" t="s">
        <v>980</v>
      </c>
      <c r="G16" s="773"/>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55" t="s">
        <v>386</v>
      </c>
      <c r="B18" s="2256"/>
      <c r="C18" s="2256"/>
      <c r="D18" s="2256"/>
      <c r="E18" s="2257"/>
      <c r="F18" s="790" t="s">
        <v>989</v>
      </c>
      <c r="G18" s="783"/>
      <c r="H18" s="783"/>
      <c r="I18" s="783"/>
      <c r="J18" s="766"/>
      <c r="K18" s="796"/>
    </row>
    <row r="19" spans="1:11" ht="21.75" customHeight="1" x14ac:dyDescent="0.2">
      <c r="A19" s="2276" t="s">
        <v>1916</v>
      </c>
      <c r="B19" s="2276"/>
      <c r="C19" s="2276"/>
      <c r="D19" s="2276"/>
      <c r="E19" s="2277"/>
      <c r="F19" s="790" t="s">
        <v>990</v>
      </c>
      <c r="G19" s="783"/>
      <c r="H19" s="783"/>
      <c r="I19" s="783"/>
      <c r="J19" s="766"/>
      <c r="K19" s="796"/>
    </row>
    <row r="20" spans="1:11" x14ac:dyDescent="0.2">
      <c r="A20" s="2255" t="s">
        <v>1921</v>
      </c>
      <c r="B20" s="2256"/>
      <c r="C20" s="2256"/>
      <c r="D20" s="2256"/>
      <c r="E20" s="2257"/>
      <c r="F20" s="790" t="s">
        <v>991</v>
      </c>
      <c r="G20" s="783"/>
      <c r="H20" s="783"/>
      <c r="I20" s="783"/>
      <c r="J20" s="766"/>
      <c r="K20" s="796"/>
    </row>
    <row r="21" spans="1:11" ht="13.5" thickBot="1" x14ac:dyDescent="0.25">
      <c r="A21" s="2261" t="s">
        <v>659</v>
      </c>
      <c r="B21" s="2261"/>
      <c r="C21" s="2261"/>
      <c r="D21" s="2261"/>
      <c r="E21" s="2261"/>
      <c r="F21" s="1780"/>
      <c r="G21" s="793"/>
      <c r="H21" s="797"/>
      <c r="I21" s="797"/>
      <c r="J21" s="1781">
        <f>SUM(J18:J20)</f>
        <v>0</v>
      </c>
      <c r="K21" s="794"/>
    </row>
    <row r="22" spans="1:11" ht="13.5" thickTop="1" x14ac:dyDescent="0.2">
      <c r="A22" s="2241" t="s">
        <v>1922</v>
      </c>
      <c r="B22" s="2241"/>
      <c r="C22" s="2241"/>
      <c r="D22" s="2241"/>
      <c r="E22" s="2269"/>
      <c r="F22" s="790" t="s">
        <v>917</v>
      </c>
      <c r="G22" s="783"/>
      <c r="H22" s="765"/>
      <c r="I22" s="765"/>
      <c r="J22" s="798"/>
      <c r="K22" s="766"/>
    </row>
    <row r="23" spans="1:11" ht="13.5" thickBot="1" x14ac:dyDescent="0.25">
      <c r="A23" s="2262" t="s">
        <v>962</v>
      </c>
      <c r="B23" s="2261"/>
      <c r="C23" s="2261"/>
      <c r="D23" s="2261"/>
      <c r="E23" s="2261"/>
      <c r="F23" s="1782"/>
      <c r="G23" s="1779">
        <f>SUM(G14:G16,G21,G22)</f>
        <v>0</v>
      </c>
      <c r="H23" s="1779">
        <f>SUM(H14:H16,H21,H22)</f>
        <v>3838</v>
      </c>
      <c r="I23" s="1779">
        <f>SUM(I14:I16,I21,I22)</f>
        <v>0</v>
      </c>
      <c r="J23" s="1779">
        <f>SUM(J14:J16,J21,J22)</f>
        <v>0</v>
      </c>
      <c r="K23" s="1779">
        <f>SUM(K14:K16,K21,K22)</f>
        <v>0</v>
      </c>
    </row>
    <row r="24" spans="1:11" ht="14.25" thickTop="1" thickBot="1" x14ac:dyDescent="0.25">
      <c r="A24" s="2262" t="s">
        <v>2026</v>
      </c>
      <c r="B24" s="2261"/>
      <c r="C24" s="2261"/>
      <c r="D24" s="2261"/>
      <c r="E24" s="2261"/>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2114</v>
      </c>
      <c r="E30" s="809" t="s">
        <v>792</v>
      </c>
      <c r="F30" s="202"/>
      <c r="G30" s="806"/>
    </row>
    <row r="31" spans="1:11" x14ac:dyDescent="0.2">
      <c r="A31" s="810"/>
      <c r="D31" s="237"/>
      <c r="E31" s="811" t="s">
        <v>793</v>
      </c>
      <c r="F31" s="812" t="s">
        <v>560</v>
      </c>
      <c r="G31" s="765"/>
      <c r="H31" s="2271"/>
      <c r="I31" s="2272"/>
      <c r="J31" s="2272"/>
      <c r="K31" s="2272"/>
    </row>
    <row r="32" spans="1:11" x14ac:dyDescent="0.2">
      <c r="A32" s="810"/>
      <c r="B32" s="237"/>
      <c r="C32" s="237"/>
      <c r="D32" s="237"/>
      <c r="E32" s="806"/>
      <c r="F32" s="812" t="s">
        <v>561</v>
      </c>
      <c r="G32" s="765"/>
      <c r="H32" s="2273"/>
      <c r="I32" s="2272"/>
      <c r="J32" s="2272"/>
      <c r="K32" s="2272"/>
    </row>
    <row r="33" spans="1:11" ht="1.5" customHeight="1" x14ac:dyDescent="0.2">
      <c r="A33" s="813" t="s">
        <v>1231</v>
      </c>
      <c r="B33" s="364"/>
      <c r="C33" s="364"/>
      <c r="D33" s="364"/>
      <c r="E33" s="364"/>
      <c r="F33" s="364"/>
      <c r="G33" s="814"/>
      <c r="H33" s="2273"/>
      <c r="I33" s="2272"/>
      <c r="J33" s="2272"/>
      <c r="K33" s="227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42"/>
      <c r="C41" s="2242"/>
      <c r="D41" s="2242"/>
      <c r="E41" s="2242"/>
      <c r="F41" s="224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5" sqref="A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2035</v>
      </c>
      <c r="B1" s="2281"/>
      <c r="C1" s="2282"/>
      <c r="D1" s="827"/>
      <c r="E1" s="828"/>
      <c r="F1" s="828"/>
      <c r="G1" s="829"/>
      <c r="H1" s="830"/>
      <c r="I1" s="831"/>
      <c r="J1" s="2278"/>
      <c r="K1" s="2279"/>
      <c r="L1" s="227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3366942</v>
      </c>
      <c r="D8" s="845"/>
      <c r="E8" s="845"/>
      <c r="F8" s="1781">
        <f>(C8+D8)-E8</f>
        <v>3366942</v>
      </c>
      <c r="G8" s="844">
        <v>50</v>
      </c>
      <c r="H8" s="766">
        <v>549092</v>
      </c>
      <c r="I8" s="766">
        <v>168347</v>
      </c>
      <c r="J8" s="766"/>
      <c r="K8" s="1790">
        <f>(H8+I8)-J8</f>
        <v>717439</v>
      </c>
      <c r="L8" s="1790">
        <f>F8-K8</f>
        <v>2649503</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8467</v>
      </c>
      <c r="D10" s="847"/>
      <c r="E10" s="847"/>
      <c r="F10" s="1785">
        <f>(C10+D10)-E10</f>
        <v>8467</v>
      </c>
      <c r="G10" s="844">
        <v>20</v>
      </c>
      <c r="H10" s="848">
        <v>1602</v>
      </c>
      <c r="I10" s="848">
        <v>847</v>
      </c>
      <c r="J10" s="848"/>
      <c r="K10" s="1790">
        <f>(H10+I10)-J10</f>
        <v>2449</v>
      </c>
      <c r="L10" s="1790">
        <f>F10-K10</f>
        <v>6018</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92454</v>
      </c>
      <c r="D12" s="845"/>
      <c r="E12" s="845"/>
      <c r="F12" s="1781">
        <f>(C12+D12)-E12</f>
        <v>92454</v>
      </c>
      <c r="G12" s="844">
        <v>10</v>
      </c>
      <c r="H12" s="766">
        <v>48459</v>
      </c>
      <c r="I12" s="766">
        <v>9995</v>
      </c>
      <c r="J12" s="766"/>
      <c r="K12" s="1790">
        <f>(H12+I12)-J12</f>
        <v>58454</v>
      </c>
      <c r="L12" s="1790">
        <f>F12-K12</f>
        <v>34000</v>
      </c>
    </row>
    <row r="13" spans="1:14" ht="14.25" thickTop="1" thickBot="1" x14ac:dyDescent="0.25">
      <c r="A13" s="849" t="s">
        <v>1184</v>
      </c>
      <c r="B13" s="841">
        <v>252</v>
      </c>
      <c r="C13" s="845">
        <v>310417</v>
      </c>
      <c r="D13" s="845">
        <v>28631</v>
      </c>
      <c r="E13" s="845">
        <v>7369</v>
      </c>
      <c r="F13" s="1781">
        <f>(C13+D13)-E13</f>
        <v>331679</v>
      </c>
      <c r="G13" s="844">
        <v>5</v>
      </c>
      <c r="H13" s="766">
        <v>235682</v>
      </c>
      <c r="I13" s="766">
        <v>38199</v>
      </c>
      <c r="J13" s="766"/>
      <c r="K13" s="1790">
        <f>(H13+I13)-J13</f>
        <v>273881</v>
      </c>
      <c r="L13" s="1790">
        <f>F13-K13</f>
        <v>57798</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3778280</v>
      </c>
      <c r="D16" s="1781">
        <f>SUM(D3,D5:D6,D8:D10,D12:D15)</f>
        <v>28631</v>
      </c>
      <c r="E16" s="1781">
        <f>SUM(E3,E5:E6,E8:E10,E12:E15)</f>
        <v>7369</v>
      </c>
      <c r="F16" s="1781">
        <f>SUM(F3,F5:F6,F8:F10,F12:F15)</f>
        <v>3799542</v>
      </c>
      <c r="G16" s="844"/>
      <c r="H16" s="1781">
        <f>SUM(H3,H6,H8:H10,H12:H14,)</f>
        <v>834835</v>
      </c>
      <c r="I16" s="1781">
        <f>SUM(I3,I6,I8:I10,I12:I14,)</f>
        <v>217388</v>
      </c>
      <c r="J16" s="1781">
        <f>SUM(J3,J6,J8:J10,J12:J14,)</f>
        <v>0</v>
      </c>
      <c r="K16" s="1781">
        <f>(H16+I16)-J16</f>
        <v>1052223</v>
      </c>
      <c r="L16" s="1781">
        <f>F16-K16</f>
        <v>2747319</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1068</v>
      </c>
      <c r="G17" s="838">
        <v>10</v>
      </c>
      <c r="H17" s="770"/>
      <c r="I17" s="1790">
        <f>F17/G17</f>
        <v>106.8</v>
      </c>
      <c r="J17" s="770"/>
      <c r="K17" s="796"/>
      <c r="L17" s="796"/>
    </row>
    <row r="18" spans="1:12" ht="14.25" thickTop="1" thickBot="1" x14ac:dyDescent="0.25">
      <c r="A18" s="1788" t="s">
        <v>706</v>
      </c>
      <c r="B18" s="1789"/>
      <c r="C18" s="772"/>
      <c r="D18" s="772"/>
      <c r="E18" s="772"/>
      <c r="F18" s="851"/>
      <c r="G18" s="852"/>
      <c r="H18" s="774"/>
      <c r="I18" s="1781">
        <f>SUM(I16,I17)</f>
        <v>217494.8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5" sqref="A5"/>
      <selection pane="bottomLeft" activeCell="A5" sqref="A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1699</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2088282</v>
      </c>
      <c r="G8" s="866"/>
    </row>
    <row r="9" spans="1:7" x14ac:dyDescent="0.2">
      <c r="A9" s="870" t="s">
        <v>480</v>
      </c>
      <c r="B9" s="871" t="s">
        <v>1989</v>
      </c>
      <c r="C9" s="872"/>
      <c r="D9" s="870" t="s">
        <v>522</v>
      </c>
      <c r="E9" s="869"/>
      <c r="F9" s="1934">
        <f>'Expenditures 15-22'!K151</f>
        <v>220693</v>
      </c>
      <c r="G9" s="873"/>
    </row>
    <row r="10" spans="1:7" x14ac:dyDescent="0.2">
      <c r="A10" s="870" t="s">
        <v>520</v>
      </c>
      <c r="B10" s="871" t="s">
        <v>1990</v>
      </c>
      <c r="C10" s="872"/>
      <c r="D10" s="870" t="s">
        <v>522</v>
      </c>
      <c r="E10" s="869"/>
      <c r="F10" s="1934">
        <f>'Expenditures 15-22'!K174</f>
        <v>0</v>
      </c>
      <c r="G10" s="873"/>
    </row>
    <row r="11" spans="1:7" x14ac:dyDescent="0.2">
      <c r="A11" s="870" t="s">
        <v>481</v>
      </c>
      <c r="B11" s="871" t="s">
        <v>1991</v>
      </c>
      <c r="C11" s="872"/>
      <c r="D11" s="870" t="s">
        <v>522</v>
      </c>
      <c r="E11" s="869"/>
      <c r="F11" s="1934">
        <f>'Expenditures 15-22'!K210</f>
        <v>163040</v>
      </c>
      <c r="G11" s="873"/>
    </row>
    <row r="12" spans="1:7" x14ac:dyDescent="0.2">
      <c r="A12" s="870" t="s">
        <v>482</v>
      </c>
      <c r="B12" s="871" t="s">
        <v>1992</v>
      </c>
      <c r="C12" s="872"/>
      <c r="D12" s="870" t="s">
        <v>522</v>
      </c>
      <c r="E12" s="869"/>
      <c r="F12" s="1934">
        <f>'Expenditures 15-22'!K295</f>
        <v>49442</v>
      </c>
      <c r="G12" s="873"/>
    </row>
    <row r="13" spans="1:7" x14ac:dyDescent="0.2">
      <c r="A13" s="870" t="s">
        <v>108</v>
      </c>
      <c r="B13" s="871" t="s">
        <v>1993</v>
      </c>
      <c r="C13" s="872"/>
      <c r="D13" s="870" t="s">
        <v>522</v>
      </c>
      <c r="E13" s="869"/>
      <c r="F13" s="1934">
        <f>'Expenditures 15-22'!K342</f>
        <v>103872</v>
      </c>
      <c r="G13" s="874"/>
    </row>
    <row r="14" spans="1:7" ht="12" customHeight="1" thickBot="1" x14ac:dyDescent="0.25">
      <c r="A14" s="1791"/>
      <c r="B14" s="1792"/>
      <c r="C14" s="1793"/>
      <c r="D14" s="1794" t="s">
        <v>522</v>
      </c>
      <c r="E14" s="1795" t="s">
        <v>1015</v>
      </c>
      <c r="F14" s="1796">
        <f>SUM(F8:F13)</f>
        <v>2625329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44798</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27830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157171</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55787</v>
      </c>
      <c r="G52" s="866"/>
    </row>
    <row r="53" spans="1:7" x14ac:dyDescent="0.2">
      <c r="A53" s="870" t="s">
        <v>479</v>
      </c>
      <c r="B53" s="870" t="s">
        <v>1551</v>
      </c>
      <c r="C53" s="890">
        <f>'Expenditures 15-22'!B102</f>
        <v>4000</v>
      </c>
      <c r="D53" s="889" t="str">
        <f>'Expenditures 15-22'!A102</f>
        <v>Total Payments to Other Govt Units</v>
      </c>
      <c r="E53" s="869"/>
      <c r="F53" s="1938">
        <f>'Expenditures 15-22'!K102</f>
        <v>192169</v>
      </c>
      <c r="G53" s="866"/>
    </row>
    <row r="54" spans="1:7" x14ac:dyDescent="0.2">
      <c r="A54" s="870" t="s">
        <v>479</v>
      </c>
      <c r="B54" s="870" t="s">
        <v>1552</v>
      </c>
      <c r="C54" s="890" t="s">
        <v>1039</v>
      </c>
      <c r="D54" s="886" t="s">
        <v>1157</v>
      </c>
      <c r="E54" s="869"/>
      <c r="F54" s="1938">
        <f>'Expenditures 15-22'!G114</f>
        <v>6923</v>
      </c>
      <c r="G54" s="866"/>
    </row>
    <row r="55" spans="1:7" x14ac:dyDescent="0.2">
      <c r="A55" s="870" t="s">
        <v>479</v>
      </c>
      <c r="B55" s="870" t="s">
        <v>1553</v>
      </c>
      <c r="C55" s="890" t="s">
        <v>1039</v>
      </c>
      <c r="D55" s="886" t="s">
        <v>309</v>
      </c>
      <c r="E55" s="869"/>
      <c r="F55" s="1938">
        <f>'Expenditures 15-22'!I114</f>
        <v>1068</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14338</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36049</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2439</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542</v>
      </c>
      <c r="G71" s="866"/>
    </row>
    <row r="72" spans="1:8" x14ac:dyDescent="0.2">
      <c r="A72" s="870" t="s">
        <v>482</v>
      </c>
      <c r="B72" s="870" t="s">
        <v>2008</v>
      </c>
      <c r="C72" s="887">
        <f>'Expenditures 15-22'!B280</f>
        <v>3000</v>
      </c>
      <c r="D72" s="877" t="s">
        <v>469</v>
      </c>
      <c r="E72" s="869"/>
      <c r="F72" s="1938">
        <f>'Expenditures 15-22'!K280</f>
        <v>6379</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545493</v>
      </c>
      <c r="G76" s="866"/>
    </row>
    <row r="77" spans="1:8" s="894" customFormat="1" ht="12" customHeight="1" thickTop="1" thickBot="1" x14ac:dyDescent="0.25">
      <c r="A77" s="1800"/>
      <c r="B77" s="1797"/>
      <c r="C77" s="1793"/>
      <c r="D77" s="1798" t="s">
        <v>2012</v>
      </c>
      <c r="E77" s="1795"/>
      <c r="F77" s="1801">
        <f>(F14-F76)</f>
        <v>2079836</v>
      </c>
      <c r="G77" s="870"/>
    </row>
    <row r="78" spans="1:8" s="894" customFormat="1" ht="12" customHeight="1" thickTop="1" x14ac:dyDescent="0.2">
      <c r="A78" s="1802"/>
      <c r="B78" s="1797"/>
      <c r="C78" s="1793"/>
      <c r="D78" s="1798" t="s">
        <v>2059</v>
      </c>
      <c r="E78" s="1795"/>
      <c r="F78" s="899">
        <v>78.400000000000006</v>
      </c>
      <c r="G78" s="900"/>
      <c r="H78" s="870"/>
    </row>
    <row r="79" spans="1:8" s="894" customFormat="1" ht="12" customHeight="1" thickBot="1" x14ac:dyDescent="0.25">
      <c r="A79" s="1803"/>
      <c r="B79" s="1797"/>
      <c r="C79" s="1793"/>
      <c r="D79" s="1798" t="s">
        <v>2013</v>
      </c>
      <c r="E79" s="1795" t="s">
        <v>1015</v>
      </c>
      <c r="F79" s="1804">
        <f>IF(F78&gt;0,F77/F78," Complete Line 78")</f>
        <v>26528.520408163262</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0</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58436</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862</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138733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86481</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46207</v>
      </c>
      <c r="G129" s="931"/>
    </row>
    <row r="130" spans="1:7" x14ac:dyDescent="0.2">
      <c r="A130" s="928" t="s">
        <v>689</v>
      </c>
      <c r="B130" s="928" t="s">
        <v>804</v>
      </c>
      <c r="C130" s="933">
        <v>4300</v>
      </c>
      <c r="D130" s="934" t="str">
        <f>'Revenues 9-14'!A211</f>
        <v>Total Title I</v>
      </c>
      <c r="E130" s="907"/>
      <c r="F130" s="1810">
        <f>SUM('Revenues 9-14'!C211,'Revenues 9-14'!D211,'Revenues 9-14'!F211,'Revenues 9-14'!G211)</f>
        <v>163949</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132949</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43260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9994</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4196</v>
      </c>
      <c r="G174" s="928"/>
    </row>
    <row r="175" spans="1:7" x14ac:dyDescent="0.2">
      <c r="A175" s="1943" t="s">
        <v>5</v>
      </c>
      <c r="B175" s="1944" t="s">
        <v>2058</v>
      </c>
      <c r="C175" s="1945">
        <v>3100</v>
      </c>
      <c r="D175" s="1946" t="s">
        <v>2061</v>
      </c>
      <c r="E175" s="907"/>
      <c r="F175" s="1930">
        <v>46528</v>
      </c>
      <c r="G175" s="928"/>
    </row>
    <row r="176" spans="1:7" x14ac:dyDescent="0.2">
      <c r="A176" s="1943" t="s">
        <v>685</v>
      </c>
      <c r="B176" s="1944" t="s">
        <v>2058</v>
      </c>
      <c r="C176" s="1945">
        <v>3300</v>
      </c>
      <c r="D176" s="1946" t="s">
        <v>2062</v>
      </c>
      <c r="E176" s="907"/>
      <c r="F176" s="1930">
        <v>0</v>
      </c>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731595</v>
      </c>
    </row>
    <row r="179" spans="1:7" ht="12" customHeight="1" x14ac:dyDescent="0.2">
      <c r="A179" s="1791"/>
      <c r="B179" s="1805"/>
      <c r="C179" s="1806"/>
      <c r="D179" s="1807" t="s">
        <v>2015</v>
      </c>
      <c r="E179" s="1808"/>
      <c r="F179" s="1810">
        <f>'PCTC-OEPP 27-28'!F77-F178</f>
        <v>1348241</v>
      </c>
    </row>
    <row r="180" spans="1:7" ht="12" customHeight="1" x14ac:dyDescent="0.2">
      <c r="A180" s="1791"/>
      <c r="B180" s="1805"/>
      <c r="C180" s="1806"/>
      <c r="D180" s="1807" t="s">
        <v>1924</v>
      </c>
      <c r="E180" s="1808"/>
      <c r="F180" s="1810">
        <f>'Cap Outlay Deprec 26'!I18</f>
        <v>217494.8</v>
      </c>
    </row>
    <row r="181" spans="1:7" ht="12" customHeight="1" x14ac:dyDescent="0.2">
      <c r="A181" s="1791"/>
      <c r="B181" s="1805"/>
      <c r="C181" s="1806"/>
      <c r="D181" s="1807" t="s">
        <v>2016</v>
      </c>
      <c r="E181" s="1808"/>
      <c r="F181" s="1810">
        <f>F179+F180</f>
        <v>1565735.8</v>
      </c>
    </row>
    <row r="182" spans="1:7" ht="12" customHeight="1" x14ac:dyDescent="0.2">
      <c r="A182" s="1791"/>
      <c r="B182" s="1811"/>
      <c r="C182" s="1806"/>
      <c r="D182" s="1807" t="str">
        <f>D78</f>
        <v>9 Month ADA from District Average Daily Attendance/Prior General State Aid Inquiry 2017-2018</v>
      </c>
      <c r="E182" s="1808"/>
      <c r="F182" s="1812">
        <f>'PCTC-OEPP 27-28'!F78</f>
        <v>78.400000000000006</v>
      </c>
      <c r="G182" s="931"/>
    </row>
    <row r="183" spans="1:7" ht="12" customHeight="1" thickBot="1" x14ac:dyDescent="0.25">
      <c r="A183" s="1791"/>
      <c r="B183" s="1811"/>
      <c r="C183" s="1806"/>
      <c r="D183" s="1807" t="s">
        <v>2017</v>
      </c>
      <c r="E183" s="1808" t="s">
        <v>1626</v>
      </c>
      <c r="F183" s="1813">
        <f>F181/F182</f>
        <v>19971.119897959183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selection activeCell="D19" sqref="D19"/>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7" t="s">
        <v>1925</v>
      </c>
      <c r="B4" s="2298"/>
      <c r="C4" s="2298"/>
      <c r="D4" s="2298"/>
      <c r="E4" s="2298"/>
      <c r="F4" s="2298"/>
      <c r="G4" s="2299"/>
    </row>
    <row r="5" spans="1:7" x14ac:dyDescent="0.25">
      <c r="A5" s="2300"/>
      <c r="B5" s="2301"/>
      <c r="C5" s="2301"/>
      <c r="D5" s="2301"/>
      <c r="E5" s="2301"/>
      <c r="F5" s="2301"/>
      <c r="G5" s="2302"/>
    </row>
    <row r="6" spans="1:7" ht="18.75" x14ac:dyDescent="0.25">
      <c r="A6" s="1555" t="s">
        <v>1926</v>
      </c>
      <c r="B6" s="1556"/>
      <c r="C6" s="1556"/>
      <c r="D6" s="1556"/>
      <c r="E6" s="1556"/>
      <c r="F6" s="1556"/>
      <c r="G6" s="1557"/>
    </row>
    <row r="7" spans="1:7" ht="30.75" customHeight="1" x14ac:dyDescent="0.25">
      <c r="A7" s="2303" t="s">
        <v>2075</v>
      </c>
      <c r="B7" s="2304"/>
      <c r="C7" s="2304"/>
      <c r="D7" s="2304"/>
      <c r="E7" s="2304"/>
      <c r="F7" s="2304"/>
      <c r="G7" s="2305"/>
    </row>
    <row r="8" spans="1:7" ht="15.75" customHeight="1" x14ac:dyDescent="0.25">
      <c r="A8" s="2306" t="s">
        <v>2024</v>
      </c>
      <c r="B8" s="2307"/>
      <c r="C8" s="2307"/>
      <c r="D8" s="2307"/>
      <c r="E8" s="2307"/>
      <c r="F8" s="2307"/>
      <c r="G8" s="2308"/>
    </row>
    <row r="9" spans="1:7" ht="35.25" customHeight="1" x14ac:dyDescent="0.25">
      <c r="A9" s="2303" t="s">
        <v>2023</v>
      </c>
      <c r="B9" s="2304"/>
      <c r="C9" s="2304"/>
      <c r="D9" s="2304"/>
      <c r="E9" s="2304"/>
      <c r="F9" s="2304"/>
      <c r="G9" s="2305"/>
    </row>
    <row r="10" spans="1:7" ht="15" customHeight="1" x14ac:dyDescent="0.25">
      <c r="A10" s="1558" t="s">
        <v>1927</v>
      </c>
      <c r="B10" s="1559"/>
      <c r="C10" s="1559"/>
      <c r="D10" s="1559"/>
      <c r="E10" s="1559"/>
      <c r="F10" s="1559"/>
      <c r="G10" s="1560"/>
    </row>
    <row r="11" spans="1:7" ht="17.25" customHeight="1" x14ac:dyDescent="0.25">
      <c r="A11" s="2303" t="s">
        <v>1941</v>
      </c>
      <c r="B11" s="2304"/>
      <c r="C11" s="2304"/>
      <c r="D11" s="2304"/>
      <c r="E11" s="2304"/>
      <c r="F11" s="2304"/>
      <c r="G11" s="2305"/>
    </row>
    <row r="12" spans="1:7" ht="15" customHeight="1" x14ac:dyDescent="0.25">
      <c r="A12" s="1558" t="s">
        <v>1932</v>
      </c>
      <c r="B12" s="1559"/>
      <c r="C12" s="1559"/>
      <c r="D12" s="1559"/>
      <c r="E12" s="1559"/>
      <c r="F12" s="1559"/>
      <c r="G12" s="1560"/>
    </row>
    <row r="13" spans="1:7" ht="32.25" customHeight="1" x14ac:dyDescent="0.25">
      <c r="A13" s="2294" t="s">
        <v>1933</v>
      </c>
      <c r="B13" s="2295"/>
      <c r="C13" s="2295"/>
      <c r="D13" s="2295"/>
      <c r="E13" s="2295"/>
      <c r="F13" s="2295"/>
      <c r="G13" s="2296"/>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5" t="s">
        <v>2095</v>
      </c>
      <c r="B17" s="1956" t="s">
        <v>2093</v>
      </c>
      <c r="C17" s="1957" t="s">
        <v>2094</v>
      </c>
      <c r="D17" s="1866">
        <v>8685</v>
      </c>
      <c r="E17" s="1561">
        <f t="shared" ref="E17:E141" si="1">IF(D17&lt;=25000,D17,IF(D17&gt;25000,25000,0))</f>
        <v>8685</v>
      </c>
      <c r="F17" s="1814">
        <f t="shared" si="0"/>
        <v>8685</v>
      </c>
      <c r="G17" s="1815">
        <f>IF(F17=0,0,D17-F17)</f>
        <v>0</v>
      </c>
      <c r="H17" s="1668"/>
    </row>
    <row r="18" spans="1:8" x14ac:dyDescent="0.25">
      <c r="A18" s="1965" t="s">
        <v>2118</v>
      </c>
      <c r="B18" s="1966" t="s">
        <v>2119</v>
      </c>
      <c r="C18" s="1967" t="s">
        <v>2120</v>
      </c>
      <c r="D18" s="1866">
        <v>8500</v>
      </c>
      <c r="E18" s="1561">
        <f t="shared" ref="E18:E140" si="2">IF(D18&lt;=25000,D18,IF(D18&gt;25000,25000,0))</f>
        <v>8500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8500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17185</v>
      </c>
      <c r="E141" s="1562">
        <f t="shared" si="1"/>
        <v>17185</v>
      </c>
      <c r="F141" s="1816">
        <f>SUM(F17:F140)</f>
        <v>17185</v>
      </c>
      <c r="G141" s="1817">
        <f>SUM(G17:G140)</f>
        <v>0</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5" sqref="A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1778</v>
      </c>
      <c r="B5" s="2310"/>
      <c r="C5" s="2310"/>
      <c r="D5" s="2310"/>
      <c r="E5" s="2310"/>
      <c r="F5" s="2310"/>
      <c r="G5" s="231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44207</v>
      </c>
      <c r="F10" s="975"/>
      <c r="G10" s="976"/>
      <c r="H10" s="162"/>
      <c r="I10" s="162"/>
    </row>
    <row r="11" spans="1:9" s="669" customFormat="1" ht="22.5" customHeight="1" x14ac:dyDescent="0.2">
      <c r="A11" s="2314" t="s">
        <v>1945</v>
      </c>
      <c r="B11" s="2315"/>
      <c r="C11" s="2315"/>
      <c r="D11" s="2316"/>
      <c r="E11" s="978">
        <v>4889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1080483</v>
      </c>
      <c r="F19" s="1821"/>
      <c r="G19" s="1823">
        <f>'Expenditures 15-22'!K33-SUM('Expenditures 15-22'!G33,'Expenditures 15-22'!I33)+'Expenditures 15-22'!D229</f>
        <v>1080483</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44899</v>
      </c>
      <c r="F21" s="1824"/>
      <c r="G21" s="1827">
        <f>'Expenditures 15-22'!K42-SUM('Expenditures 15-22'!G42,'Expenditures 15-22'!I42)+'Expenditures 15-22'!K120-SUM('Expenditures 15-22'!G120,'Expenditures 15-22'!I120)+'Expenditures 15-22'!K180-SUM('Expenditures 15-22'!G180,'Expenditures 15-22'!I180)+'Expenditures 15-22'!D238</f>
        <v>44899</v>
      </c>
      <c r="H21" s="988"/>
      <c r="I21" s="162"/>
    </row>
    <row r="22" spans="1:9" s="669" customFormat="1" ht="12" customHeight="1" x14ac:dyDescent="0.2">
      <c r="A22" s="995" t="s">
        <v>585</v>
      </c>
      <c r="B22" s="996"/>
      <c r="C22" s="994">
        <v>2200</v>
      </c>
      <c r="D22" s="1824"/>
      <c r="E22" s="1826">
        <f>'Expenditures 15-22'!K47-SUM('Expenditures 15-22'!G47,'Expenditures 15-22'!I47)+'Expenditures 15-22'!D243</f>
        <v>75358</v>
      </c>
      <c r="F22" s="1824"/>
      <c r="G22" s="1827">
        <f>'Expenditures 15-22'!K47-SUM('Expenditures 15-22'!G47,'Expenditures 15-22'!I47)+'Expenditures 15-22'!D243</f>
        <v>75358</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387510</v>
      </c>
      <c r="F23" s="1824"/>
      <c r="G23" s="1826">
        <f>'Expenditures 15-22'!K53-SUM('Expenditures 15-22'!G53,'Expenditures 15-22'!I53)+'Expenditures 15-22'!D257+'Expenditures 15-22'!K330-SUM('Expenditures 15-22'!G330,'Expenditures 15-22'!I330)</f>
        <v>387510</v>
      </c>
      <c r="H23" s="988"/>
      <c r="I23" s="162"/>
    </row>
    <row r="24" spans="1:9" s="669" customFormat="1" ht="12" customHeight="1" x14ac:dyDescent="0.2">
      <c r="A24" s="995" t="s">
        <v>587</v>
      </c>
      <c r="B24" s="996"/>
      <c r="C24" s="994">
        <v>2400</v>
      </c>
      <c r="D24" s="1824"/>
      <c r="E24" s="1826">
        <f>'Expenditures 15-22'!K57-SUM('Expenditures 15-22'!G57,'Expenditures 15-22'!I57)+'Expenditures 15-22'!D261</f>
        <v>167747</v>
      </c>
      <c r="F24" s="1824"/>
      <c r="G24" s="1827">
        <f>'Expenditures 15-22'!K57-SUM('Expenditures 15-22'!G57,'Expenditures 15-22'!I57)+'Expenditures 15-22'!D261</f>
        <v>167747</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71865</v>
      </c>
      <c r="E27" s="1826">
        <f>E8</f>
        <v>0</v>
      </c>
      <c r="F27" s="1826">
        <f>'Expenditures 15-22'!K60-SUM('Expenditures 15-22'!G60,'Expenditures 15-22'!I60)+'Expenditures 15-22'!D264-E8</f>
        <v>71865</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213865</v>
      </c>
      <c r="F28" s="1828">
        <f>'Expenditures 15-22'!K61-SUM('Expenditures 15-22'!G61,'Expenditures 15-22'!I61)+'Expenditures 15-22'!K124-SUM('Expenditures 15-22'!G124,'Expenditures 15-22'!I124)+'Expenditures 15-22'!D266-E9</f>
        <v>213865</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127249</v>
      </c>
      <c r="F29" s="1824"/>
      <c r="G29" s="1827">
        <f>'Expenditures 15-22'!K62-SUM('Expenditures 15-22'!G62,'Expenditures 15-22'!I62)+'Expenditures 15-22'!K125-SUM('Expenditures 15-22'!G125,'Expenditures 15-22'!I125)+'Expenditures 15-22'!K182-SUM('Expenditures 15-22'!G182,'Expenditures 15-22'!I182)+'Expenditures 15-22'!D267</f>
        <v>127249</v>
      </c>
      <c r="H29" s="986"/>
    </row>
    <row r="30" spans="1:9" ht="12" customHeight="1" x14ac:dyDescent="0.2">
      <c r="A30" s="995" t="s">
        <v>102</v>
      </c>
      <c r="B30" s="998"/>
      <c r="C30" s="994">
        <v>2560</v>
      </c>
      <c r="D30" s="1824"/>
      <c r="E30" s="1826">
        <f>'Expenditures 15-22'!K63-SUM('Expenditures 15-22'!G63,'Expenditures 15-22'!I63)+'Expenditures 15-22'!D268-E10</f>
        <v>46909</v>
      </c>
      <c r="F30" s="1824"/>
      <c r="G30" s="1826">
        <f>'Expenditures 15-22'!K63-SUM('Expenditures 15-22'!G63,'Expenditures 15-22'!I63)+'Expenditures 15-22'!D268-E10</f>
        <v>46909</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1500</v>
      </c>
      <c r="F34" s="1824"/>
      <c r="G34" s="1826">
        <f>'Expenditures 15-22'!K68-SUM('Expenditures 15-22'!G68,'Expenditures 15-22'!I68)+'Expenditures 15-22'!D273</f>
        <v>1500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14420</v>
      </c>
      <c r="E37" s="1826">
        <f>E14</f>
        <v>0</v>
      </c>
      <c r="F37" s="1826">
        <f>'Expenditures 15-22'!K71-SUM('Expenditures 15-22'!G71,'Expenditures 15-22'!I71)+'Expenditures 15-22'!D276-E14</f>
        <v>14420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36604</v>
      </c>
      <c r="F38" s="1824"/>
      <c r="G38" s="1826">
        <f>'Expenditures 15-22'!K73-SUM('Expenditures 15-22'!G73,'Expenditures 15-22'!I73)+'Expenditures 15-22'!K128-SUM('Expenditures 15-22'!G128,'Expenditures 15-22'!I128)+'Expenditures 15-22'!K183-SUM('Expenditures 15-22'!G183,'Expenditures 15-22'!I183)+'Expenditures 15-22'!D278</f>
        <v>36604</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62166</v>
      </c>
      <c r="F39" s="1824"/>
      <c r="G39" s="1826">
        <f>'Expenditures 15-22'!K75-SUM('Expenditures 15-22'!G75,'Expenditures 15-22'!I75)+'Expenditures 15-22'!K130-SUM('Expenditures 15-22'!G130,'Expenditures 15-22'!I130)+'Expenditures 15-22'!K185-SUM('Expenditures 15-22'!G185,'Expenditures 15-22'!I185)+'Expenditures 15-22'!D280</f>
        <v>62166</v>
      </c>
    </row>
    <row r="40" spans="1:7" ht="12" customHeight="1" x14ac:dyDescent="0.2">
      <c r="A40" s="991" t="s">
        <v>1930</v>
      </c>
      <c r="B40" s="992"/>
      <c r="C40" s="994"/>
      <c r="D40" s="1824"/>
      <c r="E40" s="1828">
        <f>-'Contracts Paid in CY 29'!G141</f>
        <v>0</v>
      </c>
      <c r="F40" s="1824"/>
      <c r="G40" s="1828">
        <f>-'Contracts Paid in CY 29'!G141</f>
        <v>0</v>
      </c>
    </row>
    <row r="41" spans="1:7" ht="12" customHeight="1" x14ac:dyDescent="0.2">
      <c r="A41" s="999" t="s">
        <v>158</v>
      </c>
      <c r="B41" s="1000"/>
      <c r="C41" s="1001"/>
      <c r="D41" s="1828">
        <f>SUM(D19:D39)</f>
        <v>86285</v>
      </c>
      <c r="E41" s="1828">
        <f>SUM(E19:E40)</f>
        <v>2244290</v>
      </c>
      <c r="F41" s="1828">
        <f>SUM(F19:F39)</f>
        <v>300150</v>
      </c>
      <c r="G41" s="1828">
        <f>SUM(G19:G40)</f>
        <v>2030425</v>
      </c>
    </row>
    <row r="42" spans="1:7" x14ac:dyDescent="0.2">
      <c r="A42" s="988"/>
      <c r="B42" s="162"/>
      <c r="C42" s="1002"/>
      <c r="D42" s="2312" t="s">
        <v>543</v>
      </c>
      <c r="E42" s="2313"/>
      <c r="F42" s="1003" t="s">
        <v>544</v>
      </c>
      <c r="G42" s="1004"/>
    </row>
    <row r="43" spans="1:7" ht="12" customHeight="1" x14ac:dyDescent="0.2">
      <c r="A43" s="988"/>
      <c r="B43" s="162"/>
      <c r="C43" s="1002"/>
      <c r="D43" s="1829" t="s">
        <v>493</v>
      </c>
      <c r="E43" s="1830">
        <f>D41</f>
        <v>86285</v>
      </c>
      <c r="F43" s="1829" t="s">
        <v>495</v>
      </c>
      <c r="G43" s="1830">
        <f>F41</f>
        <v>300150</v>
      </c>
    </row>
    <row r="44" spans="1:7" ht="12" customHeight="1" x14ac:dyDescent="0.2">
      <c r="A44" s="988"/>
      <c r="B44" s="162"/>
      <c r="C44" s="1002"/>
      <c r="D44" s="1829" t="s">
        <v>494</v>
      </c>
      <c r="E44" s="1830">
        <f>E41</f>
        <v>2244290</v>
      </c>
      <c r="F44" s="1829" t="s">
        <v>494</v>
      </c>
      <c r="G44" s="1830">
        <f>G41</f>
        <v>2030425</v>
      </c>
    </row>
    <row r="45" spans="1:7" ht="12" customHeight="1" x14ac:dyDescent="0.2">
      <c r="A45" s="988"/>
      <c r="B45" s="162"/>
      <c r="C45" s="162"/>
      <c r="D45" s="1831" t="s">
        <v>1063</v>
      </c>
      <c r="E45" s="1832">
        <f>(E43/E44)</f>
        <v>3.8446457454250564E-2</v>
      </c>
      <c r="F45" s="1831" t="s">
        <v>1063</v>
      </c>
      <c r="G45" s="1832">
        <f>(G43/G44)</f>
        <v>0.14782619402341873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5" zoomScaleNormal="115" workbookViewId="0">
      <pane ySplit="4" topLeftCell="A5" activePane="bottomLeft" state="frozen"/>
      <selection activeCell="A5" sqref="A5"/>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0" t="s">
        <v>1446</v>
      </c>
      <c r="B1" s="2320"/>
      <c r="C1" s="2320"/>
      <c r="D1" s="2320"/>
      <c r="E1" s="2320"/>
      <c r="F1" s="232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1" t="s">
        <v>1627</v>
      </c>
      <c r="B5" s="2322"/>
      <c r="C5" s="2323"/>
      <c r="D5" s="2323"/>
      <c r="E5" s="2323"/>
      <c r="F5" s="2323"/>
    </row>
    <row r="6" spans="1:10" ht="12" customHeight="1" x14ac:dyDescent="0.25">
      <c r="A6" s="1874"/>
      <c r="B6" s="1875"/>
      <c r="C6" s="2324" t="str">
        <f>COVER!A17</f>
        <v>Venice CUSD 3</v>
      </c>
      <c r="D6" s="2324"/>
      <c r="E6" s="2324"/>
      <c r="F6" s="1876"/>
    </row>
    <row r="7" spans="1:10" ht="11.25" customHeight="1" thickBot="1" x14ac:dyDescent="0.3">
      <c r="A7" s="1874"/>
      <c r="B7" s="1875"/>
      <c r="C7" s="2325">
        <f>COVER!A13</f>
        <v>41057003026</v>
      </c>
      <c r="D7" s="2325"/>
      <c r="E7" s="2325"/>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t="s">
        <v>2077</v>
      </c>
      <c r="D27" s="1889" t="s">
        <v>2077</v>
      </c>
      <c r="E27" s="1892" t="s">
        <v>2077</v>
      </c>
      <c r="F27" s="1891" t="s">
        <v>2096</v>
      </c>
      <c r="H27" s="1902">
        <f t="shared" si="0"/>
        <v>5</v>
      </c>
      <c r="I27" s="1902">
        <f t="shared" si="1"/>
        <v>5</v>
      </c>
      <c r="J27" s="1902">
        <f t="shared" si="2"/>
        <v>5</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t="s">
        <v>2077</v>
      </c>
      <c r="D33" s="1889" t="s">
        <v>2077</v>
      </c>
      <c r="E33" s="1892" t="s">
        <v>2077</v>
      </c>
      <c r="F33" s="1891" t="s">
        <v>2097</v>
      </c>
      <c r="H33" s="1902">
        <f t="shared" si="0"/>
        <v>5</v>
      </c>
      <c r="I33" s="1902">
        <f t="shared" si="1"/>
        <v>5</v>
      </c>
      <c r="J33" s="1902">
        <f t="shared" si="2"/>
        <v>5</v>
      </c>
    </row>
    <row r="34" spans="1:11" ht="12" customHeight="1" x14ac:dyDescent="0.25">
      <c r="A34" s="1894"/>
      <c r="B34" s="1894"/>
      <c r="C34" s="1894"/>
      <c r="D34" s="1894"/>
      <c r="E34" s="1894"/>
      <c r="F34" s="1894"/>
      <c r="H34" s="1902">
        <f>SUM(H11:H32)</f>
        <v>5</v>
      </c>
      <c r="I34" s="1902">
        <f>SUM(I11:I32)</f>
        <v>5</v>
      </c>
      <c r="J34" s="1902">
        <f>SUM(J11:J32)</f>
        <v>5</v>
      </c>
      <c r="K34" s="1902">
        <f>SUM(H34:J34)</f>
        <v>15</v>
      </c>
    </row>
    <row r="35" spans="1:11" ht="12" customHeight="1" x14ac:dyDescent="0.2">
      <c r="A35" s="1895" t="s">
        <v>1459</v>
      </c>
      <c r="B35" s="1896"/>
      <c r="C35" s="2326"/>
      <c r="D35" s="2326"/>
      <c r="E35" s="2326"/>
      <c r="F35" s="2327"/>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31"/>
      <c r="B38" s="2332"/>
      <c r="C38" s="2332"/>
      <c r="D38" s="2332"/>
      <c r="E38" s="2332"/>
      <c r="F38" s="2333"/>
    </row>
    <row r="39" spans="1:11" ht="4.5" hidden="1" customHeight="1" x14ac:dyDescent="0.2">
      <c r="A39" s="1897"/>
      <c r="B39" s="1897"/>
      <c r="C39" s="1897"/>
      <c r="D39" s="1897"/>
      <c r="E39" s="1897"/>
      <c r="F39" s="1897"/>
    </row>
    <row r="40" spans="1:11" s="1894" customFormat="1" ht="12" customHeight="1" x14ac:dyDescent="0.25">
      <c r="A40" s="1898" t="s">
        <v>1458</v>
      </c>
      <c r="B40" s="1899"/>
      <c r="C40" s="2334"/>
      <c r="D40" s="2334"/>
      <c r="E40" s="2334"/>
      <c r="F40" s="2335"/>
      <c r="H40" s="1903"/>
      <c r="I40" s="1903"/>
      <c r="J40" s="1903"/>
      <c r="K40" s="1903"/>
    </row>
    <row r="41" spans="1:11" s="1894" customFormat="1" ht="12" customHeight="1" x14ac:dyDescent="0.25">
      <c r="A41" s="2336"/>
      <c r="B41" s="2337"/>
      <c r="C41" s="2337"/>
      <c r="D41" s="2337"/>
      <c r="E41" s="2337"/>
      <c r="F41" s="2338"/>
      <c r="H41" s="1903"/>
      <c r="I41" s="1903"/>
      <c r="J41" s="1903"/>
      <c r="K41" s="1903"/>
    </row>
    <row r="42" spans="1:11" s="1894" customFormat="1" ht="12" customHeight="1" x14ac:dyDescent="0.25">
      <c r="A42" s="2336"/>
      <c r="B42" s="2337"/>
      <c r="C42" s="2337"/>
      <c r="D42" s="2337"/>
      <c r="E42" s="2337"/>
      <c r="F42" s="2338"/>
      <c r="H42" s="1903"/>
      <c r="I42" s="1903"/>
      <c r="J42" s="1903"/>
      <c r="K42" s="1903"/>
    </row>
    <row r="43" spans="1:11" s="1894" customFormat="1" ht="15" x14ac:dyDescent="0.25">
      <c r="A43" s="2328"/>
      <c r="B43" s="2329"/>
      <c r="C43" s="2329"/>
      <c r="D43" s="2329"/>
      <c r="E43" s="2329"/>
      <c r="F43" s="2330"/>
      <c r="H43" s="1903"/>
      <c r="I43" s="1903"/>
      <c r="J43" s="1903"/>
      <c r="K43" s="1903"/>
    </row>
    <row r="44" spans="1:11" s="1894" customFormat="1" ht="12" hidden="1" customHeight="1" x14ac:dyDescent="0.25">
      <c r="A44" s="2328"/>
      <c r="B44" s="2329"/>
      <c r="C44" s="2329"/>
      <c r="D44" s="2329"/>
      <c r="E44" s="2329"/>
      <c r="F44" s="233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5" sqref="A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4" t="str">
        <f>COVER!A17</f>
        <v>Venice CUSD 3</v>
      </c>
      <c r="J6" s="2345"/>
      <c r="Q6" s="1685"/>
    </row>
    <row r="7" spans="1:17" x14ac:dyDescent="0.2">
      <c r="A7" s="2346" t="s">
        <v>924</v>
      </c>
      <c r="B7" s="2347"/>
      <c r="C7" s="2347"/>
      <c r="D7" s="2347"/>
      <c r="E7" s="2348"/>
      <c r="F7" s="1018"/>
      <c r="G7" s="1010"/>
      <c r="H7" s="1017" t="s">
        <v>390</v>
      </c>
      <c r="I7" s="2349">
        <f>COVER!A13</f>
        <v>41057003026</v>
      </c>
      <c r="J7" s="234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204750</v>
      </c>
      <c r="F12" s="1040"/>
      <c r="G12" s="1833">
        <f t="shared" ref="G12:G18" si="0">SUM(E12:F12)</f>
        <v>204750</v>
      </c>
      <c r="H12" s="1041">
        <v>206241</v>
      </c>
      <c r="I12" s="1040"/>
      <c r="J12" s="1833">
        <f t="shared" ref="J12:J18" si="1">SUM(H12:I12)</f>
        <v>206241</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3" t="s">
        <v>7</v>
      </c>
      <c r="C18" s="2354"/>
      <c r="D18" s="235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204750</v>
      </c>
      <c r="F19" s="1835">
        <f t="shared" si="2"/>
        <v>0</v>
      </c>
      <c r="G19" s="1835">
        <f t="shared" si="2"/>
        <v>204750</v>
      </c>
      <c r="H19" s="1835">
        <f t="shared" si="2"/>
        <v>206241</v>
      </c>
      <c r="I19" s="1835">
        <f t="shared" si="2"/>
        <v>0</v>
      </c>
      <c r="J19" s="1835">
        <f t="shared" si="2"/>
        <v>206241</v>
      </c>
    </row>
    <row r="20" spans="1:10" ht="13.5" thickTop="1" x14ac:dyDescent="0.2">
      <c r="A20" s="1036">
        <v>9</v>
      </c>
      <c r="B20" s="2356" t="s">
        <v>1703</v>
      </c>
      <c r="C20" s="2356"/>
      <c r="D20" s="2357"/>
      <c r="E20" s="1047"/>
      <c r="F20" s="1047"/>
      <c r="G20" s="1047"/>
      <c r="H20" s="1047"/>
      <c r="I20" s="1047"/>
      <c r="J20" s="1836">
        <f>IF(AND(G19&gt;0,J19&gt;0),(((J19-G19)/G19)),"Enter Budget Data")</f>
        <v>7.282051282051282E-3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1944</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64"/>
  <sheetViews>
    <sheetView showGridLines="0" zoomScale="110" zoomScaleNormal="110" zoomScaleSheetLayoutView="130" workbookViewId="0">
      <selection activeCell="G26" sqref="G26"/>
    </sheetView>
  </sheetViews>
  <sheetFormatPr defaultColWidth="9.140625" defaultRowHeight="12.75" x14ac:dyDescent="0.2"/>
  <cols>
    <col min="1" max="1" width="3" style="329" customWidth="1"/>
    <col min="2" max="2" width="2.140625" style="329" customWidth="1"/>
    <col min="3" max="3" width="6.7109375" style="329" customWidth="1"/>
    <col min="4" max="4" width="1.7109375" style="329" customWidth="1"/>
    <col min="5" max="5" width="6.7109375" style="329" customWidth="1"/>
    <col min="6" max="6" width="2" style="329" customWidth="1"/>
    <col min="7" max="7" width="30" style="329" customWidth="1"/>
    <col min="8" max="8" width="3.140625" style="329" customWidth="1"/>
    <col min="9" max="9" width="51.140625" style="329" customWidth="1"/>
    <col min="10" max="10" width="3.28515625" style="329" customWidth="1"/>
    <col min="11" max="11" width="10.7109375" style="329" customWidth="1"/>
    <col min="12" max="12" width="16.7109375" style="329" customWidth="1"/>
    <col min="13" max="13" width="25.7109375" style="329" customWidth="1"/>
    <col min="14" max="16384" width="9.140625" style="329"/>
  </cols>
  <sheetData>
    <row r="2" spans="1:11" x14ac:dyDescent="0.2">
      <c r="A2" s="389" t="s">
        <v>276</v>
      </c>
      <c r="B2" s="389"/>
      <c r="C2" s="389"/>
      <c r="D2" s="389"/>
      <c r="E2" s="389"/>
      <c r="F2" s="389"/>
    </row>
    <row r="3" spans="1:11" x14ac:dyDescent="0.2">
      <c r="A3" s="329" t="s">
        <v>277</v>
      </c>
    </row>
    <row r="4" spans="1:11" x14ac:dyDescent="0.2">
      <c r="C4" s="1960" t="s">
        <v>2099</v>
      </c>
      <c r="D4" s="1960"/>
      <c r="E4" s="1960" t="s">
        <v>2100</v>
      </c>
      <c r="F4" s="1960"/>
      <c r="G4" s="1960" t="s">
        <v>1137</v>
      </c>
      <c r="H4" s="1960"/>
      <c r="I4" s="1960" t="s">
        <v>2101</v>
      </c>
      <c r="J4" s="1960"/>
      <c r="K4" s="1960" t="s">
        <v>2102</v>
      </c>
    </row>
    <row r="5" spans="1:11" x14ac:dyDescent="0.2">
      <c r="C5" s="1960"/>
      <c r="D5" s="1960"/>
      <c r="E5" s="1960"/>
      <c r="F5" s="1960"/>
      <c r="G5" s="1960"/>
      <c r="H5" s="1960"/>
      <c r="I5" s="1960"/>
      <c r="J5" s="1960"/>
      <c r="K5" s="1960"/>
    </row>
    <row r="6" spans="1:11" ht="13.5" customHeight="1" x14ac:dyDescent="0.2">
      <c r="A6" s="1069">
        <v>1</v>
      </c>
      <c r="B6" s="1069"/>
      <c r="C6" s="1961">
        <v>15</v>
      </c>
      <c r="D6" s="1961"/>
      <c r="E6" s="1961">
        <v>107</v>
      </c>
      <c r="F6" s="1959"/>
      <c r="G6" s="1962" t="s">
        <v>2103</v>
      </c>
      <c r="H6" s="1959"/>
      <c r="I6" s="329" t="s">
        <v>2104</v>
      </c>
      <c r="K6" s="1963">
        <v>21461</v>
      </c>
    </row>
    <row r="7" spans="1:11" ht="13.5" customHeight="1" x14ac:dyDescent="0.2">
      <c r="A7" s="1069"/>
      <c r="B7" s="1069"/>
      <c r="C7" s="1961"/>
      <c r="D7" s="1961"/>
      <c r="E7" s="1961"/>
      <c r="F7" s="1959"/>
      <c r="G7" s="1962"/>
      <c r="H7" s="1959"/>
      <c r="K7" s="1963"/>
    </row>
    <row r="8" spans="1:11" ht="13.5" customHeight="1" x14ac:dyDescent="0.2">
      <c r="A8" s="1069">
        <v>2</v>
      </c>
      <c r="B8" s="1069"/>
      <c r="C8" s="1961">
        <v>17</v>
      </c>
      <c r="D8" s="1961"/>
      <c r="E8" s="1961">
        <v>171</v>
      </c>
      <c r="F8" s="1959"/>
      <c r="G8" s="1962" t="s">
        <v>2103</v>
      </c>
      <c r="I8" s="329" t="s">
        <v>2116</v>
      </c>
      <c r="K8" s="1963">
        <v>86481</v>
      </c>
    </row>
    <row r="9" spans="1:11" ht="13.5" customHeight="1" x14ac:dyDescent="0.2">
      <c r="A9" s="1069"/>
      <c r="B9" s="1069"/>
      <c r="C9" s="1961"/>
      <c r="D9" s="1961"/>
      <c r="E9" s="1961"/>
      <c r="F9" s="1959"/>
      <c r="G9" s="1962"/>
      <c r="K9" s="1963"/>
    </row>
    <row r="10" spans="1:11" ht="13.5" customHeight="1" x14ac:dyDescent="0.2">
      <c r="A10" s="1069">
        <v>3</v>
      </c>
      <c r="B10" s="1069"/>
      <c r="C10" s="1961">
        <v>19</v>
      </c>
      <c r="D10" s="1961"/>
      <c r="E10" s="1961">
        <v>272</v>
      </c>
      <c r="F10" s="1959"/>
      <c r="G10" s="1962" t="s">
        <v>2103</v>
      </c>
      <c r="I10" s="329" t="s">
        <v>2117</v>
      </c>
      <c r="K10" s="1963">
        <v>4196</v>
      </c>
    </row>
    <row r="11" spans="1:11" ht="13.5" customHeight="1" x14ac:dyDescent="0.2">
      <c r="A11" s="1069"/>
      <c r="B11" s="1069"/>
      <c r="C11" s="1961"/>
      <c r="D11" s="1961"/>
      <c r="E11" s="1961"/>
      <c r="F11" s="1959"/>
      <c r="G11" s="1962"/>
      <c r="K11" s="1963"/>
    </row>
    <row r="12" spans="1:11" ht="13.5" customHeight="1" x14ac:dyDescent="0.2">
      <c r="A12" s="1069">
        <v>4</v>
      </c>
      <c r="B12" s="1069"/>
      <c r="C12" s="1961">
        <v>21</v>
      </c>
      <c r="D12" s="1961"/>
      <c r="E12" s="1961">
        <v>73</v>
      </c>
      <c r="F12" s="1959"/>
      <c r="G12" s="1962" t="s">
        <v>2103</v>
      </c>
      <c r="I12" s="329" t="s">
        <v>2105</v>
      </c>
      <c r="K12" s="1963">
        <v>30819</v>
      </c>
    </row>
    <row r="13" spans="1:11" ht="13.5" customHeight="1" x14ac:dyDescent="0.2">
      <c r="A13" s="1069"/>
      <c r="B13" s="1069"/>
      <c r="C13" s="1961"/>
      <c r="D13" s="1961"/>
      <c r="E13" s="1961"/>
      <c r="F13" s="1959"/>
      <c r="G13" s="1962"/>
      <c r="I13" s="329" t="s">
        <v>2106</v>
      </c>
      <c r="K13" s="1963">
        <v>1225</v>
      </c>
    </row>
    <row r="14" spans="1:11" ht="13.5" customHeight="1" x14ac:dyDescent="0.2">
      <c r="A14" s="1069"/>
      <c r="B14" s="1069"/>
      <c r="C14" s="1961"/>
      <c r="D14" s="1961"/>
      <c r="E14" s="1961"/>
      <c r="F14" s="1959"/>
      <c r="G14" s="1962"/>
      <c r="I14" s="329" t="s">
        <v>2107</v>
      </c>
      <c r="K14" s="1963">
        <v>3348</v>
      </c>
    </row>
    <row r="15" spans="1:11" ht="13.5" customHeight="1" thickBot="1" x14ac:dyDescent="0.25">
      <c r="A15" s="1069"/>
      <c r="B15" s="1069"/>
      <c r="C15" s="1961"/>
      <c r="D15" s="1961"/>
      <c r="E15" s="1961"/>
      <c r="F15" s="1959"/>
      <c r="G15" s="1962"/>
      <c r="K15" s="1964">
        <f>SUM(K12:K14)</f>
        <v>35392</v>
      </c>
    </row>
    <row r="16" spans="1:11" ht="13.5" customHeight="1" thickTop="1" x14ac:dyDescent="0.2">
      <c r="A16" s="1069"/>
      <c r="B16" s="1069"/>
      <c r="C16" s="1961"/>
      <c r="D16" s="1961"/>
      <c r="E16" s="1961"/>
      <c r="F16" s="1959"/>
      <c r="G16" s="1962"/>
      <c r="K16" s="1963"/>
    </row>
    <row r="17" spans="1:11" ht="13.5" customHeight="1" x14ac:dyDescent="0.2">
      <c r="A17" s="1069">
        <v>5</v>
      </c>
      <c r="B17" s="1069"/>
      <c r="C17" s="1961">
        <v>21</v>
      </c>
      <c r="D17" s="1961"/>
      <c r="E17" s="1961">
        <v>83</v>
      </c>
      <c r="F17" s="1959"/>
      <c r="G17" s="1962" t="s">
        <v>2103</v>
      </c>
      <c r="I17" s="598" t="s">
        <v>2108</v>
      </c>
      <c r="K17" s="1963">
        <v>9333</v>
      </c>
    </row>
    <row r="18" spans="1:11" ht="13.5" customHeight="1" x14ac:dyDescent="0.2">
      <c r="A18" s="1069"/>
      <c r="B18" s="1069"/>
      <c r="C18" s="1961"/>
      <c r="D18" s="1961"/>
      <c r="E18" s="1961"/>
      <c r="F18" s="1959"/>
      <c r="G18" s="1962"/>
      <c r="K18" s="1963"/>
    </row>
    <row r="19" spans="1:11" ht="13.5" customHeight="1" x14ac:dyDescent="0.2">
      <c r="A19" s="1069">
        <v>6</v>
      </c>
      <c r="B19" s="1069"/>
      <c r="C19" s="1961">
        <v>25</v>
      </c>
      <c r="D19" s="1961"/>
      <c r="E19" s="1961">
        <v>278</v>
      </c>
      <c r="F19" s="1959"/>
      <c r="G19" s="1962" t="s">
        <v>2109</v>
      </c>
      <c r="I19" s="329" t="s">
        <v>2106</v>
      </c>
      <c r="K19" s="1963">
        <v>1212</v>
      </c>
    </row>
    <row r="20" spans="1:11" ht="13.5" customHeight="1" x14ac:dyDescent="0.2">
      <c r="A20" s="1069"/>
      <c r="B20" s="1069"/>
      <c r="C20" s="1961"/>
      <c r="D20" s="1961"/>
      <c r="E20" s="1961"/>
      <c r="F20" s="1959"/>
      <c r="G20" s="1962"/>
      <c r="K20" s="1963"/>
    </row>
    <row r="21" spans="1:11" ht="13.5" customHeight="1" x14ac:dyDescent="0.2">
      <c r="A21" s="1069">
        <v>7</v>
      </c>
      <c r="B21" s="1069"/>
      <c r="C21" s="1961">
        <v>30</v>
      </c>
      <c r="D21" s="1961"/>
      <c r="E21" s="1961">
        <v>10</v>
      </c>
      <c r="F21" s="1959"/>
      <c r="G21" s="1962" t="s">
        <v>430</v>
      </c>
      <c r="I21" s="329" t="s">
        <v>2115</v>
      </c>
      <c r="K21" s="1963">
        <v>54</v>
      </c>
    </row>
    <row r="22" spans="1:11" ht="13.5" customHeight="1" x14ac:dyDescent="0.2">
      <c r="A22" s="1069"/>
      <c r="B22" s="1069"/>
      <c r="C22" s="1961"/>
      <c r="D22" s="1961"/>
      <c r="E22" s="1961"/>
      <c r="F22" s="1959"/>
      <c r="G22" s="1962"/>
      <c r="K22" s="1963"/>
    </row>
    <row r="23" spans="1:11" x14ac:dyDescent="0.2">
      <c r="A23" s="1069"/>
      <c r="B23" s="1069"/>
      <c r="C23" s="1961"/>
      <c r="D23" s="1961"/>
      <c r="E23" s="1961"/>
      <c r="F23" s="1959"/>
      <c r="G23" s="1962"/>
      <c r="K23" s="1958"/>
    </row>
    <row r="24" spans="1:11" x14ac:dyDescent="0.2">
      <c r="A24" s="1069"/>
      <c r="B24" s="1069"/>
      <c r="C24" s="1959"/>
      <c r="D24" s="1959"/>
      <c r="E24" s="1959"/>
      <c r="F24" s="1959"/>
      <c r="K24" s="1958"/>
    </row>
    <row r="25" spans="1:11" x14ac:dyDescent="0.2">
      <c r="A25" s="1069"/>
      <c r="B25" s="1069"/>
      <c r="C25" s="1959"/>
      <c r="D25" s="1959"/>
      <c r="E25" s="1959"/>
      <c r="F25" s="1959"/>
      <c r="K25" s="1958"/>
    </row>
    <row r="26" spans="1:11" x14ac:dyDescent="0.2">
      <c r="A26" s="1069"/>
      <c r="B26" s="1069"/>
      <c r="C26" s="1069"/>
      <c r="D26" s="1069"/>
      <c r="E26" s="1069"/>
      <c r="F26" s="1069"/>
    </row>
    <row r="27" spans="1:11" x14ac:dyDescent="0.2">
      <c r="A27" s="1069"/>
      <c r="B27" s="1069"/>
      <c r="C27" s="1069"/>
      <c r="D27" s="1069"/>
      <c r="E27" s="1069"/>
      <c r="F27" s="1069"/>
    </row>
    <row r="28" spans="1:11" x14ac:dyDescent="0.2">
      <c r="A28" s="1069"/>
      <c r="B28" s="1069"/>
      <c r="C28" s="1069"/>
      <c r="D28" s="1069"/>
      <c r="E28" s="1069"/>
      <c r="F28" s="1069"/>
    </row>
    <row r="29" spans="1:11" x14ac:dyDescent="0.2">
      <c r="A29" s="1069"/>
      <c r="B29" s="1069"/>
      <c r="C29" s="1069"/>
      <c r="D29" s="1069"/>
      <c r="E29" s="1069"/>
      <c r="F29" s="1069"/>
    </row>
    <row r="30" spans="1:11" x14ac:dyDescent="0.2">
      <c r="A30" s="1069"/>
      <c r="B30" s="1069"/>
      <c r="C30" s="1069"/>
      <c r="D30" s="1069"/>
      <c r="E30" s="1069"/>
      <c r="F30" s="1069"/>
    </row>
    <row r="31" spans="1:11" x14ac:dyDescent="0.2">
      <c r="A31" s="1069"/>
      <c r="B31" s="1069"/>
      <c r="C31" s="1069"/>
      <c r="D31" s="1069"/>
      <c r="E31" s="1069"/>
      <c r="F31" s="1069"/>
    </row>
    <row r="32" spans="1:11" x14ac:dyDescent="0.2">
      <c r="A32" s="1069"/>
      <c r="B32" s="1069"/>
      <c r="C32" s="1069"/>
      <c r="D32" s="1069"/>
      <c r="E32" s="1069"/>
      <c r="F32" s="1069"/>
    </row>
    <row r="33" spans="1:6" x14ac:dyDescent="0.2">
      <c r="A33" s="1069"/>
      <c r="B33" s="1069"/>
      <c r="C33" s="1069"/>
      <c r="D33" s="1069"/>
      <c r="E33" s="1069"/>
      <c r="F33" s="1069"/>
    </row>
    <row r="34" spans="1:6" x14ac:dyDescent="0.2">
      <c r="A34" s="1069"/>
      <c r="B34" s="1069"/>
      <c r="C34" s="1069"/>
      <c r="D34" s="1069"/>
      <c r="E34" s="1069"/>
      <c r="F34" s="1069"/>
    </row>
    <row r="35" spans="1:6" x14ac:dyDescent="0.2">
      <c r="A35" s="1069"/>
      <c r="B35" s="1069"/>
      <c r="C35" s="1069"/>
      <c r="D35" s="1069"/>
      <c r="E35" s="1069"/>
      <c r="F35" s="1069"/>
    </row>
    <row r="36" spans="1:6" x14ac:dyDescent="0.2">
      <c r="A36" s="1069"/>
      <c r="B36" s="1069"/>
      <c r="C36" s="1069"/>
      <c r="D36" s="1069"/>
      <c r="E36" s="1069"/>
      <c r="F36" s="1069"/>
    </row>
    <row r="37" spans="1:6" x14ac:dyDescent="0.2">
      <c r="A37" s="1069"/>
      <c r="B37" s="1069"/>
      <c r="C37" s="1069"/>
      <c r="D37" s="1069"/>
      <c r="E37" s="1069"/>
      <c r="F37" s="1069"/>
    </row>
    <row r="38" spans="1:6" x14ac:dyDescent="0.2">
      <c r="A38" s="1069"/>
      <c r="B38" s="1069"/>
      <c r="C38" s="1069"/>
      <c r="D38" s="1069"/>
      <c r="E38" s="1069"/>
      <c r="F38" s="1069"/>
    </row>
    <row r="39" spans="1:6" x14ac:dyDescent="0.2">
      <c r="A39" s="1069"/>
      <c r="B39" s="1069"/>
      <c r="C39" s="1069"/>
      <c r="D39" s="1069"/>
      <c r="E39" s="1069"/>
      <c r="F39" s="1069"/>
    </row>
    <row r="40" spans="1:6" x14ac:dyDescent="0.2">
      <c r="A40" s="1069"/>
      <c r="B40" s="1069"/>
      <c r="C40" s="1069"/>
      <c r="D40" s="1069"/>
      <c r="E40" s="1069"/>
      <c r="F40" s="1069"/>
    </row>
    <row r="41" spans="1:6" x14ac:dyDescent="0.2">
      <c r="A41" s="1069"/>
      <c r="B41" s="1069"/>
      <c r="C41" s="1069"/>
      <c r="D41" s="1069"/>
      <c r="E41" s="1069"/>
      <c r="F41" s="1069"/>
    </row>
    <row r="42" spans="1:6" x14ac:dyDescent="0.2">
      <c r="A42" s="1069"/>
      <c r="B42" s="1069"/>
      <c r="C42" s="1069"/>
      <c r="D42" s="1069"/>
      <c r="E42" s="1069"/>
      <c r="F42" s="1069"/>
    </row>
    <row r="43" spans="1:6" x14ac:dyDescent="0.2">
      <c r="A43" s="1069"/>
      <c r="B43" s="1069"/>
      <c r="C43" s="1069"/>
      <c r="D43" s="1069"/>
      <c r="E43" s="1069"/>
      <c r="F43" s="1069"/>
    </row>
    <row r="44" spans="1:6" x14ac:dyDescent="0.2">
      <c r="A44" s="1069"/>
      <c r="B44" s="1069"/>
      <c r="C44" s="1069"/>
      <c r="D44" s="1069"/>
      <c r="E44" s="1069"/>
      <c r="F44" s="1069"/>
    </row>
    <row r="45" spans="1:6" x14ac:dyDescent="0.2">
      <c r="A45" s="1069"/>
      <c r="B45" s="1069"/>
      <c r="C45" s="1069"/>
      <c r="D45" s="1069"/>
      <c r="E45" s="1069"/>
      <c r="F45" s="1069"/>
    </row>
    <row r="46" spans="1:6" x14ac:dyDescent="0.2">
      <c r="A46" s="1069"/>
      <c r="B46" s="1069"/>
      <c r="C46" s="1069"/>
      <c r="D46" s="1069"/>
      <c r="E46" s="1069"/>
      <c r="F46" s="1069"/>
    </row>
    <row r="47" spans="1:6" x14ac:dyDescent="0.2">
      <c r="A47" s="1069"/>
      <c r="B47" s="1069"/>
      <c r="C47" s="1069"/>
      <c r="D47" s="1069"/>
      <c r="E47" s="1069"/>
      <c r="F47" s="1069"/>
    </row>
    <row r="48" spans="1:6" x14ac:dyDescent="0.2">
      <c r="A48" s="1069"/>
      <c r="B48" s="1069"/>
      <c r="C48" s="1069"/>
      <c r="D48" s="1069"/>
      <c r="E48" s="1069"/>
      <c r="F48" s="1069"/>
    </row>
    <row r="49" spans="1:6" x14ac:dyDescent="0.2">
      <c r="A49" s="1069"/>
      <c r="B49" s="1069"/>
      <c r="C49" s="1069"/>
      <c r="D49" s="1069"/>
      <c r="E49" s="1069"/>
      <c r="F49" s="1069"/>
    </row>
    <row r="50" spans="1:6" x14ac:dyDescent="0.2">
      <c r="A50" s="1069"/>
      <c r="B50" s="1069"/>
      <c r="C50" s="1069"/>
      <c r="D50" s="1069"/>
      <c r="E50" s="1069"/>
      <c r="F50" s="1069"/>
    </row>
    <row r="51" spans="1:6" x14ac:dyDescent="0.2">
      <c r="A51" s="1069"/>
      <c r="B51" s="1069"/>
      <c r="C51" s="1069"/>
      <c r="D51" s="1069"/>
      <c r="E51" s="1069"/>
      <c r="F51" s="1069"/>
    </row>
    <row r="52" spans="1:6" x14ac:dyDescent="0.2">
      <c r="A52" s="1069"/>
      <c r="B52" s="1069"/>
      <c r="C52" s="1069"/>
      <c r="D52" s="1069"/>
      <c r="E52" s="1069"/>
      <c r="F52" s="1069"/>
    </row>
    <row r="53" spans="1:6" x14ac:dyDescent="0.2">
      <c r="A53" s="1069"/>
      <c r="B53" s="1069"/>
      <c r="C53" s="1069"/>
      <c r="D53" s="1069"/>
      <c r="E53" s="1069"/>
      <c r="F53" s="1069"/>
    </row>
    <row r="54" spans="1:6" x14ac:dyDescent="0.2">
      <c r="A54" s="1069"/>
      <c r="B54" s="1069"/>
      <c r="C54" s="1069"/>
      <c r="D54" s="1069"/>
      <c r="E54" s="1069"/>
      <c r="F54" s="1069"/>
    </row>
    <row r="55" spans="1:6" x14ac:dyDescent="0.2">
      <c r="A55" s="1069"/>
      <c r="B55" s="1069"/>
      <c r="C55" s="1069"/>
      <c r="D55" s="1069"/>
      <c r="E55" s="1069"/>
      <c r="F55" s="1069"/>
    </row>
    <row r="56" spans="1:6" x14ac:dyDescent="0.2">
      <c r="A56" s="1069"/>
      <c r="B56" s="1069"/>
      <c r="C56" s="1069"/>
      <c r="D56" s="1069"/>
      <c r="E56" s="1069"/>
      <c r="F56" s="1069"/>
    </row>
    <row r="57" spans="1:6" x14ac:dyDescent="0.2">
      <c r="A57" s="1069"/>
      <c r="B57" s="1069"/>
      <c r="C57" s="1069"/>
      <c r="D57" s="1069"/>
      <c r="E57" s="1069"/>
      <c r="F57" s="1069"/>
    </row>
    <row r="58" spans="1:6" x14ac:dyDescent="0.2">
      <c r="A58" s="1069"/>
      <c r="B58" s="1069"/>
      <c r="C58" s="1069"/>
      <c r="D58" s="1069"/>
      <c r="E58" s="1069"/>
      <c r="F58" s="1069"/>
    </row>
    <row r="59" spans="1:6" x14ac:dyDescent="0.2">
      <c r="A59" s="1069"/>
      <c r="B59" s="1069"/>
      <c r="C59" s="1069"/>
      <c r="D59" s="1069"/>
      <c r="E59" s="1069"/>
      <c r="F59" s="1069"/>
    </row>
    <row r="60" spans="1:6" x14ac:dyDescent="0.2">
      <c r="A60" s="1069"/>
      <c r="B60" s="1069"/>
      <c r="C60" s="1069"/>
      <c r="D60" s="1069"/>
      <c r="E60" s="1069"/>
      <c r="F60" s="1069"/>
    </row>
    <row r="61" spans="1:6" x14ac:dyDescent="0.2">
      <c r="A61" s="1069"/>
      <c r="B61" s="1069"/>
      <c r="C61" s="1069"/>
      <c r="D61" s="1069"/>
      <c r="E61" s="1069"/>
      <c r="F61" s="1069"/>
    </row>
    <row r="62" spans="1:6" x14ac:dyDescent="0.2">
      <c r="B62" s="1069"/>
      <c r="C62" s="1069"/>
      <c r="D62" s="1069"/>
      <c r="E62" s="1069"/>
      <c r="F62" s="1069"/>
    </row>
    <row r="63" spans="1:6" x14ac:dyDescent="0.2">
      <c r="A63" s="258" t="str">
        <f>COVER!A17</f>
        <v>Venice CUSD 3</v>
      </c>
      <c r="B63" s="1069"/>
      <c r="C63" s="1069"/>
      <c r="D63" s="1069"/>
      <c r="E63" s="1069"/>
      <c r="F63" s="1069"/>
    </row>
    <row r="64" spans="1:6" x14ac:dyDescent="0.2">
      <c r="A64" s="1070">
        <f>COVER!A13</f>
        <v>41057003026</v>
      </c>
    </row>
  </sheetData>
  <phoneticPr fontId="14" type="noConversion"/>
  <pageMargins left="0.75"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A5" sqref="A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1706</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5" sqref="A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3" t="s">
        <v>1784</v>
      </c>
      <c r="B18" s="236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1276350</xdr:colOff>
                <xdr:row>3</xdr:row>
                <xdr:rowOff>0</xdr:rowOff>
              </from>
              <to>
                <xdr:col>1</xdr:col>
                <xdr:colOff>2190750</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5" sqref="A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1790</v>
      </c>
      <c r="B1" s="2365"/>
      <c r="C1" s="2365"/>
      <c r="D1" s="2365"/>
      <c r="E1" s="2365"/>
      <c r="F1" s="2366"/>
    </row>
    <row r="2" spans="1:8" ht="45" customHeight="1" x14ac:dyDescent="0.2">
      <c r="A2" s="2374" t="s">
        <v>1791</v>
      </c>
      <c r="B2" s="2375"/>
      <c r="C2" s="2375"/>
      <c r="D2" s="2375"/>
      <c r="E2" s="2375"/>
      <c r="F2" s="2376"/>
      <c r="G2" s="1074"/>
      <c r="H2" s="1074"/>
    </row>
    <row r="3" spans="1:8" ht="57" customHeight="1" x14ac:dyDescent="0.2">
      <c r="A3" s="2377" t="s">
        <v>1786</v>
      </c>
      <c r="B3" s="2378"/>
      <c r="C3" s="2378"/>
      <c r="D3" s="2378"/>
      <c r="E3" s="2378"/>
      <c r="F3" s="2379"/>
      <c r="G3" s="1074"/>
      <c r="H3" s="1074"/>
    </row>
    <row r="4" spans="1:8" ht="14.25" customHeight="1" x14ac:dyDescent="0.2">
      <c r="A4" s="2383" t="s">
        <v>2056</v>
      </c>
      <c r="B4" s="2384"/>
      <c r="C4" s="2384"/>
      <c r="D4" s="2384"/>
      <c r="E4" s="2384"/>
      <c r="F4" s="2385"/>
      <c r="G4" s="1074"/>
      <c r="H4" s="1074"/>
    </row>
    <row r="5" spans="1:8" ht="14.25" customHeight="1" x14ac:dyDescent="0.2">
      <c r="A5" s="2386" t="s">
        <v>2057</v>
      </c>
      <c r="B5" s="2387"/>
      <c r="C5" s="2387"/>
      <c r="D5" s="2387"/>
      <c r="E5" s="2387"/>
      <c r="F5" s="2388"/>
      <c r="G5" s="1074"/>
      <c r="H5" s="1074"/>
    </row>
    <row r="6" spans="1:8" s="1075" customFormat="1" ht="41.25" customHeight="1" x14ac:dyDescent="0.2">
      <c r="A6" s="2380" t="s">
        <v>1792</v>
      </c>
      <c r="B6" s="2381"/>
      <c r="C6" s="2381"/>
      <c r="D6" s="2381"/>
      <c r="E6" s="2381"/>
      <c r="F6" s="238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2362574</v>
      </c>
      <c r="C8" s="1837">
        <f>'Acct Summary 7-8'!D8</f>
        <v>124341</v>
      </c>
      <c r="D8" s="1837">
        <f>'Acct Summary 7-8'!F8</f>
        <v>156407</v>
      </c>
      <c r="E8" s="1837">
        <f>'Acct Summary 7-8'!I8</f>
        <v>5024</v>
      </c>
      <c r="F8" s="1837">
        <f>SUM(B8:E8)</f>
        <v>2648346</v>
      </c>
    </row>
    <row r="9" spans="1:8" s="1079" customFormat="1" ht="14.25" customHeight="1" thickBot="1" x14ac:dyDescent="0.25">
      <c r="A9" s="1078" t="s">
        <v>1436</v>
      </c>
      <c r="B9" s="1838">
        <f>'Acct Summary 7-8'!C17</f>
        <v>2088282</v>
      </c>
      <c r="C9" s="1838">
        <f>'Acct Summary 7-8'!D17</f>
        <v>220693</v>
      </c>
      <c r="D9" s="1838">
        <f>'Acct Summary 7-8'!F17</f>
        <v>163040</v>
      </c>
      <c r="E9" s="1837"/>
      <c r="F9" s="1837">
        <f>SUM(B9:E9)</f>
        <v>2472015</v>
      </c>
    </row>
    <row r="10" spans="1:8" s="1079" customFormat="1" ht="14.25" thickTop="1" thickBot="1" x14ac:dyDescent="0.25">
      <c r="A10" s="1080" t="s">
        <v>1437</v>
      </c>
      <c r="B10" s="1839">
        <f>(B8-B9)</f>
        <v>274292</v>
      </c>
      <c r="C10" s="1839">
        <f>(C8-C9)</f>
        <v>-96352</v>
      </c>
      <c r="D10" s="1839">
        <f>(D8-D9)</f>
        <v>-6633</v>
      </c>
      <c r="E10" s="1838">
        <f>(E8-E9)</f>
        <v>5024</v>
      </c>
      <c r="F10" s="1840">
        <f>SUM(F8-F9)</f>
        <v>176331</v>
      </c>
    </row>
    <row r="11" spans="1:8" s="1079" customFormat="1" ht="14.25" thickTop="1" thickBot="1" x14ac:dyDescent="0.25">
      <c r="A11" s="1081" t="s">
        <v>1785</v>
      </c>
      <c r="B11" s="1841">
        <f>'Acct Summary 7-8'!C81</f>
        <v>2109046</v>
      </c>
      <c r="C11" s="1841">
        <f>'Acct Summary 7-8'!D81</f>
        <v>164078</v>
      </c>
      <c r="D11" s="1841">
        <f>'Acct Summary 7-8'!F81</f>
        <v>49745</v>
      </c>
      <c r="E11" s="1841">
        <f>'Acct Summary 7-8'!I81</f>
        <v>64926</v>
      </c>
      <c r="F11" s="1842">
        <f>SUM(B11:E11)</f>
        <v>2387795</v>
      </c>
    </row>
    <row r="12" spans="1:8" ht="16.5" customHeight="1" thickTop="1" x14ac:dyDescent="0.2">
      <c r="A12" s="1082"/>
      <c r="B12" s="1083"/>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4"/>
      <c r="B13" s="1085"/>
      <c r="C13" s="2368"/>
      <c r="D13" s="2369"/>
      <c r="E13" s="2369"/>
      <c r="F13" s="2370"/>
      <c r="H13" s="1074"/>
    </row>
    <row r="14" spans="1:8" ht="19.5" customHeight="1" x14ac:dyDescent="0.2">
      <c r="A14" s="1084"/>
      <c r="B14" s="1085"/>
      <c r="C14" s="2368"/>
      <c r="D14" s="2369"/>
      <c r="E14" s="2369"/>
      <c r="F14" s="2370"/>
      <c r="H14" s="1074"/>
    </row>
    <row r="15" spans="1:8" ht="17.25" customHeight="1" x14ac:dyDescent="0.2">
      <c r="A15" s="1084"/>
      <c r="B15" s="1085"/>
      <c r="C15" s="2371"/>
      <c r="D15" s="2372"/>
      <c r="E15" s="2372"/>
      <c r="F15" s="2373"/>
      <c r="H15" s="1074"/>
    </row>
    <row r="16" spans="1:8" s="310" customFormat="1" ht="51.75" hidden="1" customHeight="1" x14ac:dyDescent="0.2">
      <c r="A16" s="2367" t="s">
        <v>1787</v>
      </c>
      <c r="B16" s="2367"/>
      <c r="C16" s="2367"/>
      <c r="D16" s="2367"/>
      <c r="E16" s="2367"/>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9" t="s">
        <v>686</v>
      </c>
      <c r="B3" s="2390"/>
      <c r="C3" s="2390"/>
      <c r="D3" s="2391"/>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0" t="s">
        <v>1584</v>
      </c>
      <c r="D7" s="2401"/>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4" t="s">
        <v>332</v>
      </c>
      <c r="D21" s="2405"/>
    </row>
    <row r="22" spans="1:10" ht="12.75" x14ac:dyDescent="0.2">
      <c r="A22" s="1139"/>
      <c r="B22" s="1140">
        <v>2</v>
      </c>
      <c r="C22" s="2402" t="s">
        <v>1605</v>
      </c>
      <c r="D22" s="240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6" t="s">
        <v>557</v>
      </c>
      <c r="D43" s="240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8" t="s">
        <v>817</v>
      </c>
      <c r="D56" s="239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8" t="s">
        <v>1797</v>
      </c>
      <c r="D70" s="239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41057003026</v>
      </c>
    </row>
    <row r="3" spans="1:2" x14ac:dyDescent="0.2">
      <c r="A3" t="s">
        <v>1013</v>
      </c>
      <c r="B3" s="138" t="str">
        <f>COVER!A15</f>
        <v xml:space="preserve">Madison </v>
      </c>
    </row>
    <row r="4" spans="1:2" x14ac:dyDescent="0.2">
      <c r="A4" t="s">
        <v>1064</v>
      </c>
      <c r="B4" s="138" t="str">
        <f>COVER!A17</f>
        <v>Venice CUSD 3</v>
      </c>
    </row>
    <row r="5" spans="1:2" x14ac:dyDescent="0.2">
      <c r="A5" t="s">
        <v>728</v>
      </c>
      <c r="B5" s="138" t="str">
        <f>COVER!A38</f>
        <v xml:space="preserve">Brian Brink </v>
      </c>
    </row>
    <row r="6" spans="1:2" x14ac:dyDescent="0.2">
      <c r="A6" t="s">
        <v>733</v>
      </c>
      <c r="B6" s="138">
        <f>COVER!P35</f>
        <v>0</v>
      </c>
    </row>
    <row r="7" spans="1:2" x14ac:dyDescent="0.2">
      <c r="A7" t="s">
        <v>729</v>
      </c>
      <c r="B7" s="138">
        <f>COVER!I38</f>
        <v>0</v>
      </c>
    </row>
    <row r="8" spans="1:2" x14ac:dyDescent="0.2">
      <c r="A8" t="s">
        <v>730</v>
      </c>
      <c r="B8" s="138" t="str">
        <f>COVER!T38</f>
        <v>Dr. Robert A Daiber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065-026956</v>
      </c>
    </row>
    <row r="16" spans="1:2" x14ac:dyDescent="0.2">
      <c r="A16" t="s">
        <v>442</v>
      </c>
      <c r="B16" s="138" t="str">
        <f>COVER!T13</f>
        <v xml:space="preserve">Scheffel Boyle </v>
      </c>
    </row>
    <row r="17" spans="1:2" x14ac:dyDescent="0.2">
      <c r="A17" t="s">
        <v>939</v>
      </c>
      <c r="B17" s="138" t="str">
        <f>COVER!T15</f>
        <v>Dale Holtmann</v>
      </c>
    </row>
    <row r="18" spans="1:2" x14ac:dyDescent="0.2">
      <c r="A18" t="s">
        <v>1212</v>
      </c>
      <c r="B18" s="138" t="str">
        <f>COVER!T17</f>
        <v xml:space="preserve">222 East Main Street </v>
      </c>
    </row>
    <row r="19" spans="1:2" x14ac:dyDescent="0.2">
      <c r="A19" t="s">
        <v>941</v>
      </c>
      <c r="B19" s="138">
        <f>COVER!T25</f>
        <v>0</v>
      </c>
    </row>
    <row r="20" spans="1:2" x14ac:dyDescent="0.2">
      <c r="A20" t="s">
        <v>942</v>
      </c>
      <c r="B20" s="138" t="str">
        <f>COVER!T19</f>
        <v xml:space="preserve">Belleville </v>
      </c>
    </row>
    <row r="21" spans="1:2" x14ac:dyDescent="0.2">
      <c r="A21" t="s">
        <v>500</v>
      </c>
      <c r="B21" s="138" t="str">
        <f>COVER!X19</f>
        <v xml:space="preserve">IL </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1000059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2109106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60</v>
      </c>
      <c r="C91" s="2" t="s">
        <v>594</v>
      </c>
      <c r="D91" s="2" t="str">
        <f t="shared" si="0"/>
        <v>Error?</v>
      </c>
    </row>
    <row r="92" spans="1:4" x14ac:dyDescent="0.2">
      <c r="A92" s="5">
        <v>31</v>
      </c>
      <c r="B92" s="138">
        <f>'Assets-Liab 5-6'!C39</f>
        <v>2109046</v>
      </c>
      <c r="D92" s="2" t="str">
        <f t="shared" si="0"/>
        <v>Error?</v>
      </c>
    </row>
    <row r="93" spans="1:4" x14ac:dyDescent="0.2">
      <c r="A93" s="5">
        <v>32</v>
      </c>
      <c r="B93" s="138">
        <f>'Assets-Liab 5-6'!C41</f>
        <v>2109106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164468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390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390</v>
      </c>
      <c r="C122" s="2" t="s">
        <v>594</v>
      </c>
      <c r="D122" s="2" t="str">
        <f t="shared" si="0"/>
        <v>Error?</v>
      </c>
    </row>
    <row r="123" spans="1:4" x14ac:dyDescent="0.2">
      <c r="A123" s="5">
        <v>62</v>
      </c>
      <c r="B123" s="138">
        <f>'Assets-Liab 5-6'!D39</f>
        <v>164078</v>
      </c>
      <c r="D123" s="2" t="str">
        <f t="shared" si="0"/>
        <v>Error?</v>
      </c>
    </row>
    <row r="124" spans="1:4" x14ac:dyDescent="0.2">
      <c r="A124" s="5">
        <v>63</v>
      </c>
      <c r="B124" s="138">
        <f>'Assets-Liab 5-6'!D41</f>
        <v>164468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49873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128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128</v>
      </c>
      <c r="C169" s="2" t="s">
        <v>594</v>
      </c>
      <c r="D169" s="2" t="str">
        <f t="shared" si="1"/>
        <v>Error?</v>
      </c>
    </row>
    <row r="170" spans="1:4" x14ac:dyDescent="0.2">
      <c r="A170" s="5">
        <v>109</v>
      </c>
      <c r="B170" s="138">
        <f>'Assets-Liab 5-6'!F39</f>
        <v>49745</v>
      </c>
      <c r="D170" s="2" t="str">
        <f t="shared" si="1"/>
        <v>Error?</v>
      </c>
    </row>
    <row r="171" spans="1:4" x14ac:dyDescent="0.2">
      <c r="A171" s="5">
        <v>110</v>
      </c>
      <c r="B171" s="138">
        <f>'Assets-Liab 5-6'!F41</f>
        <v>49873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17821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1000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1000</v>
      </c>
      <c r="C188" s="2" t="s">
        <v>594</v>
      </c>
      <c r="D188" s="2" t="str">
        <f t="shared" si="1"/>
        <v>Error?</v>
      </c>
    </row>
    <row r="189" spans="1:4" x14ac:dyDescent="0.2">
      <c r="A189" s="5">
        <v>128</v>
      </c>
      <c r="B189" s="138">
        <f>'Assets-Liab 5-6'!G39</f>
        <v>16821</v>
      </c>
      <c r="D189" s="2" t="str">
        <f t="shared" si="1"/>
        <v>Error?</v>
      </c>
    </row>
    <row r="190" spans="1:4" x14ac:dyDescent="0.2">
      <c r="A190" s="5">
        <v>129</v>
      </c>
      <c r="B190" s="138">
        <f>'Assets-Liab 5-6'!G41</f>
        <v>17821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34</v>
      </c>
      <c r="D212" s="2" t="str">
        <f t="shared" si="2"/>
        <v>Error?</v>
      </c>
    </row>
    <row r="213" spans="1:4" x14ac:dyDescent="0.2">
      <c r="A213" s="12">
        <v>152</v>
      </c>
      <c r="B213" s="138">
        <f>'Assets-Liab 5-6'!H41</f>
        <v>34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2649503</v>
      </c>
      <c r="D274" s="2" t="str">
        <f t="shared" si="3"/>
        <v>Error?</v>
      </c>
    </row>
    <row r="275" spans="1:4" x14ac:dyDescent="0.2">
      <c r="A275" s="5">
        <v>214</v>
      </c>
      <c r="B275" s="138">
        <f>'Assets-Liab 5-6'!M18</f>
        <v>6018</v>
      </c>
      <c r="D275" s="2" t="str">
        <f t="shared" si="3"/>
        <v>Error?</v>
      </c>
    </row>
    <row r="276" spans="1:4" x14ac:dyDescent="0.2">
      <c r="A276" s="5">
        <v>215</v>
      </c>
      <c r="B276" s="138">
        <f>'Assets-Liab 5-6'!M19</f>
        <v>91798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2747319</v>
      </c>
      <c r="C279" s="2" t="s">
        <v>594</v>
      </c>
      <c r="D279" s="2" t="str">
        <f t="shared" si="3"/>
        <v>Error?</v>
      </c>
    </row>
    <row r="280" spans="1:4" x14ac:dyDescent="0.2">
      <c r="A280" s="5">
        <v>219</v>
      </c>
      <c r="B280" s="138">
        <f>'Assets-Liab 5-6'!M40</f>
        <v>2747319</v>
      </c>
      <c r="D280" s="2" t="str">
        <f t="shared" si="3"/>
        <v>Error?</v>
      </c>
    </row>
    <row r="281" spans="1:4" x14ac:dyDescent="0.2">
      <c r="A281" s="5">
        <v>220</v>
      </c>
      <c r="B281" s="138">
        <f>'Assets-Liab 5-6'!M41</f>
        <v>2747319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401895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7696</v>
      </c>
      <c r="D718" s="2" t="str">
        <f t="shared" si="10"/>
        <v>Error?</v>
      </c>
    </row>
    <row r="719" spans="1:4" x14ac:dyDescent="0.2">
      <c r="A719" s="5">
        <v>658</v>
      </c>
      <c r="B719" s="138">
        <f>'Expenditures 15-22'!C15</f>
        <v>20500</v>
      </c>
      <c r="D719" s="2" t="str">
        <f t="shared" si="10"/>
        <v>Error?</v>
      </c>
    </row>
    <row r="720" spans="1:4" x14ac:dyDescent="0.2">
      <c r="A720" s="5">
        <v>659</v>
      </c>
      <c r="B720" s="138">
        <f>'Expenditures 15-22'!C33</f>
        <v>696144</v>
      </c>
      <c r="C720" s="2" t="s">
        <v>594</v>
      </c>
      <c r="D720" s="2" t="str">
        <f t="shared" si="10"/>
        <v>Error?</v>
      </c>
    </row>
    <row r="721" spans="1:4" x14ac:dyDescent="0.2">
      <c r="A721" s="5">
        <v>660</v>
      </c>
      <c r="B721" s="138">
        <f>'Expenditures 15-22'!C36</f>
        <v>18186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11091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29277</v>
      </c>
      <c r="C727" s="2" t="s">
        <v>594</v>
      </c>
      <c r="D727" s="2" t="str">
        <f t="shared" si="10"/>
        <v>Error?</v>
      </c>
    </row>
    <row r="728" spans="1:4" x14ac:dyDescent="0.2">
      <c r="A728" s="5">
        <v>667</v>
      </c>
      <c r="B728" s="138">
        <f>'Expenditures 15-22'!C44</f>
        <v>1200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1200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166681</v>
      </c>
      <c r="D733" s="2" t="str">
        <f t="shared" si="10"/>
        <v>Error?</v>
      </c>
    </row>
    <row r="734" spans="1:4" x14ac:dyDescent="0.2">
      <c r="A734" s="5">
        <v>673</v>
      </c>
      <c r="B734" s="138">
        <f>'Expenditures 15-22'!C53</f>
        <v>166681</v>
      </c>
      <c r="C734" s="2" t="s">
        <v>594</v>
      </c>
      <c r="D734" s="2" t="str">
        <f t="shared" si="10"/>
        <v>Error?</v>
      </c>
    </row>
    <row r="735" spans="1:4" x14ac:dyDescent="0.2">
      <c r="A735" s="5">
        <v>674</v>
      </c>
      <c r="B735" s="138">
        <f>'Expenditures 15-22'!C55</f>
        <v>131136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131136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33769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42193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75962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30819</v>
      </c>
      <c r="D754" s="2" t="str">
        <f t="shared" si="10"/>
        <v>Error?</v>
      </c>
    </row>
    <row r="755" spans="1:4" x14ac:dyDescent="0.2">
      <c r="A755" s="5">
        <v>694</v>
      </c>
      <c r="B755" s="138">
        <f>'Expenditures 15-22'!C74</f>
        <v>435075</v>
      </c>
      <c r="C755" s="2" t="s">
        <v>594</v>
      </c>
      <c r="D755" s="2" t="str">
        <f t="shared" si="10"/>
        <v>Error?</v>
      </c>
    </row>
    <row r="756" spans="1:4" x14ac:dyDescent="0.2">
      <c r="A756" s="5">
        <v>695</v>
      </c>
      <c r="B756" s="138">
        <f>'Expenditures 15-22'!C75</f>
        <v>37969</v>
      </c>
      <c r="D756" s="2" t="str">
        <f t="shared" si="10"/>
        <v>Error?</v>
      </c>
    </row>
    <row r="757" spans="1:4" x14ac:dyDescent="0.2">
      <c r="A757" s="5">
        <v>696</v>
      </c>
      <c r="B757" s="138">
        <f>'Expenditures 15-22'!C114</f>
        <v>1169188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87803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5227</v>
      </c>
      <c r="D777" s="2" t="str">
        <f t="shared" si="11"/>
        <v>Error?</v>
      </c>
    </row>
    <row r="778" spans="1:4" x14ac:dyDescent="0.2">
      <c r="A778" s="5">
        <v>717</v>
      </c>
      <c r="B778" s="138">
        <f>'Expenditures 15-22'!D33</f>
        <v>121909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1998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1998</v>
      </c>
      <c r="C785" s="2" t="s">
        <v>594</v>
      </c>
      <c r="D785" s="2" t="str">
        <f t="shared" si="11"/>
        <v>Error?</v>
      </c>
    </row>
    <row r="786" spans="1:4" x14ac:dyDescent="0.2">
      <c r="A786" s="5">
        <v>725</v>
      </c>
      <c r="B786" s="138">
        <f>'Expenditures 15-22'!D44</f>
        <v>3239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3239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23930</v>
      </c>
      <c r="D791" s="2" t="str">
        <f t="shared" si="11"/>
        <v>Error?</v>
      </c>
    </row>
    <row r="792" spans="1:4" x14ac:dyDescent="0.2">
      <c r="A792" s="5">
        <v>731</v>
      </c>
      <c r="B792" s="138">
        <f>'Expenditures 15-22'!D53</f>
        <v>23930</v>
      </c>
      <c r="C792" s="2" t="s">
        <v>594</v>
      </c>
      <c r="D792" s="2" t="str">
        <f t="shared" si="11"/>
        <v>Error?</v>
      </c>
    </row>
    <row r="793" spans="1:4" x14ac:dyDescent="0.2">
      <c r="A793" s="5">
        <v>732</v>
      </c>
      <c r="B793" s="138">
        <f>'Expenditures 15-22'!D55</f>
        <v>22977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22977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7527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7569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1225</v>
      </c>
      <c r="D812" s="2" t="str">
        <f t="shared" si="11"/>
        <v>Error?</v>
      </c>
    </row>
    <row r="813" spans="1:4" x14ac:dyDescent="0.2">
      <c r="A813" s="5">
        <v>752</v>
      </c>
      <c r="B813" s="138">
        <f>'Expenditures 15-22'!D74</f>
        <v>60938</v>
      </c>
      <c r="C813" s="2" t="s">
        <v>594</v>
      </c>
      <c r="D813" s="2" t="str">
        <f t="shared" si="11"/>
        <v>Error?</v>
      </c>
    </row>
    <row r="814" spans="1:4" x14ac:dyDescent="0.2">
      <c r="A814" s="5">
        <v>753</v>
      </c>
      <c r="B814" s="138">
        <f>'Expenditures 15-22'!D75</f>
        <v>2020</v>
      </c>
      <c r="D814" s="2" t="str">
        <f t="shared" si="11"/>
        <v>Error?</v>
      </c>
    </row>
    <row r="815" spans="1:4" x14ac:dyDescent="0.2">
      <c r="A815" s="5">
        <v>754</v>
      </c>
      <c r="B815" s="138">
        <f>'Expenditures 15-22'!D114</f>
        <v>184867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18426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511</v>
      </c>
      <c r="D835" s="2" t="str">
        <f t="shared" si="12"/>
        <v>Error?</v>
      </c>
    </row>
    <row r="836" spans="1:4" x14ac:dyDescent="0.2">
      <c r="A836" s="5">
        <v>775</v>
      </c>
      <c r="B836" s="138">
        <f>'Expenditures 15-22'!E33</f>
        <v>27872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11655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11664</v>
      </c>
      <c r="C843" s="2" t="s">
        <v>594</v>
      </c>
      <c r="D843" s="2" t="str">
        <f t="shared" si="12"/>
        <v>Error?</v>
      </c>
    </row>
    <row r="844" spans="1:4" x14ac:dyDescent="0.2">
      <c r="A844" s="5">
        <v>783</v>
      </c>
      <c r="B844" s="138">
        <f>'Expenditures 15-22'!E44</f>
        <v>52179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52179</v>
      </c>
      <c r="C847" s="2" t="s">
        <v>594</v>
      </c>
      <c r="D847" s="2" t="str">
        <f t="shared" si="12"/>
        <v>Error?</v>
      </c>
    </row>
    <row r="848" spans="1:4" x14ac:dyDescent="0.2">
      <c r="A848" s="5">
        <v>787</v>
      </c>
      <c r="B848" s="138">
        <f>'Expenditures 15-22'!E49</f>
        <v>39709</v>
      </c>
      <c r="D848" s="2" t="str">
        <f t="shared" si="12"/>
        <v>Error?</v>
      </c>
    </row>
    <row r="849" spans="1:4" x14ac:dyDescent="0.2">
      <c r="A849" s="5">
        <v>788</v>
      </c>
      <c r="B849" s="138">
        <f>'Expenditures 15-22'!E50</f>
        <v>9361</v>
      </c>
      <c r="D849" s="2" t="str">
        <f t="shared" si="12"/>
        <v>Error?</v>
      </c>
    </row>
    <row r="850" spans="1:4" x14ac:dyDescent="0.2">
      <c r="A850" s="5">
        <v>789</v>
      </c>
      <c r="B850" s="138">
        <f>'Expenditures 15-22'!E53</f>
        <v>49070</v>
      </c>
      <c r="C850" s="2" t="s">
        <v>594</v>
      </c>
      <c r="D850" s="2" t="str">
        <f t="shared" si="12"/>
        <v>Error?</v>
      </c>
    </row>
    <row r="851" spans="1:4" x14ac:dyDescent="0.2">
      <c r="A851" s="5">
        <v>790</v>
      </c>
      <c r="B851" s="138">
        <f>'Expenditures 15-22'!E55</f>
        <v>7911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7911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16871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17809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1500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10943</v>
      </c>
      <c r="D867" s="2" t="str">
        <f t="shared" si="12"/>
        <v>Error?</v>
      </c>
    </row>
    <row r="868" spans="1:4" x14ac:dyDescent="0.2">
      <c r="A868" s="10">
        <v>807</v>
      </c>
      <c r="D868" s="2" t="str">
        <f t="shared" si="12"/>
        <v>OK</v>
      </c>
    </row>
    <row r="869" spans="1:4" x14ac:dyDescent="0.2">
      <c r="A869" s="5">
        <v>808</v>
      </c>
      <c r="B869" s="138">
        <f>'Expenditures 15-22'!E72</f>
        <v>12443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151076</v>
      </c>
      <c r="C871" s="2" t="s">
        <v>594</v>
      </c>
      <c r="D871" s="2" t="str">
        <f t="shared" si="12"/>
        <v>Error?</v>
      </c>
    </row>
    <row r="872" spans="1:4" x14ac:dyDescent="0.2">
      <c r="A872" s="5">
        <v>811</v>
      </c>
      <c r="B872" s="138">
        <f>'Expenditures 15-22'!E75</f>
        <v>10963</v>
      </c>
      <c r="D872" s="2" t="str">
        <f t="shared" si="12"/>
        <v>Error?</v>
      </c>
    </row>
    <row r="873" spans="1:4" x14ac:dyDescent="0.2">
      <c r="A873" s="5">
        <v>812</v>
      </c>
      <c r="B873" s="138">
        <f>'Expenditures 15-22'!E114</f>
        <v>189911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30446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1213</v>
      </c>
      <c r="D892" s="2" t="str">
        <f t="shared" si="12"/>
        <v>Error?</v>
      </c>
    </row>
    <row r="893" spans="1:4" x14ac:dyDescent="0.2">
      <c r="A893" s="5">
        <v>832</v>
      </c>
      <c r="B893" s="138">
        <f>'Expenditures 15-22'!F15</f>
        <v>1592</v>
      </c>
      <c r="D893" s="2" t="str">
        <f t="shared" si="12"/>
        <v>Error?</v>
      </c>
    </row>
    <row r="894" spans="1:4" x14ac:dyDescent="0.2">
      <c r="A894" s="5">
        <v>833</v>
      </c>
      <c r="B894" s="138">
        <f>'Expenditures 15-22'!F33</f>
        <v>60388</v>
      </c>
      <c r="C894" s="2" t="s">
        <v>594</v>
      </c>
      <c r="D894" s="2" t="str">
        <f t="shared" si="12"/>
        <v>Error?</v>
      </c>
    </row>
    <row r="895" spans="1:4" x14ac:dyDescent="0.2">
      <c r="A895" s="5">
        <v>834</v>
      </c>
      <c r="B895" s="138">
        <f>'Expenditures 15-22'!F36</f>
        <v>613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161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774</v>
      </c>
      <c r="C901" s="2" t="s">
        <v>594</v>
      </c>
      <c r="D901" s="2" t="str">
        <f t="shared" si="13"/>
        <v>Error?</v>
      </c>
    </row>
    <row r="902" spans="1:4" x14ac:dyDescent="0.2">
      <c r="A902" s="5">
        <v>841</v>
      </c>
      <c r="B902" s="138">
        <f>'Expenditures 15-22'!F44</f>
        <v>1796</v>
      </c>
      <c r="D902" s="2" t="str">
        <f t="shared" si="13"/>
        <v>Error?</v>
      </c>
    </row>
    <row r="903" spans="1:4" x14ac:dyDescent="0.2">
      <c r="A903" s="5">
        <v>842</v>
      </c>
      <c r="B903" s="138">
        <f>'Expenditures 15-22'!F45</f>
        <v>14661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16457</v>
      </c>
      <c r="C905" s="2" t="s">
        <v>594</v>
      </c>
      <c r="D905" s="2" t="str">
        <f t="shared" si="13"/>
        <v>Error?</v>
      </c>
    </row>
    <row r="906" spans="1:4" x14ac:dyDescent="0.2">
      <c r="A906" s="5">
        <v>845</v>
      </c>
      <c r="B906" s="138">
        <f>'Expenditures 15-22'!F49</f>
        <v>1297</v>
      </c>
      <c r="D906" s="2" t="str">
        <f t="shared" si="13"/>
        <v>Error?</v>
      </c>
    </row>
    <row r="907" spans="1:4" x14ac:dyDescent="0.2">
      <c r="A907" s="5">
        <v>846</v>
      </c>
      <c r="B907" s="138">
        <f>'Expenditures 15-22'!F50</f>
        <v>3436</v>
      </c>
      <c r="D907" s="2" t="str">
        <f t="shared" si="13"/>
        <v>Error?</v>
      </c>
    </row>
    <row r="908" spans="1:4" x14ac:dyDescent="0.2">
      <c r="A908" s="5">
        <v>847</v>
      </c>
      <c r="B908" s="138">
        <f>'Expenditures 15-22'!F53</f>
        <v>4733</v>
      </c>
      <c r="C908" s="2" t="s">
        <v>594</v>
      </c>
      <c r="D908" s="2" t="str">
        <f t="shared" si="13"/>
        <v>Error?</v>
      </c>
    </row>
    <row r="909" spans="1:4" x14ac:dyDescent="0.2">
      <c r="A909" s="5">
        <v>848</v>
      </c>
      <c r="B909" s="138">
        <f>'Expenditures 15-22'!F55</f>
        <v>988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988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43269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44480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3477</v>
      </c>
      <c r="D925" s="2" t="str">
        <f t="shared" si="13"/>
        <v>Error?</v>
      </c>
    </row>
    <row r="926" spans="1:4" x14ac:dyDescent="0.2">
      <c r="A926" s="10">
        <v>865</v>
      </c>
      <c r="D926" s="2" t="str">
        <f t="shared" si="13"/>
        <v>OK</v>
      </c>
    </row>
    <row r="927" spans="1:4" x14ac:dyDescent="0.2">
      <c r="A927" s="5">
        <v>866</v>
      </c>
      <c r="B927" s="138">
        <f>'Expenditures 15-22'!F72</f>
        <v>3477</v>
      </c>
      <c r="C927" s="2" t="s">
        <v>594</v>
      </c>
      <c r="D927" s="2" t="str">
        <f t="shared" si="13"/>
        <v>Error?</v>
      </c>
    </row>
    <row r="928" spans="1:4" x14ac:dyDescent="0.2">
      <c r="A928" s="5">
        <v>867</v>
      </c>
      <c r="B928" s="138">
        <f>'Expenditures 15-22'!F73</f>
        <v>3348</v>
      </c>
      <c r="D928" s="2" t="str">
        <f t="shared" si="13"/>
        <v>Error?</v>
      </c>
    </row>
    <row r="929" spans="1:4" x14ac:dyDescent="0.2">
      <c r="A929" s="5">
        <v>868</v>
      </c>
      <c r="B929" s="138">
        <f>'Expenditures 15-22'!F74</f>
        <v>74257</v>
      </c>
      <c r="C929" s="2" t="s">
        <v>594</v>
      </c>
      <c r="D929" s="2" t="str">
        <f t="shared" si="13"/>
        <v>Error?</v>
      </c>
    </row>
    <row r="930" spans="1:4" x14ac:dyDescent="0.2">
      <c r="A930" s="5">
        <v>869</v>
      </c>
      <c r="B930" s="138">
        <f>'Expenditures 15-22'!F75</f>
        <v>4835</v>
      </c>
      <c r="D930" s="2" t="str">
        <f t="shared" si="13"/>
        <v>Error?</v>
      </c>
    </row>
    <row r="931" spans="1:4" x14ac:dyDescent="0.2">
      <c r="A931" s="5">
        <v>870</v>
      </c>
      <c r="B931" s="138">
        <f>'Expenditures 15-22'!F114</f>
        <v>139480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6923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6923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6923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6923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157591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1990</v>
      </c>
      <c r="D1020" s="2" t="str">
        <f t="shared" si="14"/>
        <v>Error?</v>
      </c>
    </row>
    <row r="1021" spans="1:4" x14ac:dyDescent="0.2">
      <c r="A1021" s="5">
        <v>960</v>
      </c>
      <c r="B1021" s="138">
        <f>'Expenditures 15-22'!H47</f>
        <v>1990</v>
      </c>
      <c r="C1021" s="2" t="s">
        <v>594</v>
      </c>
      <c r="D1021" s="2" t="str">
        <f t="shared" si="14"/>
        <v>Error?</v>
      </c>
    </row>
    <row r="1022" spans="1:4" x14ac:dyDescent="0.2">
      <c r="A1022" s="5">
        <v>961</v>
      </c>
      <c r="B1022" s="138">
        <f>'Expenditures 15-22'!H49</f>
        <v>32193</v>
      </c>
      <c r="D1022" s="2" t="str">
        <f t="shared" si="14"/>
        <v>Error?</v>
      </c>
    </row>
    <row r="1023" spans="1:4" x14ac:dyDescent="0.2">
      <c r="A1023" s="5">
        <v>962</v>
      </c>
      <c r="B1023" s="138">
        <f>'Expenditures 15-22'!H50</f>
        <v>1342</v>
      </c>
      <c r="D1023" s="2" t="str">
        <f t="shared" ref="D1023:D1086" si="15">IF(ISBLANK(B1023),"OK",IF(A1023-B1023=0,"OK","Error?"))</f>
        <v>Error?</v>
      </c>
    </row>
    <row r="1024" spans="1:4" x14ac:dyDescent="0.2">
      <c r="A1024" s="5">
        <v>963</v>
      </c>
      <c r="B1024" s="138">
        <f>'Expenditures 15-22'!H53</f>
        <v>33535</v>
      </c>
      <c r="C1024" s="2" t="s">
        <v>594</v>
      </c>
      <c r="D1024" s="2" t="str">
        <f t="shared" si="15"/>
        <v>Error?</v>
      </c>
    </row>
    <row r="1025" spans="1:4" x14ac:dyDescent="0.2">
      <c r="A1025" s="5">
        <v>964</v>
      </c>
      <c r="B1025" s="138">
        <f>'Expenditures 15-22'!H55</f>
        <v>560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560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9903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1097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11000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47085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192169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396845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538695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9204</v>
      </c>
      <c r="C1106" s="2" t="s">
        <v>594</v>
      </c>
      <c r="D1106" s="2" t="str">
        <f t="shared" si="16"/>
        <v>Error?</v>
      </c>
    </row>
    <row r="1107" spans="1:4" x14ac:dyDescent="0.2">
      <c r="A1107" s="5">
        <v>1046</v>
      </c>
      <c r="B1107" s="138">
        <f>'Expenditures 15-22'!K15</f>
        <v>27830</v>
      </c>
      <c r="C1107" s="2" t="s">
        <v>594</v>
      </c>
      <c r="D1107" s="2" t="str">
        <f t="shared" si="16"/>
        <v>Error?</v>
      </c>
    </row>
    <row r="1108" spans="1:4" x14ac:dyDescent="0.2">
      <c r="A1108" s="5">
        <v>1047</v>
      </c>
      <c r="B1108" s="138">
        <f>'Expenditures 15-22'!K33</f>
        <v>1063904</v>
      </c>
      <c r="C1108" s="2" t="s">
        <v>594</v>
      </c>
      <c r="D1108" s="2" t="str">
        <f t="shared" si="16"/>
        <v>Error?</v>
      </c>
    </row>
    <row r="1109" spans="1:4" x14ac:dyDescent="0.2">
      <c r="A1109" s="5">
        <v>1048</v>
      </c>
      <c r="B1109" s="138">
        <f>'Expenditures 15-22'!K36</f>
        <v>18799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13098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11816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43713</v>
      </c>
      <c r="C1115" s="2" t="s">
        <v>594</v>
      </c>
      <c r="D1115" s="2" t="str">
        <f t="shared" si="16"/>
        <v>Error?</v>
      </c>
    </row>
    <row r="1116" spans="1:4" x14ac:dyDescent="0.2">
      <c r="A1116" s="5">
        <v>1055</v>
      </c>
      <c r="B1116" s="138">
        <f>'Expenditures 15-22'!K44</f>
        <v>58414</v>
      </c>
      <c r="C1116" s="2" t="s">
        <v>594</v>
      </c>
      <c r="D1116" s="2" t="str">
        <f t="shared" si="16"/>
        <v>Error?</v>
      </c>
    </row>
    <row r="1117" spans="1:4" x14ac:dyDescent="0.2">
      <c r="A1117" s="5">
        <v>1056</v>
      </c>
      <c r="B1117" s="138">
        <f>'Expenditures 15-22'!K45</f>
        <v>14661</v>
      </c>
      <c r="C1117" s="2" t="s">
        <v>594</v>
      </c>
      <c r="D1117" s="2" t="str">
        <f t="shared" si="16"/>
        <v>Error?</v>
      </c>
    </row>
    <row r="1118" spans="1:4" x14ac:dyDescent="0.2">
      <c r="A1118" s="5">
        <v>1057</v>
      </c>
      <c r="B1118" s="138">
        <f>'Expenditures 15-22'!K46</f>
        <v>1990</v>
      </c>
      <c r="C1118" s="2" t="s">
        <v>594</v>
      </c>
      <c r="D1118" s="2" t="str">
        <f t="shared" si="16"/>
        <v>Error?</v>
      </c>
    </row>
    <row r="1119" spans="1:4" x14ac:dyDescent="0.2">
      <c r="A1119" s="5">
        <v>1058</v>
      </c>
      <c r="B1119" s="138">
        <f>'Expenditures 15-22'!K47</f>
        <v>75065</v>
      </c>
      <c r="C1119" s="2" t="s">
        <v>594</v>
      </c>
      <c r="D1119" s="2" t="str">
        <f t="shared" si="16"/>
        <v>Error?</v>
      </c>
    </row>
    <row r="1120" spans="1:4" x14ac:dyDescent="0.2">
      <c r="A1120" s="5">
        <v>1059</v>
      </c>
      <c r="B1120" s="138">
        <f>'Expenditures 15-22'!K49</f>
        <v>73199</v>
      </c>
      <c r="C1120" s="2" t="s">
        <v>594</v>
      </c>
      <c r="D1120" s="2" t="str">
        <f t="shared" si="16"/>
        <v>Error?</v>
      </c>
    </row>
    <row r="1121" spans="1:4" x14ac:dyDescent="0.2">
      <c r="A1121" s="5">
        <v>1060</v>
      </c>
      <c r="B1121" s="138">
        <f>'Expenditures 15-22'!K50</f>
        <v>204750</v>
      </c>
      <c r="C1121" s="2" t="s">
        <v>594</v>
      </c>
      <c r="D1121" s="2" t="str">
        <f t="shared" si="16"/>
        <v>Error?</v>
      </c>
    </row>
    <row r="1122" spans="1:4" x14ac:dyDescent="0.2">
      <c r="A1122" s="5">
        <v>1061</v>
      </c>
      <c r="B1122" s="138">
        <f>'Expenditures 15-22'!K53</f>
        <v>277949</v>
      </c>
      <c r="C1122" s="2" t="s">
        <v>594</v>
      </c>
      <c r="D1122" s="2" t="str">
        <f t="shared" si="16"/>
        <v>Error?</v>
      </c>
    </row>
    <row r="1123" spans="1:4" x14ac:dyDescent="0.2">
      <c r="A1123" s="5">
        <v>1062</v>
      </c>
      <c r="B1123" s="138">
        <f>'Expenditures 15-22'!K55</f>
        <v>163572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163572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69281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94462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163743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1500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15488</v>
      </c>
      <c r="C1139" s="2" t="s">
        <v>594</v>
      </c>
      <c r="D1139" s="2" t="str">
        <f t="shared" si="16"/>
        <v>Error?</v>
      </c>
    </row>
    <row r="1140" spans="1:4" x14ac:dyDescent="0.2">
      <c r="A1140" s="10">
        <v>1079</v>
      </c>
      <c r="D1140" s="2" t="str">
        <f t="shared" si="16"/>
        <v>OK</v>
      </c>
    </row>
    <row r="1141" spans="1:4" x14ac:dyDescent="0.2">
      <c r="A1141" s="5">
        <v>1080</v>
      </c>
      <c r="B1141" s="138">
        <f>'Expenditures 15-22'!K72</f>
        <v>16988</v>
      </c>
      <c r="C1141" s="2" t="s">
        <v>594</v>
      </c>
      <c r="D1141" s="2" t="str">
        <f t="shared" si="16"/>
        <v>Error?</v>
      </c>
    </row>
    <row r="1142" spans="1:4" x14ac:dyDescent="0.2">
      <c r="A1142" s="5">
        <v>1081</v>
      </c>
      <c r="B1142" s="138">
        <f>'Expenditures 15-22'!K73</f>
        <v>35392</v>
      </c>
      <c r="C1142" s="2" t="s">
        <v>594</v>
      </c>
      <c r="D1142" s="2" t="str">
        <f t="shared" si="16"/>
        <v>Error?</v>
      </c>
    </row>
    <row r="1143" spans="1:4" x14ac:dyDescent="0.2">
      <c r="A1143" s="5">
        <v>1082</v>
      </c>
      <c r="B1143" s="138">
        <f>'Expenditures 15-22'!K74</f>
        <v>776422</v>
      </c>
      <c r="C1143" s="2" t="s">
        <v>594</v>
      </c>
      <c r="D1143" s="2" t="str">
        <f t="shared" si="16"/>
        <v>Error?</v>
      </c>
    </row>
    <row r="1144" spans="1:4" x14ac:dyDescent="0.2">
      <c r="A1144" s="5">
        <v>1083</v>
      </c>
      <c r="B1144" s="138">
        <f>'Expenditures 15-22'!K75</f>
        <v>55787</v>
      </c>
      <c r="C1144" s="2" t="s">
        <v>594</v>
      </c>
      <c r="D1144" s="2" t="str">
        <f t="shared" si="16"/>
        <v>Error?</v>
      </c>
    </row>
    <row r="1145" spans="1:4" x14ac:dyDescent="0.2">
      <c r="A1145" s="5">
        <v>1084</v>
      </c>
      <c r="B1145" s="138">
        <f>'Expenditures 15-22'!K102</f>
        <v>192169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2088282</v>
      </c>
      <c r="C1152" s="2" t="s">
        <v>594</v>
      </c>
      <c r="D1152" s="2" t="str">
        <f t="shared" si="17"/>
        <v>Error?</v>
      </c>
    </row>
    <row r="1153" spans="1:4" x14ac:dyDescent="0.2">
      <c r="A1153" s="5">
        <v>1092</v>
      </c>
      <c r="B1153" s="138">
        <f>'Expenditures 15-22'!K115</f>
        <v>274292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89308</v>
      </c>
      <c r="D1221" s="2" t="str">
        <f t="shared" si="18"/>
        <v>Error?</v>
      </c>
    </row>
    <row r="1222" spans="1:4" x14ac:dyDescent="0.2">
      <c r="A1222" s="10">
        <v>1161</v>
      </c>
      <c r="D1222" s="2" t="str">
        <f t="shared" si="18"/>
        <v>OK</v>
      </c>
    </row>
    <row r="1223" spans="1:4" x14ac:dyDescent="0.2">
      <c r="A1223" s="5">
        <v>1162</v>
      </c>
      <c r="B1223" s="138">
        <f>'Expenditures 15-22'!C127</f>
        <v>89308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89308</v>
      </c>
      <c r="C1225" s="2" t="s">
        <v>594</v>
      </c>
      <c r="D1225" s="2" t="str">
        <f t="shared" si="18"/>
        <v>Error?</v>
      </c>
    </row>
    <row r="1226" spans="1:4" x14ac:dyDescent="0.2">
      <c r="A1226" s="5">
        <v>1165</v>
      </c>
      <c r="B1226" s="138">
        <f>'Expenditures 15-22'!C151</f>
        <v>89308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13212</v>
      </c>
      <c r="D1229" s="2" t="str">
        <f t="shared" si="18"/>
        <v>Error?</v>
      </c>
    </row>
    <row r="1230" spans="1:4" x14ac:dyDescent="0.2">
      <c r="A1230" s="10">
        <v>1169</v>
      </c>
      <c r="D1230" s="2" t="str">
        <f t="shared" si="18"/>
        <v>OK</v>
      </c>
    </row>
    <row r="1231" spans="1:4" x14ac:dyDescent="0.2">
      <c r="A1231" s="5">
        <v>1170</v>
      </c>
      <c r="B1231" s="138">
        <f>'Expenditures 15-22'!D127</f>
        <v>13212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13212</v>
      </c>
      <c r="C1233" s="2" t="s">
        <v>594</v>
      </c>
      <c r="D1233" s="2" t="str">
        <f t="shared" si="18"/>
        <v>Error?</v>
      </c>
    </row>
    <row r="1234" spans="1:4" x14ac:dyDescent="0.2">
      <c r="A1234" s="5">
        <v>1173</v>
      </c>
      <c r="B1234" s="138">
        <f>'Expenditures 15-22'!D151</f>
        <v>13212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32368</v>
      </c>
      <c r="D1237" s="2" t="str">
        <f t="shared" si="18"/>
        <v>Error?</v>
      </c>
    </row>
    <row r="1238" spans="1:4" x14ac:dyDescent="0.2">
      <c r="A1238" s="10">
        <v>1177</v>
      </c>
      <c r="D1238" s="2" t="str">
        <f t="shared" si="18"/>
        <v>OK</v>
      </c>
    </row>
    <row r="1239" spans="1:4" x14ac:dyDescent="0.2">
      <c r="A1239" s="5">
        <v>1178</v>
      </c>
      <c r="B1239" s="138">
        <f>'Expenditures 15-22'!E127</f>
        <v>32368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32368</v>
      </c>
      <c r="C1241" s="2" t="s">
        <v>594</v>
      </c>
      <c r="D1241" s="2" t="str">
        <f t="shared" si="18"/>
        <v>Error?</v>
      </c>
    </row>
    <row r="1242" spans="1:4" x14ac:dyDescent="0.2">
      <c r="A1242" s="5">
        <v>1181</v>
      </c>
      <c r="B1242" s="138">
        <f>'Expenditures 15-22'!E151</f>
        <v>32368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64098</v>
      </c>
      <c r="D1245" s="2" t="str">
        <f t="shared" si="18"/>
        <v>Error?</v>
      </c>
    </row>
    <row r="1246" spans="1:4" x14ac:dyDescent="0.2">
      <c r="A1246" s="10">
        <v>1185</v>
      </c>
      <c r="D1246" s="2" t="str">
        <f t="shared" si="18"/>
        <v>OK</v>
      </c>
    </row>
    <row r="1247" spans="1:4" x14ac:dyDescent="0.2">
      <c r="A1247" s="5">
        <v>1186</v>
      </c>
      <c r="B1247" s="138">
        <f>'Expenditures 15-22'!F127</f>
        <v>64098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64098</v>
      </c>
      <c r="C1249" s="2" t="s">
        <v>594</v>
      </c>
      <c r="D1249" s="2" t="str">
        <f t="shared" si="18"/>
        <v>Error?</v>
      </c>
    </row>
    <row r="1250" spans="1:4" x14ac:dyDescent="0.2">
      <c r="A1250" s="5">
        <v>1189</v>
      </c>
      <c r="B1250" s="138">
        <f>'Expenditures 15-22'!F151</f>
        <v>64098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14338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14338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14338</v>
      </c>
      <c r="C1258" s="2" t="s">
        <v>594</v>
      </c>
      <c r="D1258" s="2" t="str">
        <f t="shared" si="18"/>
        <v>Error?</v>
      </c>
    </row>
    <row r="1259" spans="1:4" x14ac:dyDescent="0.2">
      <c r="A1259" s="5">
        <v>1198</v>
      </c>
      <c r="B1259" s="138">
        <f>'Expenditures 15-22'!G151</f>
        <v>14338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7369</v>
      </c>
      <c r="D1262" s="2" t="str">
        <f t="shared" si="18"/>
        <v>Error?</v>
      </c>
    </row>
    <row r="1263" spans="1:4" x14ac:dyDescent="0.2">
      <c r="A1263" s="10">
        <v>1202</v>
      </c>
      <c r="D1263" s="2" t="str">
        <f t="shared" si="18"/>
        <v>OK</v>
      </c>
    </row>
    <row r="1264" spans="1:4" x14ac:dyDescent="0.2">
      <c r="A1264" s="5">
        <v>1203</v>
      </c>
      <c r="B1264" s="138">
        <f>'Expenditures 15-22'!H127</f>
        <v>7369</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7369</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7369</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220693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220693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220693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220693</v>
      </c>
      <c r="C1288" s="2" t="s">
        <v>594</v>
      </c>
      <c r="D1288" s="2" t="str">
        <f t="shared" si="19"/>
        <v>Error?</v>
      </c>
    </row>
    <row r="1289" spans="1:4" x14ac:dyDescent="0.2">
      <c r="A1289" s="5">
        <v>1228</v>
      </c>
      <c r="B1289" s="138">
        <f>'Expenditures 15-22'!K152</f>
        <v>-96352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10483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10483</v>
      </c>
      <c r="C1339" s="2" t="s">
        <v>594</v>
      </c>
      <c r="D1339" s="2" t="str">
        <f t="shared" si="19"/>
        <v>Error?</v>
      </c>
    </row>
    <row r="1340" spans="1:4" x14ac:dyDescent="0.2">
      <c r="A1340" s="5">
        <v>1279</v>
      </c>
      <c r="B1340" s="138">
        <f>'Expenditures 15-22'!C210</f>
        <v>10483</v>
      </c>
      <c r="C1340" s="2" t="s">
        <v>594</v>
      </c>
      <c r="D1340" s="2" t="str">
        <f t="shared" si="19"/>
        <v>Error?</v>
      </c>
    </row>
    <row r="1341" spans="1:4" x14ac:dyDescent="0.2">
      <c r="A1341" s="5">
        <v>1280</v>
      </c>
      <c r="B1341" s="138">
        <f>'Expenditures 15-22'!D182</f>
        <v>1458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1458</v>
      </c>
      <c r="C1345" s="2" t="s">
        <v>594</v>
      </c>
      <c r="D1345" s="2" t="str">
        <f t="shared" si="20"/>
        <v>Error?</v>
      </c>
    </row>
    <row r="1346" spans="1:4" x14ac:dyDescent="0.2">
      <c r="A1346" s="5">
        <v>1285</v>
      </c>
      <c r="B1346" s="138">
        <f>'Expenditures 15-22'!D210</f>
        <v>1458</v>
      </c>
      <c r="C1346" s="2" t="s">
        <v>594</v>
      </c>
      <c r="D1346" s="2" t="str">
        <f t="shared" si="20"/>
        <v>Error?</v>
      </c>
    </row>
    <row r="1347" spans="1:4" x14ac:dyDescent="0.2">
      <c r="A1347" s="5">
        <v>1286</v>
      </c>
      <c r="B1347" s="138">
        <f>'Expenditures 15-22'!E182</f>
        <v>114812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114812</v>
      </c>
      <c r="C1351" s="2" t="s">
        <v>594</v>
      </c>
      <c r="D1351" s="2" t="str">
        <f t="shared" si="20"/>
        <v>Error?</v>
      </c>
    </row>
    <row r="1352" spans="1:4" x14ac:dyDescent="0.2">
      <c r="A1352" s="5">
        <v>1291</v>
      </c>
      <c r="B1352" s="138">
        <f>'Expenditures 15-22'!E196</f>
        <v>36049</v>
      </c>
      <c r="C1352" s="2" t="s">
        <v>594</v>
      </c>
      <c r="D1352" s="2" t="str">
        <f t="shared" si="20"/>
        <v>Error?</v>
      </c>
    </row>
    <row r="1353" spans="1:4" x14ac:dyDescent="0.2">
      <c r="A1353" s="5">
        <v>1292</v>
      </c>
      <c r="B1353" s="138">
        <f>'Expenditures 15-22'!E210</f>
        <v>150861</v>
      </c>
      <c r="C1353" s="2" t="s">
        <v>594</v>
      </c>
      <c r="D1353" s="2" t="str">
        <f t="shared" si="20"/>
        <v>Error?</v>
      </c>
    </row>
    <row r="1354" spans="1:4" x14ac:dyDescent="0.2">
      <c r="A1354" s="5">
        <v>1293</v>
      </c>
      <c r="B1354" s="138">
        <f>'Expenditures 15-22'!F182</f>
        <v>238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238</v>
      </c>
      <c r="C1358" s="2" t="s">
        <v>594</v>
      </c>
      <c r="D1358" s="2" t="str">
        <f t="shared" si="20"/>
        <v>Error?</v>
      </c>
    </row>
    <row r="1359" spans="1:4" x14ac:dyDescent="0.2">
      <c r="A1359" s="5">
        <v>1298</v>
      </c>
      <c r="B1359" s="138">
        <f>'Expenditures 15-22'!F210</f>
        <v>238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126991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126991</v>
      </c>
      <c r="C1381" s="2" t="s">
        <v>594</v>
      </c>
      <c r="D1381" s="2" t="str">
        <f t="shared" si="20"/>
        <v>Error?</v>
      </c>
    </row>
    <row r="1382" spans="1:4" x14ac:dyDescent="0.2">
      <c r="A1382" s="5">
        <v>1321</v>
      </c>
      <c r="B1382" s="138">
        <f>'Expenditures 15-22'!K196</f>
        <v>36049</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163040</v>
      </c>
      <c r="C1388" s="2" t="s">
        <v>594</v>
      </c>
      <c r="D1388" s="2" t="str">
        <f t="shared" si="20"/>
        <v>Error?</v>
      </c>
    </row>
    <row r="1389" spans="1:4" x14ac:dyDescent="0.2">
      <c r="A1389" s="5">
        <v>1328</v>
      </c>
      <c r="B1389" s="138">
        <f>'Expenditures 15-22'!K211</f>
        <v>-6633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652</v>
      </c>
      <c r="D1408" s="2" t="str">
        <f t="shared" si="21"/>
        <v>Error?</v>
      </c>
    </row>
    <row r="1409" spans="1:4" x14ac:dyDescent="0.2">
      <c r="A1409" s="5">
        <v>1348</v>
      </c>
      <c r="B1409" s="138">
        <f>'Expenditures 15-22'!D224</f>
        <v>542</v>
      </c>
      <c r="D1409" s="2" t="str">
        <f t="shared" si="21"/>
        <v>Error?</v>
      </c>
    </row>
    <row r="1410" spans="1:4" x14ac:dyDescent="0.2">
      <c r="A1410" s="5">
        <v>1349</v>
      </c>
      <c r="B1410" s="138">
        <f>'Expenditures 15-22'!D229</f>
        <v>16579</v>
      </c>
      <c r="C1410" s="2" t="s">
        <v>594</v>
      </c>
      <c r="D1410" s="2" t="str">
        <f t="shared" si="21"/>
        <v>Error?</v>
      </c>
    </row>
    <row r="1411" spans="1:4" x14ac:dyDescent="0.2">
      <c r="A1411" s="5">
        <v>1350</v>
      </c>
      <c r="B1411" s="138">
        <f>'Expenditures 15-22'!D232</f>
        <v>264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922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1186</v>
      </c>
      <c r="C1417" s="2" t="s">
        <v>594</v>
      </c>
      <c r="D1417" s="2" t="str">
        <f t="shared" si="21"/>
        <v>Error?</v>
      </c>
    </row>
    <row r="1418" spans="1:4" x14ac:dyDescent="0.2">
      <c r="A1418" s="5">
        <v>1357</v>
      </c>
      <c r="B1418" s="138">
        <f>'Expenditures 15-22'!D240</f>
        <v>293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5689</v>
      </c>
      <c r="D1423" s="2" t="str">
        <f t="shared" si="21"/>
        <v>Error?</v>
      </c>
    </row>
    <row r="1424" spans="1:4" x14ac:dyDescent="0.2">
      <c r="A1424" s="5">
        <v>1363</v>
      </c>
      <c r="B1424" s="138">
        <f>'Expenditures 15-22'!D257</f>
        <v>5689</v>
      </c>
      <c r="C1424" s="2" t="s">
        <v>594</v>
      </c>
      <c r="D1424" s="2" t="str">
        <f t="shared" si="21"/>
        <v>Error?</v>
      </c>
    </row>
    <row r="1425" spans="1:4" x14ac:dyDescent="0.2">
      <c r="A1425" s="5">
        <v>1364</v>
      </c>
      <c r="B1425" s="138">
        <f>'Expenditures 15-22'!D259</f>
        <v>4175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4175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2584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7510</v>
      </c>
      <c r="D1431" s="2" t="str">
        <f t="shared" si="21"/>
        <v>Error?</v>
      </c>
    </row>
    <row r="1432" spans="1:4" x14ac:dyDescent="0.2">
      <c r="A1432" s="5">
        <v>1371</v>
      </c>
      <c r="B1432" s="138">
        <f>'Expenditures 15-22'!D267</f>
        <v>258</v>
      </c>
      <c r="D1432" s="2" t="str">
        <f t="shared" si="21"/>
        <v>Error?</v>
      </c>
    </row>
    <row r="1433" spans="1:4" x14ac:dyDescent="0.2">
      <c r="A1433" s="5">
        <v>1372</v>
      </c>
      <c r="B1433" s="138">
        <f>'Expenditures 15-22'!D268</f>
        <v>3577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13929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1212</v>
      </c>
      <c r="D1445" s="2" t="str">
        <f t="shared" si="21"/>
        <v>Error?</v>
      </c>
    </row>
    <row r="1446" spans="1:4" x14ac:dyDescent="0.2">
      <c r="A1446" s="5">
        <v>1385</v>
      </c>
      <c r="B1446" s="138">
        <f>'Expenditures 15-22'!D279</f>
        <v>26484</v>
      </c>
      <c r="C1446" s="2" t="s">
        <v>594</v>
      </c>
      <c r="D1446" s="2" t="str">
        <f t="shared" si="21"/>
        <v>Error?</v>
      </c>
    </row>
    <row r="1447" spans="1:4" x14ac:dyDescent="0.2">
      <c r="A1447" s="5">
        <v>1386</v>
      </c>
      <c r="B1447" s="138">
        <f>'Expenditures 15-22'!D280</f>
        <v>6379</v>
      </c>
      <c r="D1447" s="2" t="str">
        <f t="shared" si="21"/>
        <v>Error?</v>
      </c>
    </row>
    <row r="1448" spans="1:4" x14ac:dyDescent="0.2">
      <c r="A1448" s="5">
        <v>1387</v>
      </c>
      <c r="B1448" s="138">
        <f>'Expenditures 15-22'!D295</f>
        <v>49442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652</v>
      </c>
      <c r="C1472" s="2" t="s">
        <v>594</v>
      </c>
      <c r="D1472" s="2" t="str">
        <f t="shared" si="22"/>
        <v>Error?</v>
      </c>
    </row>
    <row r="1473" spans="1:4" x14ac:dyDescent="0.2">
      <c r="A1473" s="5">
        <v>1412</v>
      </c>
      <c r="B1473" s="138">
        <f>'Expenditures 15-22'!K224</f>
        <v>542</v>
      </c>
      <c r="C1473" s="2" t="s">
        <v>594</v>
      </c>
      <c r="D1473" s="2" t="str">
        <f t="shared" si="22"/>
        <v>Error?</v>
      </c>
    </row>
    <row r="1474" spans="1:4" x14ac:dyDescent="0.2">
      <c r="A1474" s="5">
        <v>1413</v>
      </c>
      <c r="B1474" s="138">
        <f>'Expenditures 15-22'!K229</f>
        <v>16579</v>
      </c>
      <c r="C1474" s="2" t="s">
        <v>594</v>
      </c>
      <c r="D1474" s="2" t="str">
        <f t="shared" si="22"/>
        <v>Error?</v>
      </c>
    </row>
    <row r="1475" spans="1:4" x14ac:dyDescent="0.2">
      <c r="A1475" s="5">
        <v>1414</v>
      </c>
      <c r="B1475" s="138">
        <f>'Expenditures 15-22'!K232</f>
        <v>264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922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1186</v>
      </c>
      <c r="C1481" s="2" t="s">
        <v>594</v>
      </c>
      <c r="D1481" s="2" t="str">
        <f t="shared" si="22"/>
        <v>Error?</v>
      </c>
    </row>
    <row r="1482" spans="1:4" x14ac:dyDescent="0.2">
      <c r="A1482" s="5">
        <v>1421</v>
      </c>
      <c r="B1482" s="138">
        <f>'Expenditures 15-22'!K240</f>
        <v>293</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293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5689</v>
      </c>
      <c r="C1487" s="2" t="s">
        <v>594</v>
      </c>
      <c r="D1487" s="2" t="str">
        <f t="shared" si="22"/>
        <v>Error?</v>
      </c>
    </row>
    <row r="1488" spans="1:4" x14ac:dyDescent="0.2">
      <c r="A1488" s="5">
        <v>1427</v>
      </c>
      <c r="B1488" s="138">
        <f>'Expenditures 15-22'!K257</f>
        <v>5689</v>
      </c>
      <c r="C1488" s="2" t="s">
        <v>594</v>
      </c>
      <c r="D1488" s="2" t="str">
        <f t="shared" si="22"/>
        <v>Error?</v>
      </c>
    </row>
    <row r="1489" spans="1:4" x14ac:dyDescent="0.2">
      <c r="A1489" s="5">
        <v>1428</v>
      </c>
      <c r="B1489" s="138">
        <f>'Expenditures 15-22'!K259</f>
        <v>4175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4175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2584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7510</v>
      </c>
      <c r="C1495" s="2" t="s">
        <v>594</v>
      </c>
      <c r="D1495" s="2" t="str">
        <f t="shared" si="22"/>
        <v>Error?</v>
      </c>
    </row>
    <row r="1496" spans="1:4" x14ac:dyDescent="0.2">
      <c r="A1496" s="5">
        <v>1435</v>
      </c>
      <c r="B1496" s="138">
        <f>'Expenditures 15-22'!K267</f>
        <v>258</v>
      </c>
      <c r="C1496" s="2" t="s">
        <v>594</v>
      </c>
      <c r="D1496" s="2" t="str">
        <f t="shared" si="22"/>
        <v>Error?</v>
      </c>
    </row>
    <row r="1497" spans="1:4" x14ac:dyDescent="0.2">
      <c r="A1497" s="5">
        <v>1436</v>
      </c>
      <c r="B1497" s="138">
        <f>'Expenditures 15-22'!K268</f>
        <v>3577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13929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1212</v>
      </c>
      <c r="C1509" s="2" t="s">
        <v>594</v>
      </c>
      <c r="D1509" s="2" t="str">
        <f t="shared" si="22"/>
        <v>Error?</v>
      </c>
    </row>
    <row r="1510" spans="1:4" x14ac:dyDescent="0.2">
      <c r="A1510" s="5">
        <v>1449</v>
      </c>
      <c r="B1510" s="138">
        <f>'Expenditures 15-22'!K279</f>
        <v>26484</v>
      </c>
      <c r="C1510" s="2" t="s">
        <v>594</v>
      </c>
      <c r="D1510" s="2" t="str">
        <f t="shared" si="22"/>
        <v>Error?</v>
      </c>
    </row>
    <row r="1511" spans="1:4" x14ac:dyDescent="0.2">
      <c r="A1511" s="5">
        <v>1450</v>
      </c>
      <c r="B1511" s="138">
        <f>'Expenditures 15-22'!K280</f>
        <v>6379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49442</v>
      </c>
      <c r="C1517" s="2" t="s">
        <v>594</v>
      </c>
      <c r="D1517" s="2" t="str">
        <f t="shared" si="22"/>
        <v>Error?</v>
      </c>
    </row>
    <row r="1518" spans="1:4" x14ac:dyDescent="0.2">
      <c r="A1518" s="5">
        <v>1457</v>
      </c>
      <c r="B1518" s="138">
        <f>'Expenditures 15-22'!K296</f>
        <v>4845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1834754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2109046</v>
      </c>
      <c r="C1630" s="2" t="s">
        <v>594</v>
      </c>
      <c r="D1630" s="2" t="str">
        <f t="shared" si="24"/>
        <v>Error?</v>
      </c>
    </row>
    <row r="1631" spans="1:4" x14ac:dyDescent="0.2">
      <c r="A1631" s="5">
        <v>1570</v>
      </c>
      <c r="B1631" s="138">
        <f>'Acct Summary 7-8'!D79</f>
        <v>260430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164078</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56378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49745</v>
      </c>
      <c r="C1672" s="2" t="s">
        <v>594</v>
      </c>
      <c r="D1672" s="2" t="str">
        <f t="shared" si="25"/>
        <v>Error?</v>
      </c>
    </row>
    <row r="1673" spans="1:4" x14ac:dyDescent="0.2">
      <c r="A1673" s="5">
        <v>1612</v>
      </c>
      <c r="B1673" s="138">
        <f>'Acct Summary 7-8'!G79</f>
        <v>11976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16821</v>
      </c>
      <c r="C1686" s="2" t="s">
        <v>594</v>
      </c>
      <c r="D1686" s="2" t="str">
        <f t="shared" si="25"/>
        <v>Error?</v>
      </c>
    </row>
    <row r="1687" spans="1:4" x14ac:dyDescent="0.2">
      <c r="A1687" s="5">
        <v>1626</v>
      </c>
      <c r="B1687" s="138">
        <f>'Acct Summary 7-8'!H79</f>
        <v>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250688</v>
      </c>
      <c r="C1744" s="2" t="s">
        <v>594</v>
      </c>
      <c r="D1744" s="2" t="str">
        <f t="shared" si="26"/>
        <v>Error?</v>
      </c>
    </row>
    <row r="1745" spans="1:5" x14ac:dyDescent="0.2">
      <c r="A1745" s="5">
        <v>1684</v>
      </c>
      <c r="B1745" s="138">
        <f>'Tax Sched 23'!B5</f>
        <v>42856</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17215</v>
      </c>
      <c r="C1747" s="2" t="s">
        <v>594</v>
      </c>
      <c r="D1747" s="2" t="str">
        <f t="shared" si="26"/>
        <v>Error?</v>
      </c>
    </row>
    <row r="1748" spans="1:5" x14ac:dyDescent="0.2">
      <c r="A1748" s="5">
        <v>1687</v>
      </c>
      <c r="B1748" s="138">
        <f>'Tax Sched 23'!B8</f>
        <v>2440</v>
      </c>
      <c r="C1748" s="2" t="s">
        <v>594</v>
      </c>
      <c r="D1748" s="2" t="str">
        <f t="shared" si="26"/>
        <v>Error?</v>
      </c>
    </row>
    <row r="1749" spans="1:5" x14ac:dyDescent="0.2">
      <c r="A1749" s="5">
        <v>1688</v>
      </c>
      <c r="B1749" s="138">
        <f>'Tax Sched 23'!B10</f>
        <v>4730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100832</v>
      </c>
      <c r="C1752" s="2" t="s">
        <v>594</v>
      </c>
      <c r="D1752" s="2" t="str">
        <f t="shared" si="26"/>
        <v>Error?</v>
      </c>
    </row>
    <row r="1753" spans="1:5" x14ac:dyDescent="0.2">
      <c r="A1753" s="5">
        <v>1692</v>
      </c>
      <c r="B1753" s="138">
        <f>'Tax Sched 23'!B12</f>
        <v>4730</v>
      </c>
      <c r="C1753" s="2" t="s">
        <v>594</v>
      </c>
      <c r="D1753" s="2" t="str">
        <f t="shared" si="26"/>
        <v>Error?</v>
      </c>
    </row>
    <row r="1754" spans="1:5" x14ac:dyDescent="0.2">
      <c r="A1754" s="5">
        <v>1693</v>
      </c>
      <c r="B1754" s="138">
        <f>'Tax Sched 23'!B14</f>
        <v>3784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440227</v>
      </c>
      <c r="C1759" s="2" t="s">
        <v>594</v>
      </c>
      <c r="D1759" s="2" t="str">
        <f t="shared" si="26"/>
        <v>Error?</v>
      </c>
    </row>
    <row r="1760" spans="1:5" x14ac:dyDescent="0.2">
      <c r="A1760" s="5">
        <v>1699</v>
      </c>
      <c r="B1760" s="138">
        <f>'Tax Sched 23'!D4</f>
        <v>248853</v>
      </c>
      <c r="C1760" s="2" t="s">
        <v>594</v>
      </c>
      <c r="D1760" s="2" t="str">
        <f t="shared" si="26"/>
        <v>Error?</v>
      </c>
    </row>
    <row r="1761" spans="1:5" x14ac:dyDescent="0.2">
      <c r="A1761" s="5">
        <v>1700</v>
      </c>
      <c r="B1761" s="138">
        <f>'Tax Sched 23'!D5</f>
        <v>42555</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17077</v>
      </c>
      <c r="C1763" s="2" t="s">
        <v>594</v>
      </c>
      <c r="D1763" s="2" t="str">
        <f t="shared" si="26"/>
        <v>Error?</v>
      </c>
    </row>
    <row r="1764" spans="1:5" x14ac:dyDescent="0.2">
      <c r="A1764" s="5">
        <v>1703</v>
      </c>
      <c r="B1764" s="138">
        <f>'Tax Sched 23'!D8</f>
        <v>2421</v>
      </c>
      <c r="C1764" s="2" t="s">
        <v>594</v>
      </c>
      <c r="D1764" s="2" t="str">
        <f t="shared" si="26"/>
        <v>Error?</v>
      </c>
    </row>
    <row r="1765" spans="1:5" x14ac:dyDescent="0.2">
      <c r="A1765" s="5">
        <v>1704</v>
      </c>
      <c r="B1765" s="138">
        <f>'Tax Sched 23'!D10</f>
        <v>4695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100087</v>
      </c>
      <c r="C1768" s="2" t="s">
        <v>594</v>
      </c>
      <c r="D1768" s="2" t="str">
        <f t="shared" si="26"/>
        <v>Error?</v>
      </c>
    </row>
    <row r="1769" spans="1:5" x14ac:dyDescent="0.2">
      <c r="A1769" s="5">
        <v>1708</v>
      </c>
      <c r="B1769" s="138">
        <f>'Tax Sched 23'!D12</f>
        <v>4695</v>
      </c>
      <c r="C1769" s="2" t="s">
        <v>594</v>
      </c>
      <c r="D1769" s="2" t="str">
        <f t="shared" si="26"/>
        <v>Error?</v>
      </c>
    </row>
    <row r="1770" spans="1:5" x14ac:dyDescent="0.2">
      <c r="A1770" s="5">
        <v>1709</v>
      </c>
      <c r="B1770" s="138">
        <f>'Tax Sched 23'!D14</f>
        <v>3756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436996</v>
      </c>
      <c r="C1775" s="2" t="s">
        <v>594</v>
      </c>
      <c r="D1775" s="2" t="str">
        <f t="shared" si="26"/>
        <v>Error?</v>
      </c>
    </row>
    <row r="1776" spans="1:5" x14ac:dyDescent="0.2">
      <c r="A1776" s="5">
        <v>1715</v>
      </c>
      <c r="B1776" s="138">
        <f>'Tax Sched 23'!C4</f>
        <v>1835</v>
      </c>
      <c r="D1776" s="2" t="str">
        <f t="shared" si="26"/>
        <v>Error?</v>
      </c>
    </row>
    <row r="1777" spans="1:4" x14ac:dyDescent="0.2">
      <c r="A1777" s="5">
        <v>1716</v>
      </c>
      <c r="B1777" s="138">
        <f>'Tax Sched 23'!C5</f>
        <v>301</v>
      </c>
      <c r="D1777" s="2" t="str">
        <f t="shared" si="26"/>
        <v>Error?</v>
      </c>
    </row>
    <row r="1778" spans="1:4" x14ac:dyDescent="0.2">
      <c r="A1778" s="5">
        <v>1717</v>
      </c>
      <c r="B1778" s="138">
        <f>'Tax Sched 23'!C6</f>
        <v>0</v>
      </c>
      <c r="D1778" s="2" t="str">
        <f t="shared" si="26"/>
        <v>Error?</v>
      </c>
    </row>
    <row r="1779" spans="1:4" x14ac:dyDescent="0.2">
      <c r="A1779" s="5">
        <v>1718</v>
      </c>
      <c r="B1779" s="138">
        <f>'Tax Sched 23'!C7</f>
        <v>138</v>
      </c>
      <c r="D1779" s="2" t="str">
        <f t="shared" si="26"/>
        <v>Error?</v>
      </c>
    </row>
    <row r="1780" spans="1:4" x14ac:dyDescent="0.2">
      <c r="A1780" s="5">
        <v>1719</v>
      </c>
      <c r="B1780" s="138">
        <f>'Tax Sched 23'!C8</f>
        <v>19</v>
      </c>
      <c r="D1780" s="2" t="str">
        <f t="shared" si="26"/>
        <v>Error?</v>
      </c>
    </row>
    <row r="1781" spans="1:4" x14ac:dyDescent="0.2">
      <c r="A1781" s="5">
        <v>1720</v>
      </c>
      <c r="B1781" s="138">
        <f>'Tax Sched 23'!C10</f>
        <v>35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745</v>
      </c>
      <c r="D1784" s="2" t="str">
        <f t="shared" si="26"/>
        <v>Error?</v>
      </c>
    </row>
    <row r="1785" spans="1:4" x14ac:dyDescent="0.2">
      <c r="A1785" s="5">
        <v>1724</v>
      </c>
      <c r="B1785" s="138">
        <f>'Tax Sched 23'!C12</f>
        <v>35</v>
      </c>
      <c r="D1785" s="2" t="str">
        <f t="shared" si="26"/>
        <v>Error?</v>
      </c>
    </row>
    <row r="1786" spans="1:4" x14ac:dyDescent="0.2">
      <c r="A1786" s="5">
        <v>1725</v>
      </c>
      <c r="B1786" s="138">
        <f>'Tax Sched 23'!C14</f>
        <v>28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3231</v>
      </c>
      <c r="C1791" s="2" t="s">
        <v>594</v>
      </c>
      <c r="D1791" s="2" t="str">
        <f t="shared" ref="D1791:D1854" si="27">IF(ISBLANK(B1791),"OK",IF(A1791-B1791=0,"OK","Error?"))</f>
        <v>Error?</v>
      </c>
    </row>
    <row r="1792" spans="1:4" x14ac:dyDescent="0.2">
      <c r="A1792" s="5">
        <v>1731</v>
      </c>
      <c r="B1792" s="138">
        <f>'Tax Sched 23'!F4</f>
        <v>257115</v>
      </c>
      <c r="C1792" s="2" t="s">
        <v>594</v>
      </c>
      <c r="D1792" s="2" t="str">
        <f t="shared" si="27"/>
        <v>Error?</v>
      </c>
    </row>
    <row r="1793" spans="1:4" x14ac:dyDescent="0.2">
      <c r="A1793" s="5">
        <v>1732</v>
      </c>
      <c r="B1793" s="138">
        <f>'Tax Sched 23'!F5</f>
        <v>42206</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19405</v>
      </c>
      <c r="C1795" s="2" t="s">
        <v>594</v>
      </c>
      <c r="D1795" s="2" t="str">
        <f t="shared" si="27"/>
        <v>Error?</v>
      </c>
    </row>
    <row r="1796" spans="1:4" x14ac:dyDescent="0.2">
      <c r="A1796" s="5">
        <v>1735</v>
      </c>
      <c r="B1796" s="138">
        <f>'Tax Sched 23'!F8</f>
        <v>2600</v>
      </c>
      <c r="C1796" s="2" t="s">
        <v>594</v>
      </c>
      <c r="D1796" s="2" t="str">
        <f t="shared" si="27"/>
        <v>Error?</v>
      </c>
    </row>
    <row r="1797" spans="1:4" x14ac:dyDescent="0.2">
      <c r="A1797" s="5">
        <v>1736</v>
      </c>
      <c r="B1797" s="138">
        <f>'Tax Sched 23'!F10</f>
        <v>4851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104476</v>
      </c>
      <c r="C1800" s="2" t="s">
        <v>594</v>
      </c>
      <c r="D1800" s="2" t="str">
        <f t="shared" si="27"/>
        <v>Error?</v>
      </c>
    </row>
    <row r="1801" spans="1:4" x14ac:dyDescent="0.2">
      <c r="A1801" s="5">
        <v>1740</v>
      </c>
      <c r="B1801" s="138">
        <f>'Tax Sched 23'!F12</f>
        <v>4851</v>
      </c>
      <c r="C1801" s="2" t="s">
        <v>594</v>
      </c>
      <c r="D1801" s="2" t="str">
        <f t="shared" si="27"/>
        <v>Error?</v>
      </c>
    </row>
    <row r="1802" spans="1:4" x14ac:dyDescent="0.2">
      <c r="A1802" s="5">
        <v>1741</v>
      </c>
      <c r="B1802" s="138">
        <f>'Tax Sched 23'!F14</f>
        <v>3881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452677</v>
      </c>
      <c r="C1807" s="2" t="s">
        <v>594</v>
      </c>
      <c r="D1807" s="2" t="str">
        <f t="shared" si="27"/>
        <v>Error?</v>
      </c>
    </row>
    <row r="1808" spans="1:4" x14ac:dyDescent="0.2">
      <c r="A1808" s="5">
        <v>1747</v>
      </c>
      <c r="B1808" s="138">
        <f>'Tax Sched 23'!E4</f>
        <v>258950</v>
      </c>
      <c r="D1808" s="2" t="str">
        <f t="shared" si="27"/>
        <v>Error?</v>
      </c>
    </row>
    <row r="1809" spans="1:4" x14ac:dyDescent="0.2">
      <c r="A1809" s="5">
        <v>1748</v>
      </c>
      <c r="B1809" s="138">
        <f>'Tax Sched 23'!E5</f>
        <v>42507</v>
      </c>
      <c r="D1809" s="2" t="str">
        <f t="shared" si="27"/>
        <v>Error?</v>
      </c>
    </row>
    <row r="1810" spans="1:4" x14ac:dyDescent="0.2">
      <c r="A1810" s="5">
        <v>1749</v>
      </c>
      <c r="B1810" s="138">
        <f>'Tax Sched 23'!E6</f>
        <v>0</v>
      </c>
      <c r="D1810" s="2" t="str">
        <f t="shared" si="27"/>
        <v>Error?</v>
      </c>
    </row>
    <row r="1811" spans="1:4" x14ac:dyDescent="0.2">
      <c r="A1811" s="5">
        <v>1750</v>
      </c>
      <c r="B1811" s="138">
        <f>'Tax Sched 23'!E7</f>
        <v>19543</v>
      </c>
      <c r="D1811" s="2" t="str">
        <f t="shared" si="27"/>
        <v>Error?</v>
      </c>
    </row>
    <row r="1812" spans="1:4" x14ac:dyDescent="0.2">
      <c r="A1812" s="5">
        <v>1751</v>
      </c>
      <c r="B1812" s="138">
        <f>'Tax Sched 23'!E8</f>
        <v>2619</v>
      </c>
      <c r="D1812" s="2" t="str">
        <f t="shared" si="27"/>
        <v>Error?</v>
      </c>
    </row>
    <row r="1813" spans="1:4" x14ac:dyDescent="0.2">
      <c r="A1813" s="5">
        <v>1752</v>
      </c>
      <c r="B1813" s="138">
        <f>'Tax Sched 23'!E10</f>
        <v>4886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105221</v>
      </c>
      <c r="D1816" s="2" t="str">
        <f t="shared" si="27"/>
        <v>Error?</v>
      </c>
    </row>
    <row r="1817" spans="1:4" x14ac:dyDescent="0.2">
      <c r="A1817" s="5">
        <v>1756</v>
      </c>
      <c r="B1817" s="138">
        <f>'Tax Sched 23'!E12</f>
        <v>4886</v>
      </c>
      <c r="D1817" s="2" t="str">
        <f t="shared" si="27"/>
        <v>Error?</v>
      </c>
    </row>
    <row r="1818" spans="1:4" x14ac:dyDescent="0.2">
      <c r="A1818" s="5">
        <v>1757</v>
      </c>
      <c r="B1818" s="138">
        <f>'Tax Sched 23'!E14</f>
        <v>3909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455908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54</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3838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3838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3366942</v>
      </c>
      <c r="D2009" s="2" t="str">
        <f t="shared" si="30"/>
        <v>Error?</v>
      </c>
    </row>
    <row r="2010" spans="1:4" x14ac:dyDescent="0.2">
      <c r="A2010" s="5">
        <v>1949</v>
      </c>
      <c r="B2010" s="138">
        <f>'Cap Outlay Deprec 26'!C10</f>
        <v>8467</v>
      </c>
      <c r="D2010" s="2" t="str">
        <f t="shared" si="30"/>
        <v>Error?</v>
      </c>
    </row>
    <row r="2011" spans="1:4" x14ac:dyDescent="0.2">
      <c r="A2011" s="5">
        <v>1950</v>
      </c>
      <c r="B2011" s="138">
        <f>'Cap Outlay Deprec 26'!C12</f>
        <v>92454</v>
      </c>
      <c r="D2011" s="2" t="str">
        <f t="shared" si="30"/>
        <v>Error?</v>
      </c>
    </row>
    <row r="2012" spans="1:4" x14ac:dyDescent="0.2">
      <c r="A2012" s="5">
        <v>1951</v>
      </c>
      <c r="B2012" s="138">
        <f>'Cap Outlay Deprec 26'!C13</f>
        <v>310417</v>
      </c>
      <c r="D2012" s="2" t="str">
        <f t="shared" si="30"/>
        <v>Error?</v>
      </c>
    </row>
    <row r="2013" spans="1:4" x14ac:dyDescent="0.2">
      <c r="A2013" s="5">
        <v>1952</v>
      </c>
      <c r="B2013" s="138">
        <f>'Cap Outlay Deprec 26'!C16</f>
        <v>3778280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28631</v>
      </c>
      <c r="D2018" s="2" t="str">
        <f t="shared" si="30"/>
        <v>Error?</v>
      </c>
    </row>
    <row r="2019" spans="1:4" x14ac:dyDescent="0.2">
      <c r="A2019" s="5">
        <v>1958</v>
      </c>
      <c r="B2019" s="138">
        <f>'Cap Outlay Deprec 26'!D16</f>
        <v>28631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7369</v>
      </c>
      <c r="D2024" s="2" t="str">
        <f t="shared" si="30"/>
        <v>Error?</v>
      </c>
    </row>
    <row r="2025" spans="1:4" x14ac:dyDescent="0.2">
      <c r="A2025" s="5">
        <v>1964</v>
      </c>
      <c r="B2025" s="138">
        <f>'Cap Outlay Deprec 26'!E16</f>
        <v>7369</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3366942</v>
      </c>
      <c r="C2027" s="2" t="s">
        <v>594</v>
      </c>
      <c r="D2027" s="2" t="str">
        <f t="shared" si="30"/>
        <v>Error?</v>
      </c>
    </row>
    <row r="2028" spans="1:4" x14ac:dyDescent="0.2">
      <c r="A2028" s="5">
        <v>1967</v>
      </c>
      <c r="B2028" s="138">
        <f>'Cap Outlay Deprec 26'!F10</f>
        <v>8467</v>
      </c>
      <c r="C2028" s="2" t="s">
        <v>594</v>
      </c>
      <c r="D2028" s="2" t="str">
        <f t="shared" si="30"/>
        <v>Error?</v>
      </c>
    </row>
    <row r="2029" spans="1:4" x14ac:dyDescent="0.2">
      <c r="A2029" s="5">
        <v>1968</v>
      </c>
      <c r="B2029" s="138">
        <f>'Cap Outlay Deprec 26'!F12</f>
        <v>92454</v>
      </c>
      <c r="C2029" s="2" t="s">
        <v>594</v>
      </c>
      <c r="D2029" s="2" t="str">
        <f t="shared" si="30"/>
        <v>Error?</v>
      </c>
    </row>
    <row r="2030" spans="1:4" x14ac:dyDescent="0.2">
      <c r="A2030" s="5">
        <v>1969</v>
      </c>
      <c r="B2030" s="138">
        <f>'Cap Outlay Deprec 26'!F13</f>
        <v>331679</v>
      </c>
      <c r="C2030" s="2" t="s">
        <v>594</v>
      </c>
      <c r="D2030" s="2" t="str">
        <f t="shared" si="30"/>
        <v>Error?</v>
      </c>
    </row>
    <row r="2031" spans="1:4" x14ac:dyDescent="0.2">
      <c r="A2031" s="5">
        <v>1970</v>
      </c>
      <c r="B2031" s="138">
        <f>'Cap Outlay Deprec 26'!F16</f>
        <v>3799542</v>
      </c>
      <c r="C2031" s="2" t="s">
        <v>594</v>
      </c>
      <c r="D2031" s="2" t="str">
        <f t="shared" si="30"/>
        <v>Error?</v>
      </c>
    </row>
    <row r="2032" spans="1:4" x14ac:dyDescent="0.2">
      <c r="A2032" s="10">
        <v>1971</v>
      </c>
      <c r="D2032" s="2" t="str">
        <f t="shared" si="30"/>
        <v>OK</v>
      </c>
    </row>
    <row r="2033" spans="1:4" x14ac:dyDescent="0.2">
      <c r="A2033" s="5">
        <v>1972</v>
      </c>
      <c r="B2033" s="138">
        <f>'Cap Outlay Deprec 26'!H8</f>
        <v>549092</v>
      </c>
      <c r="D2033" s="2" t="str">
        <f t="shared" si="30"/>
        <v>Error?</v>
      </c>
    </row>
    <row r="2034" spans="1:4" x14ac:dyDescent="0.2">
      <c r="A2034" s="5">
        <v>1973</v>
      </c>
      <c r="B2034" s="138">
        <f>'Cap Outlay Deprec 26'!H10</f>
        <v>1602</v>
      </c>
      <c r="D2034" s="2" t="str">
        <f t="shared" si="30"/>
        <v>Error?</v>
      </c>
    </row>
    <row r="2035" spans="1:4" x14ac:dyDescent="0.2">
      <c r="A2035" s="5">
        <v>1974</v>
      </c>
      <c r="B2035" s="138">
        <f>'Cap Outlay Deprec 26'!H12</f>
        <v>48459</v>
      </c>
      <c r="D2035" s="2" t="str">
        <f t="shared" si="30"/>
        <v>Error?</v>
      </c>
    </row>
    <row r="2036" spans="1:4" x14ac:dyDescent="0.2">
      <c r="A2036" s="5">
        <v>1975</v>
      </c>
      <c r="B2036" s="138">
        <f>'Cap Outlay Deprec 26'!H13</f>
        <v>235682</v>
      </c>
      <c r="D2036" s="2" t="str">
        <f t="shared" si="30"/>
        <v>Error?</v>
      </c>
    </row>
    <row r="2037" spans="1:4" x14ac:dyDescent="0.2">
      <c r="A2037" s="5">
        <v>1976</v>
      </c>
      <c r="B2037" s="138">
        <f>'Cap Outlay Deprec 26'!H16</f>
        <v>834835</v>
      </c>
      <c r="C2037" s="2" t="s">
        <v>594</v>
      </c>
      <c r="D2037" s="2" t="str">
        <f t="shared" si="30"/>
        <v>Error?</v>
      </c>
    </row>
    <row r="2038" spans="1:4" x14ac:dyDescent="0.2">
      <c r="A2038" s="10">
        <v>1977</v>
      </c>
      <c r="D2038" s="2" t="str">
        <f t="shared" si="30"/>
        <v>OK</v>
      </c>
    </row>
    <row r="2039" spans="1:4" x14ac:dyDescent="0.2">
      <c r="A2039" s="5">
        <v>1978</v>
      </c>
      <c r="B2039" s="138">
        <f>'Cap Outlay Deprec 26'!I8</f>
        <v>168347</v>
      </c>
      <c r="D2039" s="2" t="str">
        <f t="shared" si="30"/>
        <v>Error?</v>
      </c>
    </row>
    <row r="2040" spans="1:4" x14ac:dyDescent="0.2">
      <c r="A2040" s="5">
        <v>1979</v>
      </c>
      <c r="B2040" s="138">
        <f>'Cap Outlay Deprec 26'!I10</f>
        <v>847</v>
      </c>
      <c r="D2040" s="2" t="str">
        <f t="shared" si="30"/>
        <v>Error?</v>
      </c>
    </row>
    <row r="2041" spans="1:4" x14ac:dyDescent="0.2">
      <c r="A2041" s="5">
        <v>1980</v>
      </c>
      <c r="B2041" s="138">
        <f>'Cap Outlay Deprec 26'!I12</f>
        <v>9995</v>
      </c>
      <c r="D2041" s="2" t="str">
        <f t="shared" si="30"/>
        <v>Error?</v>
      </c>
    </row>
    <row r="2042" spans="1:4" x14ac:dyDescent="0.2">
      <c r="A2042" s="5">
        <v>1981</v>
      </c>
      <c r="B2042" s="138">
        <f>'Cap Outlay Deprec 26'!I13</f>
        <v>38199</v>
      </c>
      <c r="D2042" s="2" t="str">
        <f t="shared" si="30"/>
        <v>Error?</v>
      </c>
    </row>
    <row r="2043" spans="1:4" x14ac:dyDescent="0.2">
      <c r="A2043" s="5">
        <v>1982</v>
      </c>
      <c r="B2043" s="138">
        <f>'Cap Outlay Deprec 26'!I16</f>
        <v>217388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717439</v>
      </c>
      <c r="C2051" s="2" t="s">
        <v>594</v>
      </c>
      <c r="D2051" s="2" t="str">
        <f t="shared" si="31"/>
        <v>Error?</v>
      </c>
    </row>
    <row r="2052" spans="1:4" x14ac:dyDescent="0.2">
      <c r="A2052" s="5">
        <v>1991</v>
      </c>
      <c r="B2052" s="138">
        <f>'Cap Outlay Deprec 26'!K10</f>
        <v>2449</v>
      </c>
      <c r="C2052" s="2" t="s">
        <v>594</v>
      </c>
      <c r="D2052" s="2" t="str">
        <f t="shared" si="31"/>
        <v>Error?</v>
      </c>
    </row>
    <row r="2053" spans="1:4" x14ac:dyDescent="0.2">
      <c r="A2053" s="5">
        <v>1992</v>
      </c>
      <c r="B2053" s="138">
        <f>'Cap Outlay Deprec 26'!K12</f>
        <v>58454</v>
      </c>
      <c r="C2053" s="2" t="s">
        <v>594</v>
      </c>
      <c r="D2053" s="2" t="str">
        <f t="shared" si="31"/>
        <v>Error?</v>
      </c>
    </row>
    <row r="2054" spans="1:4" x14ac:dyDescent="0.2">
      <c r="A2054" s="5">
        <v>1993</v>
      </c>
      <c r="B2054" s="138">
        <f>'Cap Outlay Deprec 26'!K13</f>
        <v>273881</v>
      </c>
      <c r="C2054" s="2" t="s">
        <v>594</v>
      </c>
      <c r="D2054" s="2" t="str">
        <f t="shared" si="31"/>
        <v>Error?</v>
      </c>
    </row>
    <row r="2055" spans="1:4" x14ac:dyDescent="0.2">
      <c r="A2055" s="5">
        <v>1994</v>
      </c>
      <c r="B2055" s="138">
        <f>'Cap Outlay Deprec 26'!K16</f>
        <v>1052223</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2649503</v>
      </c>
      <c r="C2057" s="2" t="s">
        <v>594</v>
      </c>
      <c r="D2057" s="2" t="str">
        <f t="shared" si="31"/>
        <v>Error?</v>
      </c>
    </row>
    <row r="2058" spans="1:4" x14ac:dyDescent="0.2">
      <c r="A2058" s="5">
        <v>1997</v>
      </c>
      <c r="B2058" s="138">
        <f>'Cap Outlay Deprec 26'!L10</f>
        <v>6018</v>
      </c>
      <c r="C2058" s="2" t="s">
        <v>594</v>
      </c>
      <c r="D2058" s="2" t="str">
        <f t="shared" si="31"/>
        <v>Error?</v>
      </c>
    </row>
    <row r="2059" spans="1:4" x14ac:dyDescent="0.2">
      <c r="A2059" s="5">
        <v>1998</v>
      </c>
      <c r="B2059" s="138">
        <f>'Cap Outlay Deprec 26'!L12</f>
        <v>34000</v>
      </c>
      <c r="C2059" s="2" t="s">
        <v>594</v>
      </c>
      <c r="D2059" s="2" t="str">
        <f t="shared" si="31"/>
        <v>Error?</v>
      </c>
    </row>
    <row r="2060" spans="1:4" x14ac:dyDescent="0.2">
      <c r="A2060" s="5">
        <v>1999</v>
      </c>
      <c r="B2060" s="138">
        <f>'Cap Outlay Deprec 26'!L13</f>
        <v>57798</v>
      </c>
      <c r="C2060" s="2" t="s">
        <v>594</v>
      </c>
      <c r="D2060" s="2" t="str">
        <f t="shared" si="31"/>
        <v>Error?</v>
      </c>
    </row>
    <row r="2061" spans="1:4" x14ac:dyDescent="0.2">
      <c r="A2061" s="5">
        <v>2000</v>
      </c>
      <c r="B2061" s="138">
        <f>'Cap Outlay Deprec 26'!L16</f>
        <v>2747319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86167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86167</v>
      </c>
      <c r="C2088" s="2" t="s">
        <v>594</v>
      </c>
      <c r="D2088" s="2" t="str">
        <f t="shared" si="31"/>
        <v>Error?</v>
      </c>
    </row>
    <row r="2089" spans="1:4" x14ac:dyDescent="0.2">
      <c r="A2089" s="5">
        <v>2028</v>
      </c>
      <c r="B2089" s="138">
        <f>'Expenditures 15-22'!K92</f>
        <v>106002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1177974</v>
      </c>
      <c r="C2551" s="2" t="s">
        <v>594</v>
      </c>
      <c r="D2551" s="2" t="str">
        <f t="shared" si="38"/>
        <v>Error?</v>
      </c>
    </row>
    <row r="2552" spans="1:4" x14ac:dyDescent="0.2">
      <c r="A2552" s="10">
        <v>2491</v>
      </c>
      <c r="D2552" s="2" t="str">
        <f t="shared" si="38"/>
        <v>OK</v>
      </c>
    </row>
    <row r="2553" spans="1:4" x14ac:dyDescent="0.2">
      <c r="A2553" s="5">
        <v>2492</v>
      </c>
      <c r="B2553" s="138">
        <f>'Acct Summary 7-8'!C6</f>
        <v>784045</v>
      </c>
      <c r="C2553" s="2" t="s">
        <v>594</v>
      </c>
      <c r="D2553" s="2" t="str">
        <f t="shared" si="38"/>
        <v>Error?</v>
      </c>
    </row>
    <row r="2554" spans="1:4" x14ac:dyDescent="0.2">
      <c r="A2554" s="5">
        <v>2493</v>
      </c>
      <c r="B2554" s="138">
        <f>'Acct Summary 7-8'!C7</f>
        <v>400555</v>
      </c>
      <c r="C2554" s="2" t="s">
        <v>594</v>
      </c>
      <c r="D2554" s="2" t="str">
        <f t="shared" si="38"/>
        <v>Error?</v>
      </c>
    </row>
    <row r="2555" spans="1:4" x14ac:dyDescent="0.2">
      <c r="A2555" s="5">
        <v>2494</v>
      </c>
      <c r="B2555" s="138">
        <f>'Acct Summary 7-8'!C8</f>
        <v>2362574</v>
      </c>
      <c r="C2555" s="2" t="s">
        <v>594</v>
      </c>
      <c r="D2555" s="2" t="str">
        <f t="shared" si="38"/>
        <v>Error?</v>
      </c>
    </row>
    <row r="2556" spans="1:4" x14ac:dyDescent="0.2">
      <c r="A2556" s="5">
        <v>2495</v>
      </c>
      <c r="B2556" s="138">
        <f>'Acct Summary 7-8'!C12</f>
        <v>1063904</v>
      </c>
      <c r="C2556" s="2" t="s">
        <v>594</v>
      </c>
      <c r="D2556" s="2" t="str">
        <f t="shared" si="38"/>
        <v>Error?</v>
      </c>
    </row>
    <row r="2557" spans="1:4" x14ac:dyDescent="0.2">
      <c r="A2557" s="5">
        <v>2496</v>
      </c>
      <c r="B2557" s="138">
        <f>'Acct Summary 7-8'!C13</f>
        <v>776422</v>
      </c>
      <c r="C2557" s="2" t="s">
        <v>594</v>
      </c>
      <c r="D2557" s="2" t="str">
        <f t="shared" si="38"/>
        <v>Error?</v>
      </c>
    </row>
    <row r="2558" spans="1:4" x14ac:dyDescent="0.2">
      <c r="A2558" s="5">
        <v>2497</v>
      </c>
      <c r="B2558" s="138">
        <f>'Acct Summary 7-8'!C14</f>
        <v>55787</v>
      </c>
      <c r="C2558" s="2" t="s">
        <v>594</v>
      </c>
      <c r="D2558" s="2" t="str">
        <f t="shared" si="38"/>
        <v>Error?</v>
      </c>
    </row>
    <row r="2559" spans="1:4" x14ac:dyDescent="0.2">
      <c r="A2559" s="5">
        <v>2498</v>
      </c>
      <c r="B2559" s="138">
        <f>'Acct Summary 7-8'!C15</f>
        <v>192169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2088282</v>
      </c>
      <c r="C2561" s="2" t="s">
        <v>594</v>
      </c>
      <c r="D2561" s="2" t="str">
        <f t="shared" si="39"/>
        <v>Error?</v>
      </c>
    </row>
    <row r="2562" spans="1:4" x14ac:dyDescent="0.2">
      <c r="A2562" s="5">
        <v>2501</v>
      </c>
      <c r="B2562" s="138">
        <f>'Acct Summary 7-8'!C20</f>
        <v>274292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102661</v>
      </c>
      <c r="C2564" s="2" t="s">
        <v>594</v>
      </c>
      <c r="D2564" s="2" t="str">
        <f t="shared" si="39"/>
        <v>Error?</v>
      </c>
    </row>
    <row r="2565" spans="1:4" x14ac:dyDescent="0.2">
      <c r="A2565" s="10">
        <v>2504</v>
      </c>
      <c r="D2565" s="2" t="str">
        <f t="shared" si="39"/>
        <v>OK</v>
      </c>
    </row>
    <row r="2566" spans="1:4" x14ac:dyDescent="0.2">
      <c r="A2566" s="5">
        <v>2505</v>
      </c>
      <c r="B2566" s="138">
        <f>'Acct Summary 7-8'!D6</f>
        <v>21680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124341</v>
      </c>
      <c r="C2568" s="2" t="s">
        <v>594</v>
      </c>
      <c r="D2568" s="2" t="str">
        <f t="shared" si="39"/>
        <v>Error?</v>
      </c>
    </row>
    <row r="2569" spans="1:4" x14ac:dyDescent="0.2">
      <c r="A2569" s="5">
        <v>2508</v>
      </c>
      <c r="B2569" s="138">
        <f>'Acct Summary 7-8'!D13</f>
        <v>220693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220693</v>
      </c>
      <c r="C2573" s="2" t="s">
        <v>594</v>
      </c>
      <c r="D2573" s="2" t="str">
        <f t="shared" si="39"/>
        <v>Error?</v>
      </c>
    </row>
    <row r="2574" spans="1:4" x14ac:dyDescent="0.2">
      <c r="A2574" s="5">
        <v>2513</v>
      </c>
      <c r="B2574" s="138">
        <f>'Acct Summary 7-8'!D20</f>
        <v>-96352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17674</v>
      </c>
      <c r="C2591" s="2" t="s">
        <v>594</v>
      </c>
      <c r="D2591" s="2" t="str">
        <f t="shared" si="39"/>
        <v>Error?</v>
      </c>
    </row>
    <row r="2592" spans="1:4" x14ac:dyDescent="0.2">
      <c r="A2592" s="10">
        <v>2531</v>
      </c>
      <c r="D2592" s="2" t="str">
        <f t="shared" si="39"/>
        <v>OK</v>
      </c>
    </row>
    <row r="2593" spans="1:4" x14ac:dyDescent="0.2">
      <c r="A2593" s="5">
        <v>2532</v>
      </c>
      <c r="B2593" s="138">
        <f>'Acct Summary 7-8'!F6</f>
        <v>138733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156407</v>
      </c>
      <c r="C2595" s="2" t="s">
        <v>594</v>
      </c>
      <c r="D2595" s="2" t="str">
        <f t="shared" si="39"/>
        <v>Error?</v>
      </c>
    </row>
    <row r="2596" spans="1:4" x14ac:dyDescent="0.2">
      <c r="A2596" s="5">
        <v>2535</v>
      </c>
      <c r="B2596" s="138">
        <f>'Acct Summary 7-8'!F13</f>
        <v>126991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36049</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163040</v>
      </c>
      <c r="C2600" s="2" t="s">
        <v>594</v>
      </c>
      <c r="D2600" s="2" t="str">
        <f t="shared" si="39"/>
        <v>Error?</v>
      </c>
    </row>
    <row r="2601" spans="1:4" x14ac:dyDescent="0.2">
      <c r="A2601" s="5">
        <v>2540</v>
      </c>
      <c r="B2601" s="138">
        <f>'Acct Summary 7-8'!F20</f>
        <v>-6633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54287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54287</v>
      </c>
      <c r="C2606" s="2" t="s">
        <v>594</v>
      </c>
      <c r="D2606" s="2" t="str">
        <f t="shared" si="39"/>
        <v>Error?</v>
      </c>
    </row>
    <row r="2607" spans="1:4" x14ac:dyDescent="0.2">
      <c r="A2607" s="5">
        <v>2546</v>
      </c>
      <c r="B2607" s="138">
        <f>'Acct Summary 7-8'!G12</f>
        <v>16579</v>
      </c>
      <c r="C2607" s="2" t="s">
        <v>594</v>
      </c>
      <c r="D2607" s="2" t="str">
        <f t="shared" si="39"/>
        <v>Error?</v>
      </c>
    </row>
    <row r="2608" spans="1:4" x14ac:dyDescent="0.2">
      <c r="A2608" s="5">
        <v>2547</v>
      </c>
      <c r="B2608" s="138">
        <f>'Acct Summary 7-8'!G13</f>
        <v>26484</v>
      </c>
      <c r="C2608" s="2" t="s">
        <v>594</v>
      </c>
      <c r="D2608" s="2" t="str">
        <f t="shared" si="39"/>
        <v>Error?</v>
      </c>
    </row>
    <row r="2609" spans="1:4" x14ac:dyDescent="0.2">
      <c r="A2609" s="5">
        <v>2548</v>
      </c>
      <c r="B2609" s="138">
        <f>'Acct Summary 7-8'!G14</f>
        <v>6379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49442</v>
      </c>
      <c r="C2612" s="2" t="s">
        <v>594</v>
      </c>
      <c r="D2612" s="2" t="str">
        <f t="shared" si="39"/>
        <v>Error?</v>
      </c>
    </row>
    <row r="2613" spans="1:4" x14ac:dyDescent="0.2">
      <c r="A2613" s="5">
        <v>2552</v>
      </c>
      <c r="B2613" s="138">
        <f>'Acct Summary 7-8'!G20</f>
        <v>4845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36049</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36049</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3077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64926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64926</v>
      </c>
      <c r="D2912" s="2" t="str">
        <f t="shared" si="44"/>
        <v>Error?</v>
      </c>
    </row>
    <row r="2913" spans="1:4" x14ac:dyDescent="0.2">
      <c r="A2913" s="5">
        <v>2852</v>
      </c>
      <c r="B2913" s="138">
        <f>'Assets-Liab 5-6'!I41</f>
        <v>64926</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76834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9333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76834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9333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36049</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36049</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103694</v>
      </c>
      <c r="D3055" s="2" t="str">
        <f t="shared" si="46"/>
        <v>Error?</v>
      </c>
    </row>
    <row r="3056" spans="1:4" x14ac:dyDescent="0.2">
      <c r="A3056" s="5">
        <v>2995</v>
      </c>
      <c r="B3056" s="138">
        <f>'Expenditures 15-22'!D10</f>
        <v>9308</v>
      </c>
      <c r="D3056" s="2" t="str">
        <f t="shared" si="46"/>
        <v>Error?</v>
      </c>
    </row>
    <row r="3057" spans="1:4" x14ac:dyDescent="0.2">
      <c r="A3057" s="5">
        <v>2996</v>
      </c>
      <c r="B3057" s="138">
        <f>'Expenditures 15-22'!E10</f>
        <v>8935</v>
      </c>
      <c r="D3057" s="2" t="str">
        <f t="shared" si="46"/>
        <v>Error?</v>
      </c>
    </row>
    <row r="3058" spans="1:4" x14ac:dyDescent="0.2">
      <c r="A3058" s="5">
        <v>2997</v>
      </c>
      <c r="B3058" s="138">
        <f>'Expenditures 15-22'!F10</f>
        <v>20857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142794</v>
      </c>
      <c r="C3062" s="2" t="s">
        <v>594</v>
      </c>
      <c r="D3062" s="2" t="str">
        <f t="shared" si="46"/>
        <v>Error?</v>
      </c>
    </row>
    <row r="3063" spans="1:4" x14ac:dyDescent="0.2">
      <c r="A3063" s="10">
        <v>3002</v>
      </c>
      <c r="D3063" s="2" t="str">
        <f t="shared" si="46"/>
        <v>OK</v>
      </c>
    </row>
    <row r="3064" spans="1:4" x14ac:dyDescent="0.2">
      <c r="A3064" s="5">
        <v>3003</v>
      </c>
      <c r="B3064" s="138">
        <f>'Expenditures 15-22'!D219</f>
        <v>5091</v>
      </c>
      <c r="D3064" s="2" t="str">
        <f t="shared" si="46"/>
        <v>Error?</v>
      </c>
    </row>
    <row r="3065" spans="1:4" x14ac:dyDescent="0.2">
      <c r="A3065" s="5">
        <v>3004</v>
      </c>
      <c r="B3065" s="138">
        <f>'Expenditures 15-22'!K219</f>
        <v>5091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5024</v>
      </c>
      <c r="C3225" s="2" t="s">
        <v>594</v>
      </c>
      <c r="D3225" s="2" t="str">
        <f t="shared" si="49"/>
        <v>Error?</v>
      </c>
    </row>
    <row r="3226" spans="1:4" x14ac:dyDescent="0.2">
      <c r="A3226" s="5">
        <v>3165</v>
      </c>
      <c r="B3226" s="138">
        <f>'Acct Summary 7-8'!I8</f>
        <v>5024</v>
      </c>
      <c r="C3226" s="2" t="s">
        <v>594</v>
      </c>
      <c r="D3226" s="2" t="str">
        <f t="shared" si="49"/>
        <v>Error?</v>
      </c>
    </row>
    <row r="3227" spans="1:4" x14ac:dyDescent="0.2">
      <c r="A3227" s="5">
        <v>3166</v>
      </c>
      <c r="B3227" s="138">
        <f>'Acct Summary 7-8'!I20</f>
        <v>5024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274292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-96352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-6633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4845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5024</v>
      </c>
      <c r="C3320" s="2" t="s">
        <v>594</v>
      </c>
      <c r="D3320" s="2" t="str">
        <f t="shared" si="50"/>
        <v>Error?</v>
      </c>
    </row>
    <row r="3321" spans="1:4" x14ac:dyDescent="0.2">
      <c r="A3321" s="5">
        <v>3260</v>
      </c>
      <c r="B3321" s="138">
        <f>'Acct Summary 7-8'!I79</f>
        <v>59902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64926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128058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10758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143412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6022</v>
      </c>
      <c r="D3387" s="2" t="str">
        <f t="shared" si="51"/>
        <v>Error?</v>
      </c>
    </row>
    <row r="3388" spans="1:4" x14ac:dyDescent="0.2">
      <c r="A3388" s="5">
        <v>3327</v>
      </c>
      <c r="B3388" s="138">
        <f>'Expenditures 15-22'!D217</f>
        <v>1833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6022</v>
      </c>
      <c r="C3390" s="2" t="s">
        <v>594</v>
      </c>
      <c r="D3390" s="2" t="str">
        <f t="shared" si="51"/>
        <v>Error?</v>
      </c>
    </row>
    <row r="3391" spans="1:4" x14ac:dyDescent="0.2">
      <c r="A3391" s="5">
        <v>3330</v>
      </c>
      <c r="B3391" s="138">
        <f>'Expenditures 15-22'!K217</f>
        <v>1833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1109047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164468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49873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17821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v>
      </c>
      <c r="D3425" s="2" t="str">
        <f t="shared" si="52"/>
        <v>Error?</v>
      </c>
    </row>
    <row r="3426" spans="1:4" x14ac:dyDescent="0.2">
      <c r="A3426" s="10">
        <v>3365</v>
      </c>
      <c r="D3426" s="2" t="str">
        <f t="shared" si="52"/>
        <v>OK</v>
      </c>
    </row>
    <row r="3427" spans="1:4" x14ac:dyDescent="0.2">
      <c r="A3427" s="5">
        <v>3366</v>
      </c>
      <c r="B3427" s="138">
        <f>'Assets-Liab 5-6'!I4</f>
        <v>61849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8222</v>
      </c>
      <c r="C3446" s="2" t="s">
        <v>594</v>
      </c>
      <c r="D3446" s="2" t="str">
        <f t="shared" si="52"/>
        <v>Error?</v>
      </c>
    </row>
    <row r="3447" spans="1:4" x14ac:dyDescent="0.2">
      <c r="A3447" s="5">
        <v>3386</v>
      </c>
      <c r="B3447" s="138">
        <f>'Tax Sched 23'!D16</f>
        <v>8162</v>
      </c>
      <c r="C3447" s="2" t="s">
        <v>594</v>
      </c>
      <c r="D3447" s="2" t="str">
        <f t="shared" si="52"/>
        <v>Error?</v>
      </c>
    </row>
    <row r="3448" spans="1:4" x14ac:dyDescent="0.2">
      <c r="A3448" s="5">
        <v>3387</v>
      </c>
      <c r="B3448" s="138">
        <f>'Tax Sched 23'!C16</f>
        <v>60</v>
      </c>
      <c r="D3448" s="2" t="str">
        <f t="shared" si="52"/>
        <v>Error?</v>
      </c>
    </row>
    <row r="3449" spans="1:4" x14ac:dyDescent="0.2">
      <c r="A3449" s="5">
        <v>3388</v>
      </c>
      <c r="B3449" s="138">
        <f>'Tax Sched 23'!F16</f>
        <v>8441</v>
      </c>
      <c r="C3449" s="2" t="s">
        <v>594</v>
      </c>
      <c r="D3449" s="2" t="str">
        <f t="shared" si="52"/>
        <v>Error?</v>
      </c>
    </row>
    <row r="3450" spans="1:4" x14ac:dyDescent="0.2">
      <c r="A3450" s="5">
        <v>3389</v>
      </c>
      <c r="B3450" s="138">
        <f>'Tax Sched 23'!E16</f>
        <v>8501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1706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1706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1706</v>
      </c>
      <c r="D3567" s="2" t="str">
        <f t="shared" si="54"/>
        <v>Error?</v>
      </c>
    </row>
    <row r="3568" spans="1:4" x14ac:dyDescent="0.2">
      <c r="A3568" s="5">
        <v>3507</v>
      </c>
      <c r="B3568" s="138">
        <f>'Assets-Liab 5-6'!K41</f>
        <v>1706</v>
      </c>
      <c r="C3568" s="2" t="s">
        <v>594</v>
      </c>
      <c r="D3568" s="2" t="str">
        <f t="shared" si="54"/>
        <v>Error?</v>
      </c>
    </row>
    <row r="3569" spans="1:4" x14ac:dyDescent="0.2">
      <c r="A3569" s="5">
        <v>3508</v>
      </c>
      <c r="B3569" s="138">
        <f>'Acct Summary 7-8'!K4</f>
        <v>4741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4741</v>
      </c>
      <c r="C3571" s="2" t="s">
        <v>594</v>
      </c>
      <c r="D3571" s="2" t="str">
        <f t="shared" si="54"/>
        <v>Error?</v>
      </c>
    </row>
    <row r="3572" spans="1:4" x14ac:dyDescent="0.2">
      <c r="A3572" s="5">
        <v>3511</v>
      </c>
      <c r="B3572" s="138">
        <f>'Acct Summary 7-8'!K13</f>
        <v>3035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3035</v>
      </c>
      <c r="C3575" s="2" t="s">
        <v>594</v>
      </c>
      <c r="D3575" s="2" t="str">
        <f t="shared" si="54"/>
        <v>Error?</v>
      </c>
    </row>
    <row r="3576" spans="1:4" x14ac:dyDescent="0.2">
      <c r="A3576" s="5">
        <v>3515</v>
      </c>
      <c r="B3576" s="138">
        <f>'Acct Summary 7-8'!K20</f>
        <v>1706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1706</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1706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3035</v>
      </c>
      <c r="D3632" s="2" t="str">
        <f t="shared" si="55"/>
        <v>Error?</v>
      </c>
    </row>
    <row r="3633" spans="1:4" x14ac:dyDescent="0.2">
      <c r="A3633" s="5">
        <v>3572</v>
      </c>
      <c r="B3633" s="138">
        <f>'Expenditures 15-22'!E350</f>
        <v>3035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3035</v>
      </c>
      <c r="C3635" s="2" t="s">
        <v>594</v>
      </c>
      <c r="D3635" s="2" t="str">
        <f t="shared" si="55"/>
        <v>Error?</v>
      </c>
    </row>
    <row r="3636" spans="1:4" x14ac:dyDescent="0.2">
      <c r="A3636" s="5">
        <v>3575</v>
      </c>
      <c r="B3636" s="138">
        <f>'Expenditures 15-22'!E367</f>
        <v>3035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3035</v>
      </c>
      <c r="C3669" s="2" t="s">
        <v>594</v>
      </c>
      <c r="D3669" s="2" t="str">
        <f t="shared" si="56"/>
        <v>Error?</v>
      </c>
    </row>
    <row r="3670" spans="1:4" x14ac:dyDescent="0.2">
      <c r="A3670" s="5">
        <v>3609</v>
      </c>
      <c r="B3670" s="138">
        <f>'Expenditures 15-22'!K350</f>
        <v>3035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3035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3035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1706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4730</v>
      </c>
      <c r="C3725" s="2" t="s">
        <v>594</v>
      </c>
      <c r="D3725" s="2" t="str">
        <f t="shared" si="57"/>
        <v>Error?</v>
      </c>
    </row>
    <row r="3726" spans="1:4" x14ac:dyDescent="0.2">
      <c r="A3726" s="5">
        <v>3665</v>
      </c>
      <c r="B3726" s="138">
        <f>'Tax Sched 23'!D13</f>
        <v>4695</v>
      </c>
      <c r="C3726" s="2" t="s">
        <v>594</v>
      </c>
      <c r="D3726" s="2" t="str">
        <f t="shared" si="57"/>
        <v>Error?</v>
      </c>
    </row>
    <row r="3727" spans="1:4" x14ac:dyDescent="0.2">
      <c r="A3727" s="5">
        <v>3666</v>
      </c>
      <c r="B3727" s="138">
        <f>'Tax Sched 23'!C13</f>
        <v>35</v>
      </c>
      <c r="D3727" s="2" t="str">
        <f t="shared" si="57"/>
        <v>Error?</v>
      </c>
    </row>
    <row r="3728" spans="1:4" x14ac:dyDescent="0.2">
      <c r="A3728" s="5">
        <v>3667</v>
      </c>
      <c r="B3728" s="138">
        <f>'Tax Sched 23'!F13</f>
        <v>4851</v>
      </c>
      <c r="C3728" s="2" t="s">
        <v>594</v>
      </c>
      <c r="D3728" s="2" t="str">
        <f t="shared" si="57"/>
        <v>Error?</v>
      </c>
    </row>
    <row r="3729" spans="1:4" x14ac:dyDescent="0.2">
      <c r="A3729" s="5">
        <v>3668</v>
      </c>
      <c r="B3729" s="138">
        <f>'Tax Sched 23'!E13</f>
        <v>4886</v>
      </c>
      <c r="D3729" s="2" t="str">
        <f t="shared" si="57"/>
        <v>Error?</v>
      </c>
    </row>
    <row r="3730" spans="1:4" x14ac:dyDescent="0.2">
      <c r="A3730" s="5">
        <v>3669</v>
      </c>
      <c r="B3730" s="138">
        <f>'ICR Computation 30'!E10</f>
        <v>44207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552103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2914677</v>
      </c>
      <c r="C4122" s="2" t="s">
        <v>594</v>
      </c>
      <c r="D4122" s="2" t="str">
        <f t="shared" si="63"/>
        <v>Error?</v>
      </c>
    </row>
    <row r="4123" spans="1:4" x14ac:dyDescent="0.2">
      <c r="A4123" s="5">
        <v>4062</v>
      </c>
      <c r="B4123" s="138">
        <f>'Acct Summary 7-8'!D10</f>
        <v>124341</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156407</v>
      </c>
      <c r="C4125" s="2" t="s">
        <v>594</v>
      </c>
      <c r="D4125" s="2" t="str">
        <f t="shared" si="63"/>
        <v>Error?</v>
      </c>
    </row>
    <row r="4126" spans="1:4" x14ac:dyDescent="0.2">
      <c r="A4126" s="5">
        <v>4065</v>
      </c>
      <c r="B4126" s="138">
        <f>'Acct Summary 7-8'!G10</f>
        <v>54287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5024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4741</v>
      </c>
      <c r="C4130" s="2" t="s">
        <v>594</v>
      </c>
      <c r="D4130" s="2" t="str">
        <f t="shared" si="63"/>
        <v>Error?</v>
      </c>
    </row>
    <row r="4131" spans="1:4" x14ac:dyDescent="0.2">
      <c r="A4131" s="5">
        <v>4070</v>
      </c>
      <c r="B4131" s="138">
        <f>'Acct Summary 7-8'!C18</f>
        <v>552103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2640385</v>
      </c>
      <c r="C4136" s="2" t="s">
        <v>594</v>
      </c>
      <c r="D4136" s="2" t="str">
        <f t="shared" si="63"/>
        <v>Error?</v>
      </c>
    </row>
    <row r="4137" spans="1:4" x14ac:dyDescent="0.2">
      <c r="A4137" s="5">
        <v>4076</v>
      </c>
      <c r="B4137" s="138">
        <f>'Acct Summary 7-8'!D19</f>
        <v>220693</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163040</v>
      </c>
      <c r="C4139" s="2" t="s">
        <v>594</v>
      </c>
      <c r="D4139" s="2" t="str">
        <f t="shared" si="63"/>
        <v>Error?</v>
      </c>
    </row>
    <row r="4140" spans="1:4" x14ac:dyDescent="0.2">
      <c r="A4140" s="5">
        <v>4079</v>
      </c>
      <c r="B4140" s="138">
        <f>'Acct Summary 7-8'!G19</f>
        <v>49442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3035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2650</v>
      </c>
      <c r="C4265" s="2" t="s">
        <v>594</v>
      </c>
      <c r="D4265" s="2" t="str">
        <f t="shared" si="65"/>
        <v>Error?</v>
      </c>
      <c r="E4265" s="128"/>
    </row>
    <row r="4266" spans="1:5" x14ac:dyDescent="0.2">
      <c r="A4266" s="12">
        <v>4205</v>
      </c>
      <c r="B4266" s="138">
        <f>('FP Info 3'!F10)*100000</f>
        <v>434.99999999999994</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3284.9999999999995</v>
      </c>
      <c r="C4268" s="2" t="s">
        <v>594</v>
      </c>
      <c r="D4268" s="2" t="str">
        <f t="shared" si="65"/>
        <v>Error?</v>
      </c>
    </row>
    <row r="4269" spans="1:5" x14ac:dyDescent="0.2">
      <c r="A4269" s="12">
        <v>4208</v>
      </c>
      <c r="B4269" s="138">
        <f>'FP Info 3'!J16</f>
        <v>2387795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132949</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132949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9994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86481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4196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9771681</v>
      </c>
      <c r="D4995" s="2" t="str">
        <f t="shared" si="77"/>
        <v>Error?</v>
      </c>
    </row>
    <row r="4996" spans="1:4" x14ac:dyDescent="0.2">
      <c r="A4996" s="12">
        <v>4935</v>
      </c>
      <c r="B4996" s="138">
        <f>'FP Info 3'!H31</f>
        <v>1348491.9780000001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4730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250688</v>
      </c>
      <c r="D5061" s="2" t="str">
        <f t="shared" si="78"/>
        <v>Error?</v>
      </c>
    </row>
    <row r="5062" spans="1:4" x14ac:dyDescent="0.2">
      <c r="A5062" s="10">
        <v>5001</v>
      </c>
      <c r="D5062" s="2" t="str">
        <f t="shared" si="78"/>
        <v>OK</v>
      </c>
    </row>
    <row r="5063" spans="1:4" x14ac:dyDescent="0.2">
      <c r="A5063" s="5">
        <v>5002</v>
      </c>
      <c r="B5063" s="138">
        <f>'Revenues 9-14'!C7</f>
        <v>3784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259202</v>
      </c>
      <c r="C5066" s="2" t="s">
        <v>594</v>
      </c>
      <c r="D5066" s="2" t="str">
        <f t="shared" si="78"/>
        <v>Error?</v>
      </c>
    </row>
    <row r="5067" spans="1:4" x14ac:dyDescent="0.2">
      <c r="A5067" s="5">
        <v>5006</v>
      </c>
      <c r="B5067" s="138">
        <f>'Revenues 9-14'!C14</f>
        <v>54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879609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879663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9589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9589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7459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21461</v>
      </c>
      <c r="D5119" s="2" t="str">
        <f t="shared" ref="D5119:D5182" si="79">IF(ISBLANK(B5119),"OK",IF(A5119-B5119=0,"OK","Error?"))</f>
        <v>Error?</v>
      </c>
    </row>
    <row r="5120" spans="1:4" x14ac:dyDescent="0.2">
      <c r="A5120" s="5">
        <v>5059</v>
      </c>
      <c r="B5120" s="138">
        <f>'Revenues 9-14'!C108</f>
        <v>29520</v>
      </c>
      <c r="C5120" s="2" t="s">
        <v>594</v>
      </c>
      <c r="D5120" s="2" t="str">
        <f t="shared" si="79"/>
        <v>Error?</v>
      </c>
    </row>
    <row r="5121" spans="1:4" x14ac:dyDescent="0.2">
      <c r="A5121" s="5">
        <v>5060</v>
      </c>
      <c r="B5121" s="138">
        <f>'Revenues 9-14'!C109</f>
        <v>1177974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638266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638266</v>
      </c>
      <c r="C5132" s="2" t="s">
        <v>594</v>
      </c>
      <c r="D5132" s="2" t="str">
        <f t="shared" si="79"/>
        <v>Error?</v>
      </c>
    </row>
    <row r="5133" spans="1:4" x14ac:dyDescent="0.2">
      <c r="A5133" s="5">
        <v>5072</v>
      </c>
      <c r="B5133" s="138">
        <f>'Revenues 9-14'!C124</f>
        <v>34766</v>
      </c>
      <c r="D5133" s="2" t="str">
        <f t="shared" si="79"/>
        <v>Error?</v>
      </c>
    </row>
    <row r="5134" spans="1:4" x14ac:dyDescent="0.2">
      <c r="A5134" s="5">
        <v>5073</v>
      </c>
      <c r="B5134" s="138">
        <f>'Revenues 9-14'!C125</f>
        <v>10086</v>
      </c>
      <c r="D5134" s="2" t="str">
        <f t="shared" si="79"/>
        <v>Error?</v>
      </c>
    </row>
    <row r="5135" spans="1:4" x14ac:dyDescent="0.2">
      <c r="A5135" s="5">
        <v>5074</v>
      </c>
      <c r="B5135" s="138">
        <f>'Revenues 9-14'!C126</f>
        <v>12649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935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58436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862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145779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784045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28622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17585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46207</v>
      </c>
      <c r="C5246" s="2" t="s">
        <v>594</v>
      </c>
      <c r="D5246" s="2" t="str">
        <f t="shared" si="80"/>
        <v>Error?</v>
      </c>
    </row>
    <row r="5247" spans="1:4" x14ac:dyDescent="0.2">
      <c r="A5247" s="5">
        <v>5186</v>
      </c>
      <c r="B5247" s="138">
        <f>'Revenues 9-14'!C203</f>
        <v>163949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163949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43260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43260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400555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400555</v>
      </c>
      <c r="C5326" s="2" t="s">
        <v>594</v>
      </c>
      <c r="D5326" s="2" t="str">
        <f t="shared" si="82"/>
        <v>Error?</v>
      </c>
    </row>
    <row r="5327" spans="1:4" x14ac:dyDescent="0.2">
      <c r="A5327" s="5">
        <v>5266</v>
      </c>
      <c r="B5327" s="138">
        <f>'Revenues 9-14'!C275</f>
        <v>2362574</v>
      </c>
      <c r="C5327" s="2" t="s">
        <v>594</v>
      </c>
      <c r="D5327" s="2" t="str">
        <f t="shared" si="82"/>
        <v>Error?</v>
      </c>
    </row>
    <row r="5328" spans="1:4" x14ac:dyDescent="0.2">
      <c r="A5328" s="5">
        <v>5267</v>
      </c>
      <c r="B5328" s="138">
        <f>'Revenues 9-14'!D5</f>
        <v>42856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42856</v>
      </c>
      <c r="C5334" s="2" t="s">
        <v>594</v>
      </c>
      <c r="D5334" s="2" t="str">
        <f t="shared" si="82"/>
        <v>Error?</v>
      </c>
    </row>
    <row r="5335" spans="1:4" x14ac:dyDescent="0.2">
      <c r="A5335" s="5">
        <v>5274</v>
      </c>
      <c r="B5335" s="138">
        <f>'Revenues 9-14'!D14</f>
        <v>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58771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58780</v>
      </c>
      <c r="C5339" s="2" t="s">
        <v>594</v>
      </c>
      <c r="D5339" s="2" t="str">
        <f t="shared" si="82"/>
        <v>Error?</v>
      </c>
    </row>
    <row r="5340" spans="1:4" x14ac:dyDescent="0.2">
      <c r="A5340" s="5">
        <v>5279</v>
      </c>
      <c r="B5340" s="138">
        <f>'Revenues 9-14'!D65</f>
        <v>1025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1025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102661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21680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21680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21680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124341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17215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17215</v>
      </c>
      <c r="C5557" s="2" t="s">
        <v>594</v>
      </c>
      <c r="D5557" s="2" t="str">
        <f t="shared" si="85"/>
        <v>Error?</v>
      </c>
    </row>
    <row r="5558" spans="1:4" x14ac:dyDescent="0.2">
      <c r="A5558" s="5">
        <v>5497</v>
      </c>
      <c r="B5558" s="138">
        <f>'Revenues 9-14'!F14</f>
        <v>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455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17674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86695</v>
      </c>
      <c r="D5615" s="2" t="str">
        <f t="shared" si="86"/>
        <v>Error?</v>
      </c>
    </row>
    <row r="5616" spans="1:4" x14ac:dyDescent="0.2">
      <c r="A5616" s="10">
        <v>5555</v>
      </c>
      <c r="D5616" s="2" t="str">
        <f t="shared" si="86"/>
        <v>OK</v>
      </c>
    </row>
    <row r="5617" spans="1:4" x14ac:dyDescent="0.2">
      <c r="A5617" s="5">
        <v>5556</v>
      </c>
      <c r="B5617" s="138">
        <f>'Revenues 9-14'!F152</f>
        <v>52038</v>
      </c>
      <c r="D5617" s="2" t="str">
        <f t="shared" si="86"/>
        <v>Error?</v>
      </c>
    </row>
    <row r="5618" spans="1:4" x14ac:dyDescent="0.2">
      <c r="A5618" s="5">
        <v>5557</v>
      </c>
      <c r="B5618" s="138">
        <f>'Revenues 9-14'!F154</f>
        <v>138733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138733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138733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156407</v>
      </c>
      <c r="C5720" s="2" t="s">
        <v>594</v>
      </c>
      <c r="D5720" s="2" t="str">
        <f t="shared" si="88"/>
        <v>Error?</v>
      </c>
    </row>
    <row r="5721" spans="1:4" x14ac:dyDescent="0.2">
      <c r="A5721" s="5">
        <v>5660</v>
      </c>
      <c r="B5721" s="138">
        <f>'Revenues 9-14'!G5</f>
        <v>2440</v>
      </c>
      <c r="D5721" s="2" t="str">
        <f t="shared" si="88"/>
        <v>Error?</v>
      </c>
    </row>
    <row r="5722" spans="1:4" x14ac:dyDescent="0.2">
      <c r="A5722" s="5">
        <v>5661</v>
      </c>
      <c r="B5722" s="138">
        <f>'Revenues 9-14'!G7</f>
        <v>0</v>
      </c>
      <c r="D5722" s="2" t="str">
        <f t="shared" si="88"/>
        <v>Error?</v>
      </c>
    </row>
    <row r="5723" spans="1:4" x14ac:dyDescent="0.2">
      <c r="A5723" s="5">
        <v>5662</v>
      </c>
      <c r="B5723" s="138">
        <f>'Revenues 9-14'!G8</f>
        <v>8222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10662</v>
      </c>
      <c r="C5725" s="2" t="s">
        <v>594</v>
      </c>
      <c r="D5725" s="2" t="str">
        <f t="shared" si="88"/>
        <v>Error?</v>
      </c>
    </row>
    <row r="5726" spans="1:4" x14ac:dyDescent="0.2">
      <c r="A5726" s="5">
        <v>5665</v>
      </c>
      <c r="B5726" s="138">
        <f>'Revenues 9-14'!G14</f>
        <v>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43557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43559</v>
      </c>
      <c r="C5730" s="2" t="s">
        <v>594</v>
      </c>
      <c r="D5730" s="2" t="str">
        <f t="shared" si="88"/>
        <v>Error?</v>
      </c>
    </row>
    <row r="5731" spans="1:4" x14ac:dyDescent="0.2">
      <c r="A5731" s="5">
        <v>5670</v>
      </c>
      <c r="B5731" s="138">
        <f>'Revenues 9-14'!G65</f>
        <v>66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54287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4730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4730</v>
      </c>
      <c r="C5918" s="2" t="s">
        <v>594</v>
      </c>
      <c r="D5918" s="2" t="str">
        <f t="shared" si="91"/>
        <v>Error?</v>
      </c>
    </row>
    <row r="5919" spans="1:4" x14ac:dyDescent="0.2">
      <c r="A5919" s="5">
        <v>5858</v>
      </c>
      <c r="B5919" s="138">
        <f>'Revenues 9-14'!I14</f>
        <v>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v>
      </c>
      <c r="C5923" s="2" t="s">
        <v>594</v>
      </c>
      <c r="D5923" s="2" t="str">
        <f t="shared" si="91"/>
        <v>Error?</v>
      </c>
    </row>
    <row r="5924" spans="1:4" x14ac:dyDescent="0.2">
      <c r="A5924" s="5">
        <v>5863</v>
      </c>
      <c r="B5924" s="138">
        <f>'Revenues 9-14'!I65</f>
        <v>293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5024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4730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4730</v>
      </c>
      <c r="C5987" s="2" t="s">
        <v>594</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v>
      </c>
      <c r="C5992" s="2" t="s">
        <v>594</v>
      </c>
      <c r="D5992" s="2" t="str">
        <f t="shared" si="92"/>
        <v>Error?</v>
      </c>
    </row>
    <row r="5993" spans="1:4" x14ac:dyDescent="0.2">
      <c r="A5993" s="5">
        <v>5932</v>
      </c>
      <c r="B5993" s="138">
        <f>'Revenues 9-14'!K65</f>
        <v>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4741</v>
      </c>
      <c r="C6023" s="2" t="s">
        <v>594</v>
      </c>
      <c r="D6023" s="2" t="str">
        <f t="shared" si="93"/>
        <v>Error?</v>
      </c>
    </row>
    <row r="6024" spans="1:5" x14ac:dyDescent="0.2">
      <c r="A6024" s="5">
        <v>5963</v>
      </c>
      <c r="B6024" s="138">
        <f>'Revenues 9-14'!G109</f>
        <v>54287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5024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4741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4889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78.400000000000006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2310</v>
      </c>
      <c r="D6215" s="2" t="str">
        <f t="shared" si="96"/>
        <v>Error?</v>
      </c>
      <c r="E6215" s="2" t="s">
        <v>199</v>
      </c>
    </row>
    <row r="6216" spans="1:5" x14ac:dyDescent="0.2">
      <c r="A6216">
        <v>6155</v>
      </c>
      <c r="B6216" s="138">
        <f>'Assets-Liab 5-6'!J41</f>
        <v>2310</v>
      </c>
      <c r="D6216" s="2" t="str">
        <f t="shared" si="96"/>
        <v>Error?</v>
      </c>
      <c r="E6216" s="2" t="s">
        <v>199</v>
      </c>
    </row>
    <row r="6217" spans="1:5" x14ac:dyDescent="0.2">
      <c r="A6217">
        <v>6156</v>
      </c>
      <c r="B6217" s="138">
        <f>'Assets-Liab 5-6'!J4</f>
        <v>2310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101019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101019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101019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103872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103872</v>
      </c>
      <c r="D6229" s="2" t="str">
        <f t="shared" si="96"/>
        <v>Error?</v>
      </c>
      <c r="E6229" s="2" t="s">
        <v>199</v>
      </c>
    </row>
    <row r="6230" spans="1:5" x14ac:dyDescent="0.2">
      <c r="A6230">
        <v>6169</v>
      </c>
      <c r="B6230" s="138">
        <f>'Acct Summary 7-8'!J20</f>
        <v>-2853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-2853</v>
      </c>
      <c r="D6263" s="2" t="str">
        <f t="shared" si="96"/>
        <v>Error?</v>
      </c>
      <c r="E6263" s="2" t="s">
        <v>199</v>
      </c>
    </row>
    <row r="6264" spans="1:5" x14ac:dyDescent="0.2">
      <c r="A6264">
        <v>6203</v>
      </c>
      <c r="B6264" s="138">
        <f>'Acct Summary 7-8'!J79</f>
        <v>5163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2310</v>
      </c>
      <c r="D6266" s="2" t="str">
        <f t="shared" si="96"/>
        <v>Error?</v>
      </c>
      <c r="E6266" s="2" t="s">
        <v>199</v>
      </c>
    </row>
    <row r="6267" spans="1:5" x14ac:dyDescent="0.2">
      <c r="A6267">
        <v>6206</v>
      </c>
      <c r="B6267" s="138">
        <f>'Acct Summary 7-8'!C82</f>
        <v>274292</v>
      </c>
      <c r="D6267" s="2" t="str">
        <f t="shared" si="96"/>
        <v>Error?</v>
      </c>
      <c r="E6267" s="2" t="s">
        <v>199</v>
      </c>
    </row>
    <row r="6268" spans="1:5" x14ac:dyDescent="0.2">
      <c r="A6268">
        <v>6207</v>
      </c>
      <c r="B6268" s="138">
        <f>'Acct Summary 7-8'!D82</f>
        <v>-96352</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-6633</v>
      </c>
      <c r="D6270" s="2" t="str">
        <f t="shared" si="96"/>
        <v>Error?</v>
      </c>
      <c r="E6270" s="2" t="s">
        <v>199</v>
      </c>
    </row>
    <row r="6271" spans="1:5" x14ac:dyDescent="0.2">
      <c r="A6271">
        <v>6210</v>
      </c>
      <c r="B6271" s="138">
        <f>'Acct Summary 7-8'!G82</f>
        <v>4845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5024</v>
      </c>
      <c r="D6273" s="2" t="str">
        <f t="shared" si="97"/>
        <v>Error?</v>
      </c>
      <c r="E6273" s="2" t="s">
        <v>199</v>
      </c>
    </row>
    <row r="6274" spans="1:5" x14ac:dyDescent="0.2">
      <c r="A6274">
        <v>6213</v>
      </c>
      <c r="B6274" s="138">
        <f>'Acct Summary 7-8'!J82</f>
        <v>-2853</v>
      </c>
      <c r="D6274" s="2" t="str">
        <f t="shared" si="97"/>
        <v>Error?</v>
      </c>
      <c r="E6274" s="2" t="s">
        <v>199</v>
      </c>
    </row>
    <row r="6275" spans="1:5" x14ac:dyDescent="0.2">
      <c r="A6275">
        <v>6214</v>
      </c>
      <c r="B6275" s="138">
        <f>'Acct Summary 7-8'!K82</f>
        <v>1706</v>
      </c>
      <c r="D6275" s="2" t="str">
        <f t="shared" si="97"/>
        <v>Error?</v>
      </c>
      <c r="E6275" s="2" t="s">
        <v>199</v>
      </c>
    </row>
    <row r="6276" spans="1:5" x14ac:dyDescent="0.2">
      <c r="A6276">
        <v>6215</v>
      </c>
      <c r="B6276" s="138">
        <f>'Acct Summary 7-8'!C83</f>
        <v>0.13005501065410616</v>
      </c>
      <c r="D6276" s="2" t="str">
        <f t="shared" si="97"/>
        <v>Error?</v>
      </c>
      <c r="E6276" s="2" t="s">
        <v>199</v>
      </c>
    </row>
    <row r="6277" spans="1:5" x14ac:dyDescent="0.2">
      <c r="A6277">
        <v>6216</v>
      </c>
      <c r="B6277" s="138">
        <f>'Acct Summary 7-8'!D83</f>
        <v>-0.58723290142493201</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-0.13334003417428889</v>
      </c>
      <c r="D6279" s="2" t="str">
        <f t="shared" si="97"/>
        <v>Error?</v>
      </c>
      <c r="E6279" s="2" t="s">
        <v>199</v>
      </c>
    </row>
    <row r="6280" spans="1:5" x14ac:dyDescent="0.2">
      <c r="A6280">
        <v>6219</v>
      </c>
      <c r="B6280" s="138">
        <f>'Acct Summary 7-8'!G83</f>
        <v>0.28803281612270376</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7.7380402304161655E-2</v>
      </c>
      <c r="D6282" s="2" t="str">
        <f t="shared" si="97"/>
        <v>Error?</v>
      </c>
      <c r="E6282" s="2" t="s">
        <v>199</v>
      </c>
    </row>
    <row r="6283" spans="1:5" x14ac:dyDescent="0.2">
      <c r="A6283">
        <v>6222</v>
      </c>
      <c r="B6283" s="138">
        <f>'Acct Summary 7-8'!J83</f>
        <v>-1.235064935064935</v>
      </c>
      <c r="D6283" s="2" t="str">
        <f t="shared" si="97"/>
        <v>Error?</v>
      </c>
      <c r="E6283" s="2" t="s">
        <v>199</v>
      </c>
    </row>
    <row r="6284" spans="1:5" x14ac:dyDescent="0.2">
      <c r="A6284">
        <v>6223</v>
      </c>
      <c r="B6284" s="138">
        <f>'Acct Summary 7-8'!K83</f>
        <v>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100832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100832</v>
      </c>
      <c r="D6301" s="2" t="str">
        <f t="shared" si="97"/>
        <v>Error?</v>
      </c>
      <c r="E6301" s="2" t="s">
        <v>199</v>
      </c>
    </row>
    <row r="6302" spans="1:5" x14ac:dyDescent="0.2">
      <c r="A6302">
        <v>6241</v>
      </c>
      <c r="B6302" s="138">
        <f>'Revenues 9-14'!J14</f>
        <v>21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101019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34301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44798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157171</v>
      </c>
      <c r="D6880" s="2" t="str">
        <f t="shared" si="106"/>
        <v>Error?</v>
      </c>
    </row>
    <row r="6881" spans="1:4" x14ac:dyDescent="0.2">
      <c r="A6881">
        <v>6820</v>
      </c>
      <c r="B6881" s="138">
        <f>'Expenditures 15-22'!K22</f>
        <v>157171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1068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1068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1068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106002</v>
      </c>
      <c r="D6981" s="2" t="str">
        <f t="shared" si="108"/>
        <v>Error?</v>
      </c>
    </row>
    <row r="6982" spans="1:4" x14ac:dyDescent="0.2">
      <c r="A6982">
        <v>6921</v>
      </c>
      <c r="B6982" s="138">
        <f>'Expenditures 15-22'!K85</f>
        <v>106002</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106002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1068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103872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101019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2439</v>
      </c>
      <c r="D7073" s="2" t="str">
        <f t="shared" si="109"/>
        <v>Error?</v>
      </c>
    </row>
    <row r="7074" spans="1:4" x14ac:dyDescent="0.2">
      <c r="A7074">
        <v>7013</v>
      </c>
      <c r="B7074" s="138">
        <f>'Expenditures 15-22'!K216</f>
        <v>2439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17338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17338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6213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6213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18328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18328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57817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57817</v>
      </c>
      <c r="D7198" s="2" t="str">
        <f t="shared" si="111"/>
        <v>Error?</v>
      </c>
    </row>
    <row r="7199" spans="1:4" x14ac:dyDescent="0.2">
      <c r="A7199">
        <v>7138</v>
      </c>
      <c r="B7199" s="138">
        <f>'Expenditures 15-22'!C330</f>
        <v>18328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85544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103872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18328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85544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103872</v>
      </c>
      <c r="D7224" s="2" t="str">
        <f t="shared" si="111"/>
        <v>Error?</v>
      </c>
    </row>
    <row r="7225" spans="1:4" x14ac:dyDescent="0.2">
      <c r="A7225">
        <v>7164</v>
      </c>
      <c r="B7225" s="138">
        <f>'Expenditures 15-22'!K343</f>
        <v>-2853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8813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1684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1068</v>
      </c>
      <c r="D7624" s="2" t="str">
        <f t="shared" si="124"/>
        <v>Error?</v>
      </c>
      <c r="E7624" s="2" t="s">
        <v>19</v>
      </c>
    </row>
    <row r="7625" spans="1:5" x14ac:dyDescent="0.2">
      <c r="A7625">
        <f t="shared" si="123"/>
        <v>7564</v>
      </c>
      <c r="B7625" s="138">
        <f>'Cap Outlay Deprec 26'!I17</f>
        <v>106.8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217494.8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2913</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2913</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1263</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1263</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3838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17185</v>
      </c>
      <c r="D7797" s="2" t="str">
        <f t="shared" si="127"/>
        <v>Error?</v>
      </c>
      <c r="E7797" s="4" t="s">
        <v>2020</v>
      </c>
    </row>
    <row r="7798" spans="1:5" x14ac:dyDescent="0.2">
      <c r="A7798">
        <v>7737</v>
      </c>
      <c r="B7798" s="138">
        <f>'Contracts Paid in CY 29'!F141</f>
        <v>17185</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1253</v>
      </c>
      <c r="B2" s="2408"/>
      <c r="C2" s="2408"/>
      <c r="D2" s="2408"/>
      <c r="E2" s="2408"/>
      <c r="F2" s="2408"/>
      <c r="G2" s="2408"/>
      <c r="H2" s="2408"/>
      <c r="I2" s="2408"/>
      <c r="J2" s="2408"/>
      <c r="K2" s="2408"/>
      <c r="L2" s="2408"/>
    </row>
    <row r="3" spans="1:29" ht="13.5" customHeight="1" x14ac:dyDescent="0.2">
      <c r="A3" s="2439" t="s">
        <v>1252</v>
      </c>
      <c r="B3" s="2439"/>
      <c r="C3" s="2439"/>
      <c r="D3" s="2439"/>
      <c r="E3" s="2439"/>
      <c r="F3" s="2439"/>
      <c r="G3" s="2439"/>
      <c r="H3" s="2439"/>
      <c r="I3" s="2439"/>
      <c r="J3" s="2439"/>
      <c r="K3" s="2439"/>
      <c r="L3" s="2439"/>
    </row>
    <row r="4" spans="1:29" ht="13.5" customHeight="1" x14ac:dyDescent="0.2">
      <c r="A4" s="2408" t="s">
        <v>1799</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0" t="str">
        <f>COVER!A17</f>
        <v>Venice CUSD 3</v>
      </c>
      <c r="B7" s="2431"/>
      <c r="C7" s="2431"/>
      <c r="D7" s="2432"/>
      <c r="E7" s="2433">
        <f>COVER!A13</f>
        <v>41057003026</v>
      </c>
      <c r="F7" s="2434"/>
      <c r="G7" s="2440" t="str">
        <f>COVER!T23</f>
        <v>065-026956</v>
      </c>
      <c r="H7" s="2441"/>
      <c r="I7" s="2441"/>
      <c r="J7" s="2441"/>
      <c r="K7" s="2441"/>
      <c r="L7" s="244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3"/>
      <c r="B9" s="2444"/>
      <c r="C9" s="2444"/>
      <c r="D9" s="2444"/>
      <c r="E9" s="2444"/>
      <c r="F9" s="2445"/>
      <c r="G9" s="2414" t="str">
        <f>COVER!T13</f>
        <v xml:space="preserve">Scheffel Boyle </v>
      </c>
      <c r="H9" s="2446"/>
      <c r="I9" s="2446"/>
      <c r="J9" s="2446"/>
      <c r="K9" s="2446"/>
      <c r="L9" s="2447"/>
    </row>
    <row r="10" spans="1:29" ht="13.5" customHeight="1" x14ac:dyDescent="0.2">
      <c r="A10" s="2420" t="str">
        <f>COVER!A38</f>
        <v xml:space="preserve">Brian Brink </v>
      </c>
      <c r="B10" s="2421"/>
      <c r="C10" s="2421"/>
      <c r="D10" s="2421"/>
      <c r="E10" s="2421"/>
      <c r="F10" s="2422"/>
      <c r="G10" s="2414" t="str">
        <f>COVER!T17</f>
        <v xml:space="preserve">222 East Main Street </v>
      </c>
      <c r="H10" s="2415"/>
      <c r="I10" s="2415"/>
      <c r="J10" s="2415"/>
      <c r="K10" s="2415"/>
      <c r="L10" s="2416"/>
    </row>
    <row r="11" spans="1:29" ht="13.5" customHeight="1" x14ac:dyDescent="0.2">
      <c r="A11" s="1184" t="s">
        <v>1599</v>
      </c>
      <c r="B11" s="1185"/>
      <c r="C11" s="1186"/>
      <c r="D11" s="1191"/>
      <c r="E11" s="1186"/>
      <c r="F11" s="1190"/>
      <c r="G11" s="2414" t="str">
        <f>COVER!T19</f>
        <v xml:space="preserve">Belleville </v>
      </c>
      <c r="H11" s="2415"/>
      <c r="I11" s="2415"/>
      <c r="J11" s="2415"/>
      <c r="K11" s="2415"/>
      <c r="L11" s="2416"/>
    </row>
    <row r="12" spans="1:29" ht="13.5" customHeight="1" x14ac:dyDescent="0.2">
      <c r="A12" s="2423" t="s">
        <v>1598</v>
      </c>
      <c r="B12" s="2424"/>
      <c r="C12" s="2424"/>
      <c r="D12" s="2424"/>
      <c r="E12" s="2424"/>
      <c r="F12" s="2425"/>
      <c r="G12" s="2417"/>
      <c r="H12" s="2418"/>
      <c r="I12" s="2418"/>
      <c r="J12" s="2418"/>
      <c r="K12" s="2418"/>
      <c r="L12" s="2419"/>
    </row>
    <row r="13" spans="1:29" ht="13.5" customHeight="1" x14ac:dyDescent="0.2">
      <c r="A13" s="2414"/>
      <c r="B13" s="2415"/>
      <c r="C13" s="2415"/>
      <c r="D13" s="2415"/>
      <c r="E13" s="2415"/>
      <c r="F13" s="2416"/>
      <c r="G13" s="2409" t="s">
        <v>1600</v>
      </c>
      <c r="H13" s="2410"/>
      <c r="I13" s="2426">
        <f>COVER!T25</f>
        <v>0</v>
      </c>
      <c r="J13" s="2427"/>
      <c r="K13" s="2427"/>
      <c r="L13" s="2428"/>
    </row>
    <row r="14" spans="1:29" ht="13.5" customHeight="1" x14ac:dyDescent="0.2">
      <c r="A14" s="2414" t="str">
        <f>COVER!A19</f>
        <v xml:space="preserve">300 South 4th Street </v>
      </c>
      <c r="B14" s="2415"/>
      <c r="C14" s="2415"/>
      <c r="D14" s="2415"/>
      <c r="E14" s="2415"/>
      <c r="F14" s="2416"/>
      <c r="G14" s="1195" t="s">
        <v>1247</v>
      </c>
      <c r="H14" s="1193"/>
      <c r="I14" s="1193"/>
      <c r="J14" s="1193"/>
      <c r="K14" s="1193"/>
      <c r="L14" s="1194"/>
    </row>
    <row r="15" spans="1:29" ht="13.5" customHeight="1" x14ac:dyDescent="0.2">
      <c r="A15" s="2414" t="str">
        <f>COVER!A21</f>
        <v xml:space="preserve">Venice  </v>
      </c>
      <c r="B15" s="2415"/>
      <c r="C15" s="2415"/>
      <c r="D15" s="2415"/>
      <c r="E15" s="2415"/>
      <c r="F15" s="2416"/>
      <c r="G15" s="2411" t="str">
        <f>COVER!T15</f>
        <v>Dale Holtmann</v>
      </c>
      <c r="H15" s="2412"/>
      <c r="I15" s="2412"/>
      <c r="J15" s="2412"/>
      <c r="K15" s="2412"/>
      <c r="L15" s="2413"/>
    </row>
    <row r="16" spans="1:29" ht="12.2" customHeight="1" x14ac:dyDescent="0.2">
      <c r="A16" s="2436">
        <f>COVER!A25</f>
        <v>62090</v>
      </c>
      <c r="B16" s="2437"/>
      <c r="C16" s="2437"/>
      <c r="D16" s="2437"/>
      <c r="E16" s="2437"/>
      <c r="F16" s="2438"/>
      <c r="G16" s="2448"/>
      <c r="H16" s="2449"/>
      <c r="I16" s="2449"/>
      <c r="J16" s="2449"/>
      <c r="K16" s="2449"/>
      <c r="L16" s="2450"/>
    </row>
    <row r="17" spans="1:13" ht="12.2" customHeight="1" x14ac:dyDescent="0.2">
      <c r="A17" s="2451"/>
      <c r="B17" s="2437"/>
      <c r="C17" s="2437"/>
      <c r="D17" s="2437"/>
      <c r="E17" s="2437"/>
      <c r="F17" s="2438"/>
      <c r="G17" s="1195" t="s">
        <v>1246</v>
      </c>
      <c r="H17" s="1193"/>
      <c r="I17" s="1193"/>
      <c r="J17" s="1193"/>
      <c r="K17" s="1197" t="s">
        <v>1245</v>
      </c>
      <c r="L17" s="1190"/>
      <c r="M17" s="1183"/>
    </row>
    <row r="18" spans="1:13" ht="12.2" customHeight="1" x14ac:dyDescent="0.2">
      <c r="A18" s="2420"/>
      <c r="B18" s="2421"/>
      <c r="C18" s="2421"/>
      <c r="D18" s="2421"/>
      <c r="E18" s="2421"/>
      <c r="F18" s="2422"/>
      <c r="G18" s="2430" t="str">
        <f>COVER!T21</f>
        <v>618-277-8100</v>
      </c>
      <c r="H18" s="2431"/>
      <c r="I18" s="2431"/>
      <c r="J18" s="2431"/>
      <c r="K18" s="2430" t="str">
        <f>COVER!X21</f>
        <v>618-277-9307</v>
      </c>
      <c r="L18" s="243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J78" sqref="J78"/>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2" t="str">
        <f>'Single Audit Cover'!A7</f>
        <v>Venice CUSD 3</v>
      </c>
      <c r="B1" s="2429"/>
      <c r="C1" s="2429"/>
      <c r="D1" s="2429"/>
    </row>
    <row r="2" spans="1:11" s="1214" customFormat="1" ht="12.75" x14ac:dyDescent="0.2">
      <c r="A2" s="2453">
        <f>'Single Audit Cover'!E7</f>
        <v>41057003026</v>
      </c>
      <c r="B2" s="2454"/>
      <c r="C2" s="2454"/>
      <c r="D2" s="2454"/>
    </row>
    <row r="3" spans="1:11" s="1214" customFormat="1" ht="12.75" x14ac:dyDescent="0.2">
      <c r="A3" s="2452" t="s">
        <v>1593</v>
      </c>
      <c r="B3" s="2429"/>
      <c r="C3" s="2429"/>
      <c r="D3" s="242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3"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6" t="str">
        <f>'Single Audit Cover'!A7</f>
        <v>Venice CUSD 3</v>
      </c>
      <c r="B1" s="2456"/>
      <c r="C1" s="2456"/>
      <c r="D1" s="2456"/>
      <c r="E1" s="2456"/>
    </row>
    <row r="2" spans="1:5" x14ac:dyDescent="0.2">
      <c r="A2" s="2457">
        <f>'Single Audit Cover'!E7</f>
        <v>41057003026</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59" t="s">
        <v>1305</v>
      </c>
    </row>
    <row r="10" spans="1:5" x14ac:dyDescent="0.2">
      <c r="A10" s="1260" t="s">
        <v>1304</v>
      </c>
      <c r="B10" s="1261" t="s">
        <v>1303</v>
      </c>
      <c r="C10" s="1261"/>
      <c r="D10" s="1262">
        <f>SUM('Acct Summary 7-8'!C7:K7)</f>
        <v>400555</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4889</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405444</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8"/>
      <c r="B24" s="2458"/>
      <c r="D24" s="1267"/>
    </row>
    <row r="25" spans="1:4" x14ac:dyDescent="0.2">
      <c r="A25" s="2455"/>
      <c r="B25" s="2455"/>
      <c r="D25" s="1267"/>
    </row>
    <row r="26" spans="1:4" x14ac:dyDescent="0.2">
      <c r="A26" s="2455"/>
      <c r="B26" s="2455"/>
      <c r="D26" s="1267"/>
    </row>
    <row r="27" spans="1:4" x14ac:dyDescent="0.2">
      <c r="A27" s="2455"/>
      <c r="B27" s="2455"/>
      <c r="D27" s="1267"/>
    </row>
    <row r="28" spans="1:4" x14ac:dyDescent="0.2">
      <c r="A28" s="2455"/>
      <c r="B28" s="2455"/>
      <c r="D28" s="1267"/>
    </row>
    <row r="29" spans="1:4" x14ac:dyDescent="0.2">
      <c r="A29" s="2455"/>
      <c r="B29" s="2455"/>
      <c r="D29" s="1267"/>
    </row>
    <row r="30" spans="1:4" x14ac:dyDescent="0.2">
      <c r="A30" s="2455"/>
      <c r="B30" s="2455"/>
      <c r="D30" s="1267"/>
    </row>
    <row r="32" spans="1:4" x14ac:dyDescent="0.2">
      <c r="A32" s="1259" t="s">
        <v>1295</v>
      </c>
      <c r="D32" s="1262">
        <f>SUM(D19:D30)</f>
        <v>405444</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5"/>
      <c r="B40" s="2455"/>
      <c r="D40" s="1267"/>
    </row>
    <row r="41" spans="1:4" x14ac:dyDescent="0.2">
      <c r="A41" s="2455"/>
      <c r="B41" s="2455"/>
      <c r="D41" s="1270"/>
    </row>
    <row r="42" spans="1:4" x14ac:dyDescent="0.2">
      <c r="A42" s="2455"/>
      <c r="B42" s="2455"/>
      <c r="D42" s="1270"/>
    </row>
    <row r="43" spans="1:4" x14ac:dyDescent="0.2">
      <c r="A43" s="2455"/>
      <c r="B43" s="2455"/>
      <c r="D43" s="1270"/>
    </row>
    <row r="44" spans="1:4" x14ac:dyDescent="0.2">
      <c r="A44" s="2455"/>
      <c r="B44" s="2455"/>
      <c r="D44" s="1270"/>
    </row>
    <row r="45" spans="1:4" x14ac:dyDescent="0.2">
      <c r="A45" s="2455"/>
      <c r="B45" s="2455"/>
      <c r="D45" s="1270"/>
    </row>
    <row r="47" spans="1:4" x14ac:dyDescent="0.2">
      <c r="B47" s="1271" t="s">
        <v>1289</v>
      </c>
      <c r="C47" s="1271"/>
      <c r="D47" s="1272">
        <f>SUM(D35:D45)</f>
        <v>0</v>
      </c>
    </row>
    <row r="49" spans="2:4" x14ac:dyDescent="0.2">
      <c r="B49" s="1271" t="s">
        <v>1288</v>
      </c>
      <c r="C49" s="1271"/>
      <c r="D49" s="1272">
        <f>D32-D47</f>
        <v>405444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Venice CUSD 3</v>
      </c>
      <c r="B1" s="2469"/>
      <c r="C1" s="2469"/>
      <c r="D1" s="2469"/>
      <c r="E1" s="2469"/>
      <c r="F1" s="2469"/>
    </row>
    <row r="2" spans="1:7" ht="13.5" customHeight="1" x14ac:dyDescent="0.2">
      <c r="A2" s="2470">
        <f>'Single Audit Cover'!E7</f>
        <v>41057003026</v>
      </c>
      <c r="B2" s="2470"/>
      <c r="C2" s="2470"/>
      <c r="D2" s="2470"/>
      <c r="E2" s="2470"/>
      <c r="F2" s="2470"/>
      <c r="G2" s="1274"/>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5" t="s">
        <v>1831</v>
      </c>
      <c r="C6" s="317"/>
      <c r="D6" s="317"/>
    </row>
    <row r="7" spans="1:7" ht="60.95" customHeight="1" x14ac:dyDescent="0.2">
      <c r="A7" s="2468" t="s">
        <v>1832</v>
      </c>
      <c r="B7" s="2468"/>
      <c r="C7" s="2468"/>
      <c r="D7" s="2468"/>
      <c r="E7" s="2468"/>
      <c r="F7" s="2468"/>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8" t="s">
        <v>1834</v>
      </c>
      <c r="B13" s="2468"/>
      <c r="C13" s="2468"/>
      <c r="D13" s="2468"/>
      <c r="E13" s="2468"/>
      <c r="F13" s="2468"/>
    </row>
    <row r="14" spans="1:7" ht="9.75" customHeight="1" x14ac:dyDescent="0.2">
      <c r="C14" s="1259"/>
      <c r="D14" s="1259"/>
    </row>
    <row r="15" spans="1:7" ht="13.5" customHeight="1" x14ac:dyDescent="0.2">
      <c r="C15" s="1870" t="s">
        <v>1332</v>
      </c>
      <c r="D15" s="2466" t="s">
        <v>1331</v>
      </c>
      <c r="E15" s="2466"/>
      <c r="F15" s="2466"/>
    </row>
    <row r="16" spans="1:7" ht="13.5" customHeight="1" x14ac:dyDescent="0.2">
      <c r="A16" s="1281"/>
      <c r="B16" s="1275" t="s">
        <v>1330</v>
      </c>
      <c r="C16" s="1870" t="s">
        <v>1329</v>
      </c>
      <c r="D16" s="2467" t="s">
        <v>1670</v>
      </c>
      <c r="E16" s="2467"/>
      <c r="F16" s="2467"/>
    </row>
    <row r="17" spans="1:6" ht="20.45" customHeight="1" x14ac:dyDescent="0.2">
      <c r="A17" s="1282"/>
      <c r="B17" s="1283"/>
      <c r="C17" s="1284"/>
      <c r="D17" s="2461"/>
      <c r="E17" s="2461"/>
      <c r="F17" s="2461"/>
    </row>
    <row r="18" spans="1:6" ht="20.65" customHeight="1" x14ac:dyDescent="0.2">
      <c r="A18" s="1282"/>
      <c r="B18" s="1283"/>
      <c r="C18" s="1284"/>
      <c r="D18" s="2461"/>
      <c r="E18" s="2461"/>
      <c r="F18" s="2461"/>
    </row>
    <row r="19" spans="1:6" ht="20.65" customHeight="1" x14ac:dyDescent="0.2">
      <c r="A19" s="1282"/>
      <c r="B19" s="1283"/>
      <c r="C19" s="1284"/>
      <c r="D19" s="2461"/>
      <c r="E19" s="2461"/>
      <c r="F19" s="2461"/>
    </row>
    <row r="20" spans="1:6" ht="20.65" customHeight="1" x14ac:dyDescent="0.2">
      <c r="A20" s="1282"/>
      <c r="B20" s="1283"/>
      <c r="C20" s="1284"/>
      <c r="D20" s="2461"/>
      <c r="E20" s="2461"/>
      <c r="F20" s="2461"/>
    </row>
    <row r="21" spans="1:6" ht="20.65" customHeight="1" x14ac:dyDescent="0.2">
      <c r="A21" s="1282"/>
      <c r="B21" s="1283"/>
      <c r="C21" s="1284"/>
      <c r="D21" s="2461"/>
      <c r="E21" s="2461"/>
      <c r="F21" s="2461"/>
    </row>
    <row r="22" spans="1:6" ht="20.65" customHeight="1" x14ac:dyDescent="0.2">
      <c r="A22" s="1282"/>
      <c r="B22" s="1283"/>
      <c r="C22" s="1284"/>
      <c r="D22" s="2461"/>
      <c r="E22" s="2461"/>
      <c r="F22" s="2461"/>
    </row>
    <row r="23" spans="1:6" ht="20.65" customHeight="1" x14ac:dyDescent="0.2">
      <c r="A23" s="1282"/>
      <c r="B23" s="1283"/>
      <c r="C23" s="1284"/>
      <c r="D23" s="2461"/>
      <c r="E23" s="2461"/>
      <c r="F23" s="2461"/>
    </row>
    <row r="24" spans="1:6" ht="20.65" customHeight="1" x14ac:dyDescent="0.2">
      <c r="A24" s="1282"/>
      <c r="B24" s="1283"/>
      <c r="C24" s="1284"/>
      <c r="D24" s="2461"/>
      <c r="E24" s="2461"/>
      <c r="F24" s="2461"/>
    </row>
    <row r="25" spans="1:6" ht="20.65" customHeight="1" x14ac:dyDescent="0.2">
      <c r="A25" s="1282"/>
      <c r="B25" s="1283"/>
      <c r="C25" s="1284"/>
      <c r="D25" s="2461"/>
      <c r="E25" s="2461"/>
      <c r="F25" s="2461"/>
    </row>
    <row r="26" spans="1:6" ht="20.65" customHeight="1" x14ac:dyDescent="0.2">
      <c r="A26" s="1282"/>
      <c r="B26" s="1283"/>
      <c r="C26" s="1284"/>
      <c r="D26" s="2461"/>
      <c r="E26" s="2461"/>
      <c r="F26" s="2461"/>
    </row>
    <row r="27" spans="1:6" ht="20.65" customHeight="1" x14ac:dyDescent="0.2">
      <c r="A27" s="1282"/>
      <c r="B27" s="1283"/>
      <c r="C27" s="1284"/>
      <c r="D27" s="2461"/>
      <c r="E27" s="2461"/>
      <c r="F27" s="2461"/>
    </row>
    <row r="28" spans="1:6" ht="20.65" customHeight="1" x14ac:dyDescent="0.2">
      <c r="A28" s="1282"/>
      <c r="B28" s="1283"/>
      <c r="C28" s="1284"/>
      <c r="D28" s="2461"/>
      <c r="E28" s="2461"/>
      <c r="F28" s="2461"/>
    </row>
    <row r="29" spans="1:6" ht="20.65" customHeight="1" x14ac:dyDescent="0.2">
      <c r="A29" s="1282"/>
      <c r="B29" s="1283"/>
      <c r="C29" s="1284"/>
      <c r="D29" s="2461"/>
      <c r="E29" s="2461"/>
      <c r="F29" s="2461"/>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2" t="s">
        <v>1835</v>
      </c>
      <c r="B32" s="2462"/>
      <c r="C32" s="2462"/>
      <c r="D32" s="2462"/>
      <c r="E32" s="2462"/>
      <c r="F32" s="2462"/>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3">
        <f>+C33+C34</f>
        <v>0</v>
      </c>
      <c r="F34" s="2464"/>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5" t="s">
        <v>1672</v>
      </c>
      <c r="C49" s="2465"/>
      <c r="D49" s="2465"/>
      <c r="E49" s="1398"/>
    </row>
    <row r="50" spans="1:5" s="1299" customFormat="1" ht="3.75" customHeight="1" x14ac:dyDescent="0.2">
      <c r="A50" s="1298"/>
      <c r="B50" s="1869"/>
      <c r="C50" s="1869"/>
      <c r="D50" s="1869"/>
      <c r="E50" s="1398"/>
    </row>
    <row r="51" spans="1:5" s="1299" customFormat="1" ht="20.25" customHeight="1" x14ac:dyDescent="0.2">
      <c r="A51" s="1300">
        <v>6</v>
      </c>
      <c r="B51" s="2460" t="s">
        <v>1632</v>
      </c>
      <c r="C51" s="2460"/>
      <c r="D51" s="2460"/>
    </row>
    <row r="52" spans="1:5" ht="14.25" customHeight="1" x14ac:dyDescent="0.2">
      <c r="A52" s="1300"/>
      <c r="B52" s="2460"/>
      <c r="C52" s="2460"/>
      <c r="D52" s="246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9" t="str">
        <f>'Single Audit Cover'!A7</f>
        <v>Venice CUSD 3</v>
      </c>
      <c r="C1" s="2473"/>
      <c r="D1" s="2473"/>
      <c r="E1" s="2473"/>
      <c r="F1" s="2473"/>
      <c r="G1" s="2473"/>
      <c r="H1" s="2473"/>
      <c r="I1" s="2473"/>
      <c r="J1" s="2473"/>
      <c r="K1" s="2473"/>
      <c r="L1" s="2473"/>
      <c r="M1" s="2473"/>
    </row>
    <row r="2" spans="2:14" ht="15" x14ac:dyDescent="0.2">
      <c r="B2" s="2470">
        <f>'Single Audit Cover'!E7</f>
        <v>41057003026</v>
      </c>
      <c r="C2" s="2470"/>
      <c r="D2" s="2470"/>
      <c r="E2" s="2470"/>
      <c r="F2" s="2470"/>
      <c r="G2" s="2470"/>
      <c r="H2" s="2470"/>
      <c r="I2" s="2470"/>
      <c r="J2" s="2470"/>
      <c r="K2" s="2470"/>
      <c r="L2" s="2470"/>
      <c r="M2" s="2470"/>
      <c r="N2" s="1301"/>
    </row>
    <row r="3" spans="2:14" ht="15" x14ac:dyDescent="0.2">
      <c r="B3" s="2474" t="s">
        <v>1281</v>
      </c>
      <c r="C3" s="2474"/>
      <c r="D3" s="2474"/>
      <c r="E3" s="2474"/>
      <c r="F3" s="2474"/>
      <c r="G3" s="2474"/>
      <c r="H3" s="2474"/>
      <c r="I3" s="2474"/>
      <c r="J3" s="2474"/>
      <c r="K3" s="2474"/>
      <c r="L3" s="2474"/>
      <c r="M3" s="2474"/>
      <c r="N3" s="1301"/>
    </row>
    <row r="4" spans="2:14" ht="15" x14ac:dyDescent="0.2">
      <c r="B4" s="2475" t="str">
        <f>'Single Audit Cover'!A4</f>
        <v>Year Ending June 30, 2018</v>
      </c>
      <c r="C4" s="2475"/>
      <c r="D4" s="2475"/>
      <c r="E4" s="2475"/>
      <c r="F4" s="2475"/>
      <c r="G4" s="2475"/>
      <c r="H4" s="2475"/>
      <c r="I4" s="2475"/>
      <c r="J4" s="2475"/>
      <c r="K4" s="2475"/>
      <c r="L4" s="2475"/>
      <c r="M4" s="2475"/>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2114</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1731</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2098</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7" t="str">
        <f>'Single Audit Cover'!A7</f>
        <v>Venice CUSD 3</v>
      </c>
      <c r="C1" s="2488"/>
      <c r="D1" s="2488"/>
      <c r="E1" s="2488"/>
      <c r="F1" s="2488"/>
      <c r="G1" s="2488"/>
      <c r="H1" s="2488"/>
      <c r="I1" s="2488"/>
      <c r="J1" s="1421"/>
    </row>
    <row r="2" spans="2:10" s="317" customFormat="1" ht="12.75" customHeight="1" x14ac:dyDescent="0.2">
      <c r="B2" s="2489">
        <f>'Single Audit Cover'!E7</f>
        <v>41057003026</v>
      </c>
      <c r="C2" s="2490"/>
      <c r="D2" s="2490"/>
      <c r="E2" s="2490"/>
      <c r="F2" s="2490"/>
      <c r="G2" s="2490"/>
      <c r="H2" s="2490"/>
      <c r="I2" s="2490"/>
      <c r="J2" s="1421"/>
    </row>
    <row r="3" spans="2:10" s="317" customFormat="1" ht="12.75" customHeight="1" x14ac:dyDescent="0.2">
      <c r="B3" s="2491" t="s">
        <v>1347</v>
      </c>
      <c r="C3" s="2492"/>
      <c r="D3" s="2492"/>
      <c r="E3" s="2492"/>
      <c r="F3" s="2492"/>
      <c r="G3" s="2492"/>
      <c r="H3" s="2492"/>
      <c r="I3" s="2492"/>
      <c r="J3" s="1422"/>
    </row>
    <row r="4" spans="2:10" s="317" customFormat="1" ht="12.75" customHeight="1" x14ac:dyDescent="0.2">
      <c r="B4" s="2491" t="str">
        <f>'Single Audit Cover'!A4</f>
        <v>Year Ending June 30, 2018</v>
      </c>
      <c r="C4" s="2492"/>
      <c r="D4" s="2492"/>
      <c r="E4" s="2492"/>
      <c r="F4" s="2492"/>
      <c r="G4" s="2492"/>
      <c r="H4" s="2492"/>
      <c r="I4" s="2492"/>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1" t="s">
        <v>1346</v>
      </c>
      <c r="C7" s="2492"/>
      <c r="D7" s="2492"/>
      <c r="E7" s="2492"/>
      <c r="F7" s="2492"/>
      <c r="G7" s="2492"/>
      <c r="H7" s="2492"/>
      <c r="I7" s="2492"/>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3"/>
      <c r="D11" s="2493"/>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4"/>
      <c r="E29" s="2494"/>
      <c r="F29" s="2494"/>
      <c r="G29" s="2494"/>
      <c r="H29" s="2494"/>
      <c r="I29" s="2494"/>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5" t="s">
        <v>1854</v>
      </c>
      <c r="D37" s="2496"/>
      <c r="E37" s="2496"/>
      <c r="F37" s="2497"/>
      <c r="G37" s="2495" t="s">
        <v>1674</v>
      </c>
      <c r="H37" s="2496"/>
      <c r="I37" s="2497"/>
    </row>
    <row r="38" spans="2:9" ht="16.5" customHeight="1" x14ac:dyDescent="0.2">
      <c r="B38" s="1443"/>
      <c r="C38" s="2483"/>
      <c r="D38" s="2484"/>
      <c r="E38" s="2484"/>
      <c r="F38" s="2485"/>
      <c r="G38" s="2498"/>
      <c r="H38" s="2499"/>
      <c r="I38" s="2500"/>
    </row>
    <row r="39" spans="2:9" ht="16.5" customHeight="1" x14ac:dyDescent="0.2">
      <c r="B39" s="1443"/>
      <c r="C39" s="2483"/>
      <c r="D39" s="2484"/>
      <c r="E39" s="2484"/>
      <c r="F39" s="2485"/>
      <c r="G39" s="2486"/>
      <c r="H39" s="2486"/>
      <c r="I39" s="2486"/>
    </row>
    <row r="40" spans="2:9" ht="16.5" customHeight="1" x14ac:dyDescent="0.2">
      <c r="B40" s="1443"/>
      <c r="C40" s="2483"/>
      <c r="D40" s="2484"/>
      <c r="E40" s="2484"/>
      <c r="F40" s="2485"/>
      <c r="G40" s="2486"/>
      <c r="H40" s="2486"/>
      <c r="I40" s="2486"/>
    </row>
    <row r="41" spans="2:9" ht="16.5" customHeight="1" x14ac:dyDescent="0.2">
      <c r="B41" s="1443"/>
      <c r="C41" s="2483"/>
      <c r="D41" s="2484"/>
      <c r="E41" s="2484"/>
      <c r="F41" s="2485"/>
      <c r="G41" s="2486"/>
      <c r="H41" s="2486"/>
      <c r="I41" s="2486"/>
    </row>
    <row r="42" spans="2:9" ht="16.5" customHeight="1" x14ac:dyDescent="0.2">
      <c r="B42" s="1443"/>
      <c r="C42" s="2483"/>
      <c r="D42" s="2484"/>
      <c r="E42" s="2484"/>
      <c r="F42" s="2485"/>
      <c r="G42" s="2486"/>
      <c r="H42" s="2486"/>
      <c r="I42" s="2486"/>
    </row>
    <row r="43" spans="2:9" ht="16.5" customHeight="1" x14ac:dyDescent="0.2">
      <c r="B43" s="1443"/>
      <c r="C43" s="2476" t="s">
        <v>1675</v>
      </c>
      <c r="D43" s="2477"/>
      <c r="E43" s="2477"/>
      <c r="F43" s="2478"/>
      <c r="G43" s="2479">
        <f>SUM(G38:I42)</f>
        <v>0</v>
      </c>
      <c r="H43" s="2479"/>
      <c r="I43" s="2479"/>
    </row>
    <row r="44" spans="2:9" ht="12.75" customHeight="1" x14ac:dyDescent="0.2"/>
    <row r="45" spans="2:9" ht="12.75" customHeight="1" x14ac:dyDescent="0.2">
      <c r="B45" s="1434" t="s">
        <v>1952</v>
      </c>
      <c r="D45" s="2480">
        <v>0</v>
      </c>
      <c r="E45" s="2481"/>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2"/>
      <c r="F49" s="2482"/>
      <c r="G49" s="2482"/>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Venice CUSD 3</v>
      </c>
      <c r="C1" s="2487"/>
      <c r="D1" s="2487"/>
      <c r="E1" s="2487"/>
      <c r="F1" s="2487"/>
      <c r="G1" s="2487"/>
      <c r="H1" s="2487"/>
      <c r="I1" s="2487"/>
      <c r="J1" s="2487"/>
      <c r="K1" s="2487"/>
      <c r="L1" s="1373"/>
      <c r="M1" s="1373"/>
    </row>
    <row r="2" spans="1:13" ht="12" customHeight="1" x14ac:dyDescent="0.2">
      <c r="B2" s="2489">
        <f>'Single Audit Cover'!E7</f>
        <v>41057003026</v>
      </c>
      <c r="C2" s="2489"/>
      <c r="D2" s="2489"/>
      <c r="E2" s="2489"/>
      <c r="F2" s="2489"/>
      <c r="G2" s="2489"/>
      <c r="H2" s="2489"/>
      <c r="I2" s="2489"/>
      <c r="J2" s="2489"/>
      <c r="K2" s="2489"/>
      <c r="L2" s="1374"/>
      <c r="M2" s="1375"/>
    </row>
    <row r="3" spans="1:13" ht="10.35" customHeight="1" x14ac:dyDescent="0.2">
      <c r="B3" s="2503" t="s">
        <v>1347</v>
      </c>
      <c r="C3" s="2503"/>
      <c r="D3" s="2503"/>
      <c r="E3" s="2503"/>
      <c r="F3" s="2503"/>
      <c r="G3" s="2503"/>
      <c r="H3" s="2503"/>
      <c r="I3" s="2503"/>
      <c r="J3" s="2503"/>
      <c r="K3" s="2503"/>
      <c r="L3" s="1376"/>
      <c r="M3" s="1376"/>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4" t="s">
        <v>1363</v>
      </c>
      <c r="C7" s="2504"/>
      <c r="D7" s="2505"/>
      <c r="E7" s="2505"/>
      <c r="F7" s="2505"/>
      <c r="G7" s="2505"/>
      <c r="H7" s="2505"/>
      <c r="I7" s="2505"/>
      <c r="J7" s="2505"/>
      <c r="K7" s="25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2"/>
      <c r="C14" s="2502"/>
      <c r="D14" s="2502"/>
      <c r="E14" s="2502"/>
      <c r="F14" s="2502"/>
      <c r="G14" s="2502"/>
      <c r="H14" s="2502"/>
      <c r="I14" s="2502"/>
      <c r="J14" s="2502"/>
      <c r="K14" s="250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2"/>
      <c r="C17" s="2502"/>
      <c r="D17" s="2502"/>
      <c r="E17" s="2502"/>
      <c r="F17" s="2502"/>
      <c r="G17" s="2502"/>
      <c r="H17" s="2502"/>
      <c r="I17" s="2502"/>
      <c r="J17" s="2502"/>
      <c r="K17" s="250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6"/>
      <c r="C20" s="2506"/>
      <c r="D20" s="2502"/>
      <c r="E20" s="2502"/>
      <c r="F20" s="2502"/>
      <c r="G20" s="2502"/>
      <c r="H20" s="2502"/>
      <c r="I20" s="2502"/>
      <c r="J20" s="2502"/>
      <c r="K20" s="25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2"/>
      <c r="C23" s="2502"/>
      <c r="D23" s="2502"/>
      <c r="E23" s="2502"/>
      <c r="F23" s="2502"/>
      <c r="G23" s="2502"/>
      <c r="H23" s="2502"/>
      <c r="I23" s="2502"/>
      <c r="J23" s="2502"/>
      <c r="K23" s="25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2"/>
      <c r="C26" s="2502"/>
      <c r="D26" s="2502"/>
      <c r="E26" s="2502"/>
      <c r="F26" s="2502"/>
      <c r="G26" s="2502"/>
      <c r="H26" s="2502"/>
      <c r="I26" s="2502"/>
      <c r="J26" s="2502"/>
      <c r="K26" s="25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1"/>
      <c r="C29" s="2501"/>
      <c r="D29" s="2502"/>
      <c r="E29" s="2502"/>
      <c r="F29" s="2502"/>
      <c r="G29" s="2502"/>
      <c r="H29" s="2502"/>
      <c r="I29" s="2502"/>
      <c r="J29" s="2502"/>
      <c r="K29" s="25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1"/>
      <c r="C32" s="2501"/>
      <c r="D32" s="2502"/>
      <c r="E32" s="2502"/>
      <c r="F32" s="2502"/>
      <c r="G32" s="2502"/>
      <c r="H32" s="2502"/>
      <c r="I32" s="2502"/>
      <c r="J32" s="2502"/>
      <c r="K32" s="25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Venice CUSD 3</v>
      </c>
      <c r="C1" s="2510"/>
      <c r="D1" s="2510"/>
      <c r="E1" s="2510"/>
      <c r="F1" s="2510"/>
      <c r="G1" s="2510"/>
      <c r="H1" s="2510"/>
      <c r="I1" s="2510"/>
      <c r="J1" s="2510"/>
      <c r="K1" s="2510"/>
      <c r="L1" s="1464"/>
    </row>
    <row r="2" spans="1:12" ht="12.75" customHeight="1" x14ac:dyDescent="0.2">
      <c r="B2" s="2511">
        <f>'Single Audit Cover'!E7</f>
        <v>41057003026</v>
      </c>
      <c r="C2" s="2511"/>
      <c r="D2" s="2511"/>
      <c r="E2" s="2511"/>
      <c r="F2" s="2511"/>
      <c r="G2" s="2511"/>
      <c r="H2" s="2511"/>
      <c r="I2" s="2511"/>
      <c r="J2" s="2511"/>
      <c r="K2" s="2511"/>
      <c r="L2" s="1465"/>
    </row>
    <row r="3" spans="1:12" ht="12.75" customHeight="1" x14ac:dyDescent="0.2">
      <c r="B3" s="2503" t="s">
        <v>1347</v>
      </c>
      <c r="C3" s="2503"/>
      <c r="D3" s="2503"/>
      <c r="E3" s="2503"/>
      <c r="F3" s="2503"/>
      <c r="G3" s="2503"/>
      <c r="H3" s="2503"/>
      <c r="I3" s="2503"/>
      <c r="J3" s="2503"/>
      <c r="K3" s="2503"/>
      <c r="L3" s="1376"/>
    </row>
    <row r="4" spans="1:12" ht="12.75" customHeight="1" x14ac:dyDescent="0.2">
      <c r="B4" s="2503" t="str">
        <f>'Single Audit Cover'!A4</f>
        <v>Year Ending June 30, 2018</v>
      </c>
      <c r="C4" s="2503"/>
      <c r="D4" s="2503"/>
      <c r="E4" s="2503"/>
      <c r="F4" s="2503"/>
      <c r="G4" s="2503"/>
      <c r="H4" s="2503"/>
      <c r="I4" s="2503"/>
      <c r="J4" s="2503"/>
      <c r="K4" s="2503"/>
      <c r="L4" s="1376"/>
    </row>
    <row r="5" spans="1:12" ht="5.25" customHeight="1" x14ac:dyDescent="0.2">
      <c r="B5" s="1259" t="s">
        <v>1231</v>
      </c>
      <c r="C5" s="1259"/>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4"/>
      <c r="G12" s="2494"/>
      <c r="H12" s="2494"/>
      <c r="I12" s="2494"/>
      <c r="J12" s="2494"/>
      <c r="K12" s="2494"/>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7"/>
      <c r="E14" s="2507"/>
      <c r="F14" s="2507"/>
      <c r="H14" s="1474" t="s">
        <v>1370</v>
      </c>
      <c r="I14" s="2508"/>
      <c r="J14" s="2508"/>
      <c r="K14" s="250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8"/>
      <c r="E16" s="2508"/>
      <c r="F16" s="2508"/>
      <c r="G16" s="2508"/>
      <c r="H16" s="2508"/>
      <c r="I16" s="2508"/>
      <c r="J16" s="2508"/>
      <c r="K16" s="2508"/>
      <c r="L16" s="322"/>
    </row>
    <row r="17" spans="2:12" ht="13.5" customHeight="1" x14ac:dyDescent="0.2">
      <c r="B17" s="1386" t="s">
        <v>1368</v>
      </c>
      <c r="C17" s="1386"/>
      <c r="D17" s="2509"/>
      <c r="E17" s="2509"/>
      <c r="F17" s="2509"/>
      <c r="G17" s="2509"/>
      <c r="H17" s="2509"/>
      <c r="I17" s="2509"/>
      <c r="J17" s="2509"/>
      <c r="K17" s="250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2"/>
      <c r="C20" s="2502"/>
      <c r="D20" s="2502"/>
      <c r="E20" s="2502"/>
      <c r="F20" s="2502"/>
      <c r="G20" s="2502"/>
      <c r="H20" s="2502"/>
      <c r="I20" s="2502"/>
      <c r="J20" s="2502"/>
      <c r="K20" s="250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G20" sqref="G2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7" t="str">
        <f>'Single Audit Cover'!A7</f>
        <v>Venice CUSD 3</v>
      </c>
      <c r="C1" s="2487"/>
      <c r="D1" s="2487"/>
      <c r="E1" s="1490"/>
    </row>
    <row r="2" spans="2:5" s="1281" customFormat="1" ht="12.75" customHeight="1" x14ac:dyDescent="0.2">
      <c r="B2" s="2489">
        <f>'Single Audit Cover'!E7</f>
        <v>41057003026</v>
      </c>
      <c r="C2" s="2489"/>
      <c r="D2" s="2489"/>
      <c r="E2" s="1491"/>
    </row>
    <row r="3" spans="2:5" ht="12.75" customHeight="1" x14ac:dyDescent="0.2">
      <c r="B3" s="2503" t="s">
        <v>1869</v>
      </c>
      <c r="C3" s="2503"/>
      <c r="D3" s="2503"/>
      <c r="E3" s="1273"/>
    </row>
    <row r="4" spans="2:5" s="1281" customFormat="1" ht="12.75" customHeight="1" x14ac:dyDescent="0.2">
      <c r="B4" s="2513" t="str">
        <f>'Single Audit Cover'!A4</f>
        <v>Year Ending June 30, 2018</v>
      </c>
      <c r="C4" s="2513"/>
      <c r="D4" s="2513"/>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9771681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2.6499999999999999E-2</v>
      </c>
      <c r="E10" s="356" t="s">
        <v>1062</v>
      </c>
      <c r="F10" s="355">
        <v>4.3499999999999997E-3</v>
      </c>
      <c r="G10" s="356" t="s">
        <v>1062</v>
      </c>
      <c r="H10" s="355">
        <v>2E-3</v>
      </c>
      <c r="I10" s="356" t="s">
        <v>1063</v>
      </c>
      <c r="J10" s="1753">
        <f>ROUND(D10+F10+H10,5)</f>
        <v>3.2849999999999997E-2</v>
      </c>
      <c r="K10" s="222"/>
      <c r="L10" s="355">
        <v>5.0000000000000001E-4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2648346</v>
      </c>
      <c r="E16" s="356"/>
      <c r="F16" s="1754">
        <f>SUM('Acct Summary 7-8'!C17,'Acct Summary 7-8'!D17,'Acct Summary 7-8'!F17)</f>
        <v>2472015</v>
      </c>
      <c r="G16" s="356"/>
      <c r="H16" s="1754">
        <f>SUM(D16-F16)</f>
        <v>176331</v>
      </c>
      <c r="I16" s="222"/>
      <c r="J16" s="1754">
        <f>SUM('Acct Summary 7-8'!C81,'Acct Summary 7-8'!D81,'Acct Summary 7-8'!F81,'Acct Summary 7-8'!I81)</f>
        <v>2387795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1348491.9780000001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5" sqref="A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Venice CUSD 3</v>
      </c>
      <c r="E7" s="391"/>
      <c r="G7" s="252"/>
      <c r="H7" s="387"/>
      <c r="I7" s="387"/>
      <c r="J7" s="387"/>
      <c r="K7" s="387"/>
      <c r="L7" s="329"/>
      <c r="M7" s="329"/>
      <c r="N7" s="329"/>
      <c r="O7" s="329"/>
      <c r="P7" s="329"/>
    </row>
    <row r="8" spans="1:18" ht="12.75" x14ac:dyDescent="0.2">
      <c r="A8" s="329"/>
      <c r="B8" s="329"/>
      <c r="C8" s="389" t="s">
        <v>1187</v>
      </c>
      <c r="D8" s="392">
        <f>COVER!A13</f>
        <v>41057003026</v>
      </c>
      <c r="E8" s="393"/>
      <c r="G8" s="329"/>
      <c r="H8" s="329"/>
      <c r="I8" s="329"/>
      <c r="J8" s="329"/>
      <c r="K8" s="329"/>
      <c r="L8" s="329"/>
      <c r="M8" s="329"/>
      <c r="N8" s="329"/>
      <c r="O8" s="329"/>
      <c r="P8" s="329"/>
    </row>
    <row r="9" spans="1:18" ht="12.75" x14ac:dyDescent="0.2">
      <c r="A9" s="329"/>
      <c r="B9" s="329"/>
      <c r="C9" s="389" t="s">
        <v>737</v>
      </c>
      <c r="D9" s="394" t="str">
        <f>COVER!A15</f>
        <v xml:space="preserve">Madison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2387795</v>
      </c>
      <c r="I12" s="404"/>
      <c r="J12" s="404"/>
      <c r="K12" s="405">
        <f>TRUNC((H12/H13*100000),5)/100000</f>
        <v>0.90161746230000006</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2648346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2472015</v>
      </c>
      <c r="I17" s="404"/>
      <c r="J17" s="416"/>
      <c r="K17" s="405">
        <f>TRUNC((H17/H18*100000),5)/100000</f>
        <v>0.93341844299999999</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2648346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2388373</v>
      </c>
      <c r="I24" s="422"/>
      <c r="J24" s="422"/>
      <c r="K24" s="423">
        <f>TRUNC(((H24/H25*100000)/100000),2)</f>
        <v>347.81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6866.7083300000004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272849.76272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1348491.9780000001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24" activePane="bottomLeft" state="frozen"/>
      <selection activeCell="A5" sqref="A5"/>
      <selection pane="bottomLeft" activeCell="H34" sqref="H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0"/>
      <c r="D3" s="1581"/>
      <c r="E3" s="1581"/>
      <c r="F3" s="1581"/>
      <c r="G3" s="1581"/>
      <c r="H3" s="1581"/>
      <c r="I3" s="1581"/>
      <c r="J3" s="1581"/>
      <c r="K3" s="1581"/>
      <c r="L3" s="1581"/>
      <c r="M3" s="1582"/>
      <c r="N3" s="1583"/>
    </row>
    <row r="4" spans="1:14" ht="13.5" customHeight="1" x14ac:dyDescent="0.2">
      <c r="A4" s="463" t="s">
        <v>1750</v>
      </c>
      <c r="B4" s="464"/>
      <c r="C4" s="465">
        <v>1109047</v>
      </c>
      <c r="D4" s="466">
        <v>164468</v>
      </c>
      <c r="E4" s="466">
        <v>0</v>
      </c>
      <c r="F4" s="466">
        <v>49873</v>
      </c>
      <c r="G4" s="466">
        <v>17821</v>
      </c>
      <c r="H4" s="466">
        <v>34</v>
      </c>
      <c r="I4" s="466">
        <v>61849</v>
      </c>
      <c r="J4" s="467">
        <v>2310</v>
      </c>
      <c r="K4" s="466">
        <v>1706</v>
      </c>
      <c r="L4" s="466"/>
      <c r="M4" s="468"/>
      <c r="N4" s="469"/>
    </row>
    <row r="5" spans="1:14" x14ac:dyDescent="0.2">
      <c r="A5" s="463" t="s">
        <v>1049</v>
      </c>
      <c r="B5" s="470">
        <v>120</v>
      </c>
      <c r="C5" s="465">
        <v>1000059</v>
      </c>
      <c r="D5" s="466"/>
      <c r="E5" s="466"/>
      <c r="F5" s="466"/>
      <c r="G5" s="466"/>
      <c r="H5" s="466"/>
      <c r="I5" s="466">
        <v>3077</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2109106</v>
      </c>
      <c r="D13" s="1758">
        <f t="shared" ref="D13:L13" si="0">SUM(D4:D12)</f>
        <v>164468</v>
      </c>
      <c r="E13" s="1758">
        <f t="shared" si="0"/>
        <v>0</v>
      </c>
      <c r="F13" s="1758">
        <f t="shared" si="0"/>
        <v>49873</v>
      </c>
      <c r="G13" s="1758">
        <f t="shared" si="0"/>
        <v>17821</v>
      </c>
      <c r="H13" s="1758">
        <f t="shared" si="0"/>
        <v>34</v>
      </c>
      <c r="I13" s="1758">
        <f t="shared" si="0"/>
        <v>64926</v>
      </c>
      <c r="J13" s="1758">
        <f t="shared" si="0"/>
        <v>2310</v>
      </c>
      <c r="K13" s="1758">
        <f t="shared" si="0"/>
        <v>1706</v>
      </c>
      <c r="L13" s="1758">
        <f t="shared" si="0"/>
        <v>0</v>
      </c>
      <c r="M13" s="468"/>
      <c r="N13" s="469"/>
    </row>
    <row r="14" spans="1:14" ht="18" customHeight="1" thickTop="1" x14ac:dyDescent="0.2">
      <c r="A14" s="2137" t="s">
        <v>149</v>
      </c>
      <c r="B14" s="213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2649503</v>
      </c>
      <c r="N17" s="484"/>
    </row>
    <row r="18" spans="1:14" s="485" customFormat="1" ht="12.75" customHeight="1" x14ac:dyDescent="0.2">
      <c r="A18" s="482" t="s">
        <v>1471</v>
      </c>
      <c r="B18" s="483">
        <v>240</v>
      </c>
      <c r="C18" s="477"/>
      <c r="D18" s="477"/>
      <c r="E18" s="477"/>
      <c r="F18" s="477"/>
      <c r="G18" s="477"/>
      <c r="H18" s="477"/>
      <c r="I18" s="477"/>
      <c r="J18" s="477"/>
      <c r="K18" s="477"/>
      <c r="L18" s="477"/>
      <c r="M18" s="467">
        <v>6018</v>
      </c>
      <c r="N18" s="484"/>
    </row>
    <row r="19" spans="1:14" s="485" customFormat="1" ht="12.75" customHeight="1" x14ac:dyDescent="0.2">
      <c r="A19" s="482" t="s">
        <v>1472</v>
      </c>
      <c r="B19" s="483">
        <v>250</v>
      </c>
      <c r="C19" s="477"/>
      <c r="D19" s="477"/>
      <c r="E19" s="477"/>
      <c r="F19" s="477"/>
      <c r="G19" s="477"/>
      <c r="H19" s="477"/>
      <c r="I19" s="477"/>
      <c r="J19" s="477"/>
      <c r="K19" s="477"/>
      <c r="L19" s="477"/>
      <c r="M19" s="467">
        <v>91798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2747319</v>
      </c>
      <c r="N23" s="1709">
        <f>SUM(N21:N22)</f>
        <v>0</v>
      </c>
    </row>
    <row r="24" spans="1:14" ht="18" customHeight="1" thickTop="1" x14ac:dyDescent="0.2">
      <c r="A24" s="2139" t="s">
        <v>619</v>
      </c>
      <c r="B24" s="214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60</v>
      </c>
      <c r="D31" s="467">
        <v>390</v>
      </c>
      <c r="E31" s="467"/>
      <c r="F31" s="466">
        <v>128</v>
      </c>
      <c r="G31" s="467">
        <v>1000</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9" t="s">
        <v>675</v>
      </c>
      <c r="B34" s="1760"/>
      <c r="C34" s="1761">
        <f>SUM(C25:C33)</f>
        <v>60</v>
      </c>
      <c r="D34" s="1761">
        <f t="shared" ref="D34:K34" si="1">SUM(D25:D33)</f>
        <v>390</v>
      </c>
      <c r="E34" s="1761">
        <f t="shared" si="1"/>
        <v>0</v>
      </c>
      <c r="F34" s="1761">
        <f t="shared" si="1"/>
        <v>128</v>
      </c>
      <c r="G34" s="1761">
        <f t="shared" si="1"/>
        <v>1000</v>
      </c>
      <c r="H34" s="1761">
        <f t="shared" si="1"/>
        <v>0</v>
      </c>
      <c r="I34" s="1761">
        <f t="shared" si="1"/>
        <v>0</v>
      </c>
      <c r="J34" s="1761">
        <f t="shared" si="1"/>
        <v>0</v>
      </c>
      <c r="K34" s="1761">
        <f t="shared" si="1"/>
        <v>0</v>
      </c>
      <c r="L34" s="1742">
        <f>SUM(L33)</f>
        <v>0</v>
      </c>
      <c r="M34" s="468"/>
      <c r="N34" s="480"/>
    </row>
    <row r="35" spans="1:14" ht="18" customHeight="1" thickTop="1" x14ac:dyDescent="0.2">
      <c r="A35" s="2141" t="s">
        <v>550</v>
      </c>
      <c r="B35" s="214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2109046</v>
      </c>
      <c r="D39" s="466">
        <v>164078</v>
      </c>
      <c r="E39" s="466">
        <v>0</v>
      </c>
      <c r="F39" s="466">
        <v>49745</v>
      </c>
      <c r="G39" s="466">
        <v>16821</v>
      </c>
      <c r="H39" s="466">
        <v>34</v>
      </c>
      <c r="I39" s="466">
        <v>64926</v>
      </c>
      <c r="J39" s="467">
        <v>2310</v>
      </c>
      <c r="K39" s="466">
        <v>1706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2747319</v>
      </c>
      <c r="N40" s="497"/>
    </row>
    <row r="41" spans="1:14" ht="13.5" customHeight="1" thickBot="1" x14ac:dyDescent="0.25">
      <c r="A41" s="1757" t="s">
        <v>676</v>
      </c>
      <c r="B41" s="1727"/>
      <c r="C41" s="1709">
        <f>(SUM(C34,C37,C38,C39))</f>
        <v>2109106</v>
      </c>
      <c r="D41" s="1709">
        <f t="shared" ref="D41:L41" si="2">SUM(D34,D37,D38:D39)</f>
        <v>164468</v>
      </c>
      <c r="E41" s="1709">
        <f t="shared" si="2"/>
        <v>0</v>
      </c>
      <c r="F41" s="1709">
        <f t="shared" si="2"/>
        <v>49873</v>
      </c>
      <c r="G41" s="1709">
        <f t="shared" si="2"/>
        <v>17821</v>
      </c>
      <c r="H41" s="1709">
        <f t="shared" si="2"/>
        <v>34</v>
      </c>
      <c r="I41" s="1709">
        <f t="shared" si="2"/>
        <v>64926</v>
      </c>
      <c r="J41" s="1709">
        <f t="shared" si="2"/>
        <v>2310</v>
      </c>
      <c r="K41" s="1709">
        <f t="shared" si="2"/>
        <v>1706</v>
      </c>
      <c r="L41" s="1709">
        <f t="shared" si="2"/>
        <v>0</v>
      </c>
      <c r="M41" s="1709">
        <f>SUM(M40)</f>
        <v>2747319</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5" zoomScaleNormal="85" zoomScaleSheetLayoutView="100" workbookViewId="0">
      <pane ySplit="2" topLeftCell="A3" activePane="bottomLeft" state="frozenSplit"/>
      <selection activeCell="A5" sqref="A5"/>
      <selection pane="bottomLeft" activeCell="A5" sqref="A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4"/>
      <c r="D3" s="1595"/>
      <c r="E3" s="1595"/>
      <c r="F3" s="1595"/>
      <c r="G3" s="1595"/>
      <c r="H3" s="1595"/>
      <c r="I3" s="1595"/>
      <c r="J3" s="1595"/>
      <c r="K3" s="1596"/>
      <c r="L3" s="506"/>
    </row>
    <row r="4" spans="1:13" ht="15.75" customHeight="1" x14ac:dyDescent="0.2">
      <c r="A4" s="1953" t="s">
        <v>1579</v>
      </c>
      <c r="B4" s="1954">
        <v>1000</v>
      </c>
      <c r="C4" s="1763">
        <f>'Revenues 9-14'!C109</f>
        <v>1177974</v>
      </c>
      <c r="D4" s="1763">
        <f>'Revenues 9-14'!D109</f>
        <v>102661</v>
      </c>
      <c r="E4" s="1763">
        <f>'Revenues 9-14'!E109</f>
        <v>0</v>
      </c>
      <c r="F4" s="1763">
        <f>'Revenues 9-14'!F109</f>
        <v>17674</v>
      </c>
      <c r="G4" s="1763">
        <f>'Revenues 9-14'!G109</f>
        <v>54287</v>
      </c>
      <c r="H4" s="1763">
        <f>'Revenues 9-14'!H109</f>
        <v>0</v>
      </c>
      <c r="I4" s="1763">
        <f>'Revenues 9-14'!I109</f>
        <v>5024</v>
      </c>
      <c r="J4" s="1763">
        <f>'Revenues 9-14'!J109</f>
        <v>101019</v>
      </c>
      <c r="K4" s="1763">
        <f>'Revenues 9-14'!K109</f>
        <v>4741</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784045</v>
      </c>
      <c r="D6" s="1764">
        <f>'Revenues 9-14'!D173</f>
        <v>21680</v>
      </c>
      <c r="E6" s="1764">
        <f>'Revenues 9-14'!E173</f>
        <v>0</v>
      </c>
      <c r="F6" s="1764">
        <f>'Revenues 9-14'!F173</f>
        <v>138733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400555</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2362574</v>
      </c>
      <c r="D8" s="1709">
        <f t="shared" ref="D8:K8" si="0">SUM(D4:D7)</f>
        <v>124341</v>
      </c>
      <c r="E8" s="1709">
        <f t="shared" si="0"/>
        <v>0</v>
      </c>
      <c r="F8" s="1709">
        <f t="shared" si="0"/>
        <v>156407</v>
      </c>
      <c r="G8" s="1709">
        <f t="shared" si="0"/>
        <v>54287</v>
      </c>
      <c r="H8" s="1709">
        <f t="shared" si="0"/>
        <v>0</v>
      </c>
      <c r="I8" s="1709">
        <f t="shared" si="0"/>
        <v>5024</v>
      </c>
      <c r="J8" s="1709">
        <f t="shared" si="0"/>
        <v>101019</v>
      </c>
      <c r="K8" s="1709">
        <f t="shared" si="0"/>
        <v>4741</v>
      </c>
      <c r="L8" s="347"/>
    </row>
    <row r="9" spans="1:13" ht="15.75" thickTop="1" x14ac:dyDescent="0.2">
      <c r="A9" s="514" t="s">
        <v>1752</v>
      </c>
      <c r="B9" s="515">
        <v>3998</v>
      </c>
      <c r="C9" s="481">
        <v>552103</v>
      </c>
      <c r="D9" s="516"/>
      <c r="E9" s="481"/>
      <c r="F9" s="481"/>
      <c r="G9" s="517"/>
      <c r="H9" s="481"/>
      <c r="I9" s="509" t="s">
        <v>1231</v>
      </c>
      <c r="J9" s="478"/>
      <c r="K9" s="481"/>
      <c r="L9" s="347"/>
    </row>
    <row r="10" spans="1:13" s="519" customFormat="1" ht="13.5" thickBot="1" x14ac:dyDescent="0.25">
      <c r="A10" s="1757" t="s">
        <v>1235</v>
      </c>
      <c r="B10" s="1730"/>
      <c r="C10" s="1709">
        <f>SUM(C8:C9)</f>
        <v>2914677</v>
      </c>
      <c r="D10" s="1709">
        <f t="shared" ref="D10:K10" si="1">SUM(D8:D9)</f>
        <v>124341</v>
      </c>
      <c r="E10" s="1709">
        <f t="shared" si="1"/>
        <v>0</v>
      </c>
      <c r="F10" s="1709">
        <f t="shared" si="1"/>
        <v>156407</v>
      </c>
      <c r="G10" s="1709">
        <f t="shared" si="1"/>
        <v>54287</v>
      </c>
      <c r="H10" s="1709">
        <f t="shared" si="1"/>
        <v>0</v>
      </c>
      <c r="I10" s="1709">
        <f t="shared" si="1"/>
        <v>5024</v>
      </c>
      <c r="J10" s="1709">
        <f t="shared" si="1"/>
        <v>101019</v>
      </c>
      <c r="K10" s="1709">
        <f t="shared" si="1"/>
        <v>4741</v>
      </c>
      <c r="L10" s="518"/>
    </row>
    <row r="11" spans="1:13" s="519" customFormat="1" ht="16.7" customHeight="1" thickTop="1" x14ac:dyDescent="0.2">
      <c r="A11" s="2137" t="s">
        <v>1238</v>
      </c>
      <c r="B11" s="2138"/>
      <c r="C11" s="1591"/>
      <c r="D11" s="1592"/>
      <c r="E11" s="1592"/>
      <c r="F11" s="1592"/>
      <c r="G11" s="1592"/>
      <c r="H11" s="1592"/>
      <c r="I11" s="1592"/>
      <c r="J11" s="1592"/>
      <c r="K11" s="1593"/>
      <c r="L11" s="518"/>
    </row>
    <row r="12" spans="1:13" ht="15.75" customHeight="1" x14ac:dyDescent="0.2">
      <c r="A12" s="1597" t="s">
        <v>476</v>
      </c>
      <c r="B12" s="1599">
        <v>1000</v>
      </c>
      <c r="C12" s="1763">
        <f>'Expenditures 15-22'!K33</f>
        <v>1063904</v>
      </c>
      <c r="D12" s="520" t="s">
        <v>1231</v>
      </c>
      <c r="E12" s="468" t="s">
        <v>1231</v>
      </c>
      <c r="F12" s="468" t="s">
        <v>1231</v>
      </c>
      <c r="G12" s="1763">
        <f>'Expenditures 15-22'!K229</f>
        <v>16579</v>
      </c>
      <c r="H12" s="521"/>
      <c r="I12" s="468" t="s">
        <v>1231</v>
      </c>
      <c r="J12" s="468" t="s">
        <v>1231</v>
      </c>
      <c r="K12" s="521" t="s">
        <v>1231</v>
      </c>
      <c r="L12" s="347"/>
    </row>
    <row r="13" spans="1:13" ht="15.75" customHeight="1" x14ac:dyDescent="0.2">
      <c r="A13" s="1597" t="s">
        <v>477</v>
      </c>
      <c r="B13" s="1599">
        <v>2000</v>
      </c>
      <c r="C13" s="1764">
        <f>'Expenditures 15-22'!K74</f>
        <v>776422</v>
      </c>
      <c r="D13" s="1764">
        <f>'Expenditures 15-22'!K129</f>
        <v>220693</v>
      </c>
      <c r="E13" s="469" t="s">
        <v>1231</v>
      </c>
      <c r="F13" s="1764">
        <f>'Expenditures 15-22'!K184</f>
        <v>126991</v>
      </c>
      <c r="G13" s="1764">
        <f>'Expenditures 15-22'!K279</f>
        <v>26484</v>
      </c>
      <c r="H13" s="1764">
        <f>'Expenditures 15-22'!K303</f>
        <v>0</v>
      </c>
      <c r="I13" s="468" t="s">
        <v>1231</v>
      </c>
      <c r="J13" s="1764">
        <f>'Expenditures 15-22'!K330</f>
        <v>103872</v>
      </c>
      <c r="K13" s="1768">
        <f>'Expenditures 15-22'!K352</f>
        <v>3035</v>
      </c>
      <c r="L13" s="347"/>
    </row>
    <row r="14" spans="1:13" ht="15.75" customHeight="1" x14ac:dyDescent="0.2">
      <c r="A14" s="1597" t="s">
        <v>469</v>
      </c>
      <c r="B14" s="1599">
        <v>3000</v>
      </c>
      <c r="C14" s="1764">
        <f>'Expenditures 15-22'!K75</f>
        <v>55787</v>
      </c>
      <c r="D14" s="1764">
        <f>'Expenditures 15-22'!K130</f>
        <v>0</v>
      </c>
      <c r="E14" s="520" t="s">
        <v>1231</v>
      </c>
      <c r="F14" s="1764">
        <f>'Expenditures 15-22'!K185</f>
        <v>0</v>
      </c>
      <c r="G14" s="1764">
        <f>'Expenditures 15-22'!K280</f>
        <v>6379</v>
      </c>
      <c r="H14" s="512"/>
      <c r="I14" s="468" t="s">
        <v>1231</v>
      </c>
      <c r="J14" s="468" t="s">
        <v>1231</v>
      </c>
      <c r="K14" s="512" t="s">
        <v>1231</v>
      </c>
      <c r="L14" s="347"/>
    </row>
    <row r="15" spans="1:13" ht="15.75" customHeight="1" x14ac:dyDescent="0.2">
      <c r="A15" s="1597" t="s">
        <v>109</v>
      </c>
      <c r="B15" s="1599">
        <v>4000</v>
      </c>
      <c r="C15" s="1764">
        <f>'Expenditures 15-22'!K102</f>
        <v>192169</v>
      </c>
      <c r="D15" s="1764">
        <f>'Expenditures 15-22'!K139</f>
        <v>0</v>
      </c>
      <c r="E15" s="1764">
        <f>'Expenditures 15-22'!K160</f>
        <v>0</v>
      </c>
      <c r="F15" s="1764">
        <f>'Expenditures 15-22'!K196</f>
        <v>36049</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2088282</v>
      </c>
      <c r="D17" s="1709">
        <f t="shared" si="2"/>
        <v>220693</v>
      </c>
      <c r="E17" s="1709">
        <f t="shared" si="2"/>
        <v>0</v>
      </c>
      <c r="F17" s="1709">
        <f t="shared" si="2"/>
        <v>163040</v>
      </c>
      <c r="G17" s="1709">
        <f t="shared" si="2"/>
        <v>49442</v>
      </c>
      <c r="H17" s="1709">
        <f t="shared" si="2"/>
        <v>0</v>
      </c>
      <c r="I17" s="468"/>
      <c r="J17" s="1709">
        <f>SUM(J12:J16)</f>
        <v>103872</v>
      </c>
      <c r="K17" s="1709">
        <f>SUM(K12:K16)</f>
        <v>3035</v>
      </c>
      <c r="L17" s="347"/>
    </row>
    <row r="18" spans="1:12" ht="15" customHeight="1" thickTop="1" x14ac:dyDescent="0.2">
      <c r="A18" s="1765" t="s">
        <v>1753</v>
      </c>
      <c r="B18" s="1766">
        <v>4180</v>
      </c>
      <c r="C18" s="1763">
        <f t="shared" ref="C18:H18" si="3">C9</f>
        <v>552103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2640385</v>
      </c>
      <c r="D19" s="1709">
        <f t="shared" si="4"/>
        <v>220693</v>
      </c>
      <c r="E19" s="1709">
        <f t="shared" si="4"/>
        <v>0</v>
      </c>
      <c r="F19" s="1709">
        <f t="shared" si="4"/>
        <v>163040</v>
      </c>
      <c r="G19" s="1709">
        <f t="shared" si="4"/>
        <v>49442</v>
      </c>
      <c r="H19" s="1709">
        <f t="shared" si="4"/>
        <v>0</v>
      </c>
      <c r="I19" s="468"/>
      <c r="J19" s="1709">
        <f>SUM(J17:J18)</f>
        <v>103872</v>
      </c>
      <c r="K19" s="1709">
        <f>SUM(K17:K18)</f>
        <v>3035</v>
      </c>
      <c r="L19" s="347"/>
    </row>
    <row r="20" spans="1:12" ht="16.5" thickTop="1" thickBot="1" x14ac:dyDescent="0.25">
      <c r="A20" s="2153" t="s">
        <v>1754</v>
      </c>
      <c r="B20" s="2154"/>
      <c r="C20" s="1767">
        <f>C8-C17</f>
        <v>274292</v>
      </c>
      <c r="D20" s="1767">
        <f t="shared" ref="D20:K20" si="5">D8-D17</f>
        <v>-96352</v>
      </c>
      <c r="E20" s="1767">
        <f t="shared" si="5"/>
        <v>0</v>
      </c>
      <c r="F20" s="1767">
        <f t="shared" si="5"/>
        <v>-6633</v>
      </c>
      <c r="G20" s="1767">
        <f t="shared" si="5"/>
        <v>4845</v>
      </c>
      <c r="H20" s="1767">
        <f t="shared" si="5"/>
        <v>0</v>
      </c>
      <c r="I20" s="1767">
        <f t="shared" si="5"/>
        <v>5024</v>
      </c>
      <c r="J20" s="1767">
        <f t="shared" si="5"/>
        <v>-2853</v>
      </c>
      <c r="K20" s="1767">
        <f t="shared" si="5"/>
        <v>1706</v>
      </c>
      <c r="L20" s="347"/>
    </row>
    <row r="21" spans="1:12" ht="16.7" customHeight="1" thickTop="1" x14ac:dyDescent="0.2">
      <c r="A21" s="2165" t="s">
        <v>616</v>
      </c>
      <c r="B21" s="2166"/>
      <c r="C21" s="1591"/>
      <c r="D21" s="1592"/>
      <c r="E21" s="1592"/>
      <c r="F21" s="1592"/>
      <c r="G21" s="1592"/>
      <c r="H21" s="1592"/>
      <c r="I21" s="1592"/>
      <c r="J21" s="1592"/>
      <c r="K21" s="1593"/>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7" t="s">
        <v>392</v>
      </c>
      <c r="B44" s="2168"/>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3" t="s">
        <v>460</v>
      </c>
      <c r="B76" s="214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5" t="s">
        <v>1239</v>
      </c>
      <c r="B77" s="2146"/>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9" t="s">
        <v>618</v>
      </c>
      <c r="B78" s="2150"/>
      <c r="C78" s="1723">
        <f t="shared" ref="C78:K78" si="9">C20+C77</f>
        <v>274292</v>
      </c>
      <c r="D78" s="1723">
        <f t="shared" si="9"/>
        <v>-96352</v>
      </c>
      <c r="E78" s="1723">
        <f t="shared" si="9"/>
        <v>0</v>
      </c>
      <c r="F78" s="1723">
        <f t="shared" si="9"/>
        <v>-6633</v>
      </c>
      <c r="G78" s="1723">
        <f t="shared" si="9"/>
        <v>4845</v>
      </c>
      <c r="H78" s="1723">
        <f t="shared" si="9"/>
        <v>0</v>
      </c>
      <c r="I78" s="1723">
        <f t="shared" si="9"/>
        <v>5024</v>
      </c>
      <c r="J78" s="1723">
        <f t="shared" si="9"/>
        <v>-2853</v>
      </c>
      <c r="K78" s="1723">
        <f t="shared" si="9"/>
        <v>1706</v>
      </c>
      <c r="L78" s="533"/>
    </row>
    <row r="79" spans="1:12" ht="13.5" thickTop="1" x14ac:dyDescent="0.2">
      <c r="A79" s="1515" t="s">
        <v>2073</v>
      </c>
      <c r="B79" s="534"/>
      <c r="C79" s="478">
        <f>15474+1819280</f>
        <v>1834754</v>
      </c>
      <c r="D79" s="535">
        <v>260430</v>
      </c>
      <c r="E79" s="535">
        <v>0</v>
      </c>
      <c r="F79" s="535">
        <v>56378</v>
      </c>
      <c r="G79" s="535">
        <v>11976</v>
      </c>
      <c r="H79" s="535">
        <v>34</v>
      </c>
      <c r="I79" s="535">
        <v>59902</v>
      </c>
      <c r="J79" s="535">
        <v>5163</v>
      </c>
      <c r="K79" s="535">
        <v>0</v>
      </c>
      <c r="L79" s="347"/>
    </row>
    <row r="80" spans="1:12" x14ac:dyDescent="0.2">
      <c r="A80" s="2155" t="s">
        <v>1898</v>
      </c>
      <c r="B80" s="2156"/>
      <c r="C80" s="467"/>
      <c r="D80" s="467"/>
      <c r="E80" s="467"/>
      <c r="F80" s="467"/>
      <c r="G80" s="467"/>
      <c r="H80" s="467"/>
      <c r="I80" s="467"/>
      <c r="J80" s="467"/>
      <c r="K80" s="467"/>
      <c r="L80" s="347"/>
    </row>
    <row r="81" spans="1:12" ht="13.5" thickBot="1" x14ac:dyDescent="0.25">
      <c r="A81" s="2147" t="s">
        <v>2074</v>
      </c>
      <c r="B81" s="2148"/>
      <c r="C81" s="1709">
        <f>(SUM(C78:C80))</f>
        <v>2109046</v>
      </c>
      <c r="D81" s="1709">
        <f>SUM(D78:D80)</f>
        <v>164078</v>
      </c>
      <c r="E81" s="1709">
        <f t="shared" ref="E81:K81" si="10">SUM(E78:E80)</f>
        <v>0</v>
      </c>
      <c r="F81" s="1709">
        <f t="shared" si="10"/>
        <v>49745</v>
      </c>
      <c r="G81" s="1709">
        <f t="shared" si="10"/>
        <v>16821</v>
      </c>
      <c r="H81" s="1709">
        <f t="shared" si="10"/>
        <v>34</v>
      </c>
      <c r="I81" s="1709">
        <f t="shared" si="10"/>
        <v>64926</v>
      </c>
      <c r="J81" s="1709">
        <f t="shared" si="10"/>
        <v>2310</v>
      </c>
      <c r="K81" s="1709">
        <f t="shared" si="10"/>
        <v>1706</v>
      </c>
      <c r="L81" s="347"/>
    </row>
    <row r="82" spans="1:12" ht="0.75" customHeight="1" thickTop="1" thickBot="1" x14ac:dyDescent="0.25">
      <c r="A82" s="536" t="s">
        <v>361</v>
      </c>
      <c r="B82" s="537"/>
      <c r="C82" s="538">
        <f>(C81-C79)</f>
        <v>274292</v>
      </c>
      <c r="D82" s="538">
        <f t="shared" ref="D82:K82" si="11">(D81-D79)</f>
        <v>-96352</v>
      </c>
      <c r="E82" s="538">
        <f t="shared" si="11"/>
        <v>0</v>
      </c>
      <c r="F82" s="538">
        <f t="shared" si="11"/>
        <v>-6633</v>
      </c>
      <c r="G82" s="538">
        <f t="shared" si="11"/>
        <v>4845</v>
      </c>
      <c r="H82" s="538">
        <f t="shared" si="11"/>
        <v>0</v>
      </c>
      <c r="I82" s="538">
        <f t="shared" si="11"/>
        <v>5024</v>
      </c>
      <c r="J82" s="538">
        <f t="shared" si="11"/>
        <v>-2853</v>
      </c>
      <c r="K82" s="538">
        <f t="shared" si="11"/>
        <v>1706</v>
      </c>
    </row>
    <row r="83" spans="1:12" ht="14.25" hidden="1" thickTop="1" thickBot="1" x14ac:dyDescent="0.25">
      <c r="A83" s="539" t="s">
        <v>362</v>
      </c>
      <c r="B83" s="464"/>
      <c r="C83" s="540">
        <f>C82/C81</f>
        <v>0.13005501065410616</v>
      </c>
      <c r="D83" s="540">
        <f t="shared" ref="D83:K83" si="12">D82/D81</f>
        <v>-0.58723290142493201</v>
      </c>
      <c r="E83" s="540" t="e">
        <f t="shared" si="12"/>
        <v>#DIV/0!</v>
      </c>
      <c r="F83" s="540">
        <f t="shared" si="12"/>
        <v>-0.13334003417428889</v>
      </c>
      <c r="G83" s="540">
        <f t="shared" si="12"/>
        <v>0.28803281612270376</v>
      </c>
      <c r="H83" s="540">
        <f t="shared" si="12"/>
        <v>0</v>
      </c>
      <c r="I83" s="540">
        <f t="shared" si="12"/>
        <v>7.7380402304161655E-2</v>
      </c>
      <c r="J83" s="540">
        <f t="shared" si="12"/>
        <v>-1.235064935064935</v>
      </c>
      <c r="K83" s="540">
        <f t="shared" si="12"/>
        <v>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5" sqref="A5"/>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1905</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250688</v>
      </c>
      <c r="D5" s="481">
        <v>42856</v>
      </c>
      <c r="E5" s="466"/>
      <c r="F5" s="548">
        <v>17215</v>
      </c>
      <c r="G5" s="466">
        <v>2440</v>
      </c>
      <c r="H5" s="466"/>
      <c r="I5" s="466">
        <v>4730</v>
      </c>
      <c r="J5" s="467">
        <v>100832</v>
      </c>
      <c r="K5" s="466">
        <v>4730</v>
      </c>
    </row>
    <row r="6" spans="1:12" ht="15" x14ac:dyDescent="0.2">
      <c r="A6" s="463" t="s">
        <v>1761</v>
      </c>
      <c r="B6" s="470">
        <v>1130</v>
      </c>
      <c r="C6" s="466">
        <v>4730</v>
      </c>
      <c r="D6" s="466"/>
      <c r="E6" s="475"/>
      <c r="F6" s="475"/>
      <c r="G6" s="468"/>
      <c r="H6" s="468"/>
      <c r="I6" s="468"/>
      <c r="J6" s="468"/>
      <c r="K6" s="468"/>
    </row>
    <row r="7" spans="1:12" x14ac:dyDescent="0.2">
      <c r="A7" s="463" t="s">
        <v>112</v>
      </c>
      <c r="B7" s="549">
        <v>1140</v>
      </c>
      <c r="C7" s="466">
        <v>3784</v>
      </c>
      <c r="D7" s="466"/>
      <c r="E7" s="468"/>
      <c r="F7" s="467"/>
      <c r="G7" s="467"/>
      <c r="H7" s="467"/>
      <c r="I7" s="468"/>
      <c r="J7" s="468"/>
      <c r="K7" s="468"/>
    </row>
    <row r="8" spans="1:12" x14ac:dyDescent="0.2">
      <c r="A8" s="463" t="s">
        <v>433</v>
      </c>
      <c r="B8" s="470">
        <v>1150</v>
      </c>
      <c r="C8" s="475"/>
      <c r="D8" s="475"/>
      <c r="E8" s="477"/>
      <c r="F8" s="477"/>
      <c r="G8" s="481">
        <v>8222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259202</v>
      </c>
      <c r="D12" s="1728">
        <f t="shared" si="0"/>
        <v>42856</v>
      </c>
      <c r="E12" s="1728">
        <f t="shared" si="0"/>
        <v>0</v>
      </c>
      <c r="F12" s="1728">
        <f t="shared" si="0"/>
        <v>17215</v>
      </c>
      <c r="G12" s="1728">
        <f t="shared" si="0"/>
        <v>10662</v>
      </c>
      <c r="H12" s="1728">
        <f t="shared" si="0"/>
        <v>0</v>
      </c>
      <c r="I12" s="1728">
        <f t="shared" si="0"/>
        <v>4730</v>
      </c>
      <c r="J12" s="1728">
        <f t="shared" si="0"/>
        <v>100832</v>
      </c>
      <c r="K12" s="1709">
        <f t="shared" si="0"/>
        <v>4730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54</v>
      </c>
      <c r="D14" s="466">
        <v>9</v>
      </c>
      <c r="E14" s="466"/>
      <c r="F14" s="466">
        <v>4</v>
      </c>
      <c r="G14" s="466">
        <v>2</v>
      </c>
      <c r="H14" s="466"/>
      <c r="I14" s="466">
        <v>1</v>
      </c>
      <c r="J14" s="467">
        <v>21</v>
      </c>
      <c r="K14" s="466">
        <v>1</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879609</v>
      </c>
      <c r="D16" s="466">
        <v>58771</v>
      </c>
      <c r="E16" s="466"/>
      <c r="F16" s="466"/>
      <c r="G16" s="466">
        <v>43557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879663</v>
      </c>
      <c r="D18" s="1731">
        <f t="shared" ref="D18:K18" si="1">SUM(D14:D17)</f>
        <v>58780</v>
      </c>
      <c r="E18" s="1731">
        <f t="shared" si="1"/>
        <v>0</v>
      </c>
      <c r="F18" s="1731">
        <f t="shared" si="1"/>
        <v>4</v>
      </c>
      <c r="G18" s="1731">
        <f t="shared" si="1"/>
        <v>43559</v>
      </c>
      <c r="H18" s="1731">
        <f t="shared" si="1"/>
        <v>0</v>
      </c>
      <c r="I18" s="1731">
        <f t="shared" si="1"/>
        <v>1</v>
      </c>
      <c r="J18" s="1731">
        <f t="shared" si="1"/>
        <v>21</v>
      </c>
      <c r="K18" s="1732">
        <f t="shared" si="1"/>
        <v>1</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9589</v>
      </c>
      <c r="D65" s="466">
        <v>1025</v>
      </c>
      <c r="E65" s="466"/>
      <c r="F65" s="467">
        <v>455</v>
      </c>
      <c r="G65" s="466">
        <v>66</v>
      </c>
      <c r="H65" s="466"/>
      <c r="I65" s="466">
        <v>293</v>
      </c>
      <c r="J65" s="467">
        <v>166</v>
      </c>
      <c r="K65" s="466">
        <v>10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9589</v>
      </c>
      <c r="D67" s="1709">
        <f t="shared" ref="D67:K67" si="2">SUM(D65:D66)</f>
        <v>1025</v>
      </c>
      <c r="E67" s="1709">
        <f t="shared" si="2"/>
        <v>0</v>
      </c>
      <c r="F67" s="1709">
        <f t="shared" si="2"/>
        <v>455</v>
      </c>
      <c r="G67" s="1709">
        <f t="shared" si="2"/>
        <v>66</v>
      </c>
      <c r="H67" s="1709">
        <f t="shared" si="2"/>
        <v>0</v>
      </c>
      <c r="I67" s="1709">
        <f t="shared" si="2"/>
        <v>293</v>
      </c>
      <c r="J67" s="1709">
        <f t="shared" si="2"/>
        <v>166</v>
      </c>
      <c r="K67" s="1709">
        <f t="shared" si="2"/>
        <v>10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600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7459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21461</v>
      </c>
      <c r="D107" s="466"/>
      <c r="E107" s="466"/>
      <c r="F107" s="466"/>
      <c r="G107" s="466"/>
      <c r="H107" s="466"/>
      <c r="I107" s="466"/>
      <c r="J107" s="467"/>
      <c r="K107" s="466"/>
    </row>
    <row r="108" spans="1:12" ht="12.75" customHeight="1" thickBot="1" x14ac:dyDescent="0.25">
      <c r="A108" s="1729" t="s">
        <v>508</v>
      </c>
      <c r="B108" s="1733"/>
      <c r="C108" s="1728">
        <f>SUM(C95:C107)</f>
        <v>29520</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1177974</v>
      </c>
      <c r="D109" s="1736">
        <f t="shared" si="4"/>
        <v>102661</v>
      </c>
      <c r="E109" s="1736">
        <f t="shared" si="4"/>
        <v>0</v>
      </c>
      <c r="F109" s="1736">
        <f t="shared" si="4"/>
        <v>17674</v>
      </c>
      <c r="G109" s="1736">
        <f t="shared" si="4"/>
        <v>54287</v>
      </c>
      <c r="H109" s="1736">
        <f t="shared" si="4"/>
        <v>0</v>
      </c>
      <c r="I109" s="1736">
        <f t="shared" si="4"/>
        <v>5024</v>
      </c>
      <c r="J109" s="1736">
        <f t="shared" si="4"/>
        <v>101019</v>
      </c>
      <c r="K109" s="1723">
        <f t="shared" si="4"/>
        <v>4741</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638266</v>
      </c>
      <c r="D117" s="481">
        <v>21680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638266</v>
      </c>
      <c r="D121" s="1728">
        <f t="shared" si="5"/>
        <v>21680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34766</v>
      </c>
      <c r="D124" s="561"/>
      <c r="E124" s="468"/>
      <c r="F124" s="548"/>
      <c r="G124" s="468"/>
      <c r="H124" s="468"/>
      <c r="I124" s="468"/>
      <c r="J124" s="468"/>
      <c r="K124" s="468"/>
    </row>
    <row r="125" spans="1:11" ht="12.75" customHeight="1" x14ac:dyDescent="0.2">
      <c r="A125" s="463" t="s">
        <v>1521</v>
      </c>
      <c r="B125" s="562">
        <v>3105</v>
      </c>
      <c r="C125" s="466">
        <v>10086</v>
      </c>
      <c r="D125" s="561"/>
      <c r="E125" s="468"/>
      <c r="F125" s="466"/>
      <c r="G125" s="468"/>
      <c r="H125" s="468"/>
      <c r="I125" s="468"/>
      <c r="J125" s="468"/>
      <c r="K125" s="468"/>
    </row>
    <row r="126" spans="1:11" ht="12.75" customHeight="1" x14ac:dyDescent="0.2">
      <c r="A126" s="463" t="s">
        <v>922</v>
      </c>
      <c r="B126" s="562">
        <v>3110</v>
      </c>
      <c r="C126" s="551">
        <v>12649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935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58436</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862</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86695</v>
      </c>
      <c r="G151" s="467"/>
      <c r="H151" s="468"/>
      <c r="I151" s="468"/>
      <c r="J151" s="468"/>
      <c r="K151" s="468"/>
    </row>
    <row r="152" spans="1:11" ht="12.75" customHeight="1" x14ac:dyDescent="0.2">
      <c r="A152" s="463" t="s">
        <v>1117</v>
      </c>
      <c r="B152" s="562">
        <v>3510</v>
      </c>
      <c r="C152" s="551"/>
      <c r="D152" s="466"/>
      <c r="E152" s="561"/>
      <c r="F152" s="466">
        <v>52038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138733</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86481</v>
      </c>
      <c r="D171" s="580"/>
      <c r="E171" s="580"/>
      <c r="F171" s="580"/>
      <c r="G171" s="581"/>
      <c r="H171" s="582"/>
      <c r="I171" s="581"/>
      <c r="J171" s="581"/>
      <c r="K171" s="582"/>
    </row>
    <row r="172" spans="1:11" ht="12.75" customHeight="1" thickTop="1" thickBot="1" x14ac:dyDescent="0.25">
      <c r="A172" s="2171" t="s">
        <v>418</v>
      </c>
      <c r="B172" s="2172"/>
      <c r="C172" s="1743">
        <f t="shared" ref="C172:K172" si="6">SUM(C131,C140,C144,C145:C149,C154,C155:C170,C171)</f>
        <v>145779</v>
      </c>
      <c r="D172" s="1743">
        <f t="shared" si="6"/>
        <v>0</v>
      </c>
      <c r="E172" s="1743">
        <f t="shared" si="6"/>
        <v>0</v>
      </c>
      <c r="F172" s="1743">
        <f t="shared" si="6"/>
        <v>138733</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784045</v>
      </c>
      <c r="D173" s="1736">
        <f>SUM(D121,D172)</f>
        <v>21680</v>
      </c>
      <c r="E173" s="1736">
        <f>SUM(E121,E172)</f>
        <v>0</v>
      </c>
      <c r="F173" s="1736">
        <f t="shared" ref="F173:K173" si="7">SUM(F121,F172)</f>
        <v>138733</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1764</v>
      </c>
      <c r="B178" s="217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1" t="s">
        <v>1763</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5" t="s">
        <v>1906</v>
      </c>
      <c r="B185" s="217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28622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17585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46207</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163949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163949</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v>132949</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132949</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43260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43260</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9994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4196</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400555</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400555</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2362574</v>
      </c>
      <c r="D275" s="1736">
        <f t="shared" si="12"/>
        <v>124341</v>
      </c>
      <c r="E275" s="1736">
        <f t="shared" si="12"/>
        <v>0</v>
      </c>
      <c r="F275" s="1736">
        <f t="shared" si="12"/>
        <v>156407</v>
      </c>
      <c r="G275" s="1736">
        <f t="shared" si="12"/>
        <v>54287</v>
      </c>
      <c r="H275" s="1736">
        <f t="shared" si="12"/>
        <v>0</v>
      </c>
      <c r="I275" s="1736">
        <f t="shared" si="12"/>
        <v>5024</v>
      </c>
      <c r="J275" s="1736">
        <f t="shared" si="12"/>
        <v>101019</v>
      </c>
      <c r="K275" s="1723">
        <f t="shared" si="12"/>
        <v>4741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85" zoomScaleNormal="110" zoomScaleSheetLayoutView="85" workbookViewId="0">
      <pane ySplit="2" topLeftCell="A3" activePane="bottomLeft" state="frozen"/>
      <selection activeCell="A5" sqref="A5"/>
      <selection pane="bottomLeft" activeCell="A5" sqref="A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9" t="s">
        <v>315</v>
      </c>
      <c r="B3" s="2190"/>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401895</v>
      </c>
      <c r="D5" s="466">
        <v>87803</v>
      </c>
      <c r="E5" s="466">
        <v>18426</v>
      </c>
      <c r="F5" s="466">
        <v>30446</v>
      </c>
      <c r="G5" s="466"/>
      <c r="H5" s="466">
        <v>125</v>
      </c>
      <c r="I5" s="467"/>
      <c r="J5" s="467"/>
      <c r="K5" s="1692">
        <f>SUM(C5:J5)</f>
        <v>538695</v>
      </c>
      <c r="L5" s="466">
        <v>558851</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34301</v>
      </c>
      <c r="D7" s="467">
        <v>8813</v>
      </c>
      <c r="E7" s="467"/>
      <c r="F7" s="467">
        <v>1684</v>
      </c>
      <c r="G7" s="467"/>
      <c r="H7" s="467"/>
      <c r="I7" s="467"/>
      <c r="J7" s="467"/>
      <c r="K7" s="1692">
        <f t="shared" ref="K7:K32" si="0">SUM(C7:J7)</f>
        <v>44798</v>
      </c>
      <c r="L7" s="466">
        <v>45146</v>
      </c>
    </row>
    <row r="8" spans="1:14" x14ac:dyDescent="0.2">
      <c r="A8" s="1525" t="s">
        <v>166</v>
      </c>
      <c r="B8" s="615">
        <v>1200</v>
      </c>
      <c r="C8" s="466">
        <v>128058</v>
      </c>
      <c r="D8" s="466">
        <v>10758</v>
      </c>
      <c r="E8" s="466"/>
      <c r="F8" s="466">
        <v>4596</v>
      </c>
      <c r="G8" s="466"/>
      <c r="H8" s="466"/>
      <c r="I8" s="467"/>
      <c r="J8" s="467"/>
      <c r="K8" s="1692">
        <f t="shared" si="0"/>
        <v>143412</v>
      </c>
      <c r="L8" s="466">
        <v>145605</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103694</v>
      </c>
      <c r="D10" s="466">
        <v>9308</v>
      </c>
      <c r="E10" s="466">
        <v>8935</v>
      </c>
      <c r="F10" s="466">
        <v>20857</v>
      </c>
      <c r="G10" s="466"/>
      <c r="H10" s="466"/>
      <c r="I10" s="467"/>
      <c r="J10" s="467"/>
      <c r="K10" s="1692">
        <f t="shared" si="0"/>
        <v>142794</v>
      </c>
      <c r="L10" s="466">
        <v>145164</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c r="G13" s="466"/>
      <c r="H13" s="466"/>
      <c r="I13" s="467"/>
      <c r="J13" s="467"/>
      <c r="K13" s="1692">
        <f t="shared" si="0"/>
        <v>0</v>
      </c>
      <c r="L13" s="466"/>
    </row>
    <row r="14" spans="1:14" x14ac:dyDescent="0.2">
      <c r="A14" s="1525" t="s">
        <v>1020</v>
      </c>
      <c r="B14" s="615">
        <v>1500</v>
      </c>
      <c r="C14" s="466">
        <v>7696</v>
      </c>
      <c r="D14" s="466"/>
      <c r="E14" s="466"/>
      <c r="F14" s="466">
        <v>1213</v>
      </c>
      <c r="G14" s="466"/>
      <c r="H14" s="466">
        <v>295</v>
      </c>
      <c r="I14" s="467"/>
      <c r="J14" s="467"/>
      <c r="K14" s="1692">
        <f t="shared" si="0"/>
        <v>9204</v>
      </c>
      <c r="L14" s="466">
        <v>9210</v>
      </c>
    </row>
    <row r="15" spans="1:14" x14ac:dyDescent="0.2">
      <c r="A15" s="1525" t="s">
        <v>1021</v>
      </c>
      <c r="B15" s="615">
        <v>1600</v>
      </c>
      <c r="C15" s="466">
        <v>20500</v>
      </c>
      <c r="D15" s="466">
        <v>5227</v>
      </c>
      <c r="E15" s="466">
        <v>511</v>
      </c>
      <c r="F15" s="466">
        <v>1592</v>
      </c>
      <c r="G15" s="466"/>
      <c r="H15" s="466"/>
      <c r="I15" s="467"/>
      <c r="J15" s="467"/>
      <c r="K15" s="1692">
        <f t="shared" si="0"/>
        <v>27830</v>
      </c>
      <c r="L15" s="466">
        <v>33163</v>
      </c>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v>157171</v>
      </c>
      <c r="I22" s="617"/>
      <c r="J22" s="477"/>
      <c r="K22" s="1692">
        <f t="shared" si="0"/>
        <v>157171</v>
      </c>
      <c r="L22" s="471">
        <v>157311</v>
      </c>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696144</v>
      </c>
      <c r="D33" s="1691">
        <f t="shared" ref="D33:L33" si="1">SUM(D5:D32)</f>
        <v>121909</v>
      </c>
      <c r="E33" s="1691">
        <f t="shared" si="1"/>
        <v>27872</v>
      </c>
      <c r="F33" s="1691">
        <f t="shared" si="1"/>
        <v>60388</v>
      </c>
      <c r="G33" s="1691">
        <f t="shared" si="1"/>
        <v>0</v>
      </c>
      <c r="H33" s="1691">
        <f t="shared" si="1"/>
        <v>157591</v>
      </c>
      <c r="I33" s="1691">
        <f t="shared" si="1"/>
        <v>0</v>
      </c>
      <c r="J33" s="1691">
        <f t="shared" si="1"/>
        <v>0</v>
      </c>
      <c r="K33" s="1691">
        <f t="shared" si="1"/>
        <v>1063904</v>
      </c>
      <c r="L33" s="1691">
        <f t="shared" si="1"/>
        <v>1094450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18186</v>
      </c>
      <c r="D36" s="481"/>
      <c r="E36" s="481"/>
      <c r="F36" s="481">
        <v>613</v>
      </c>
      <c r="G36" s="481"/>
      <c r="H36" s="481"/>
      <c r="I36" s="467"/>
      <c r="J36" s="467"/>
      <c r="K36" s="1692">
        <f t="shared" ref="K36:K41" si="2">SUM(C36:J36)</f>
        <v>18799</v>
      </c>
      <c r="L36" s="466">
        <v>24738</v>
      </c>
    </row>
    <row r="37" spans="1:14" x14ac:dyDescent="0.2">
      <c r="A37" s="1525" t="s">
        <v>1151</v>
      </c>
      <c r="B37" s="615">
        <v>2120</v>
      </c>
      <c r="C37" s="466"/>
      <c r="D37" s="466"/>
      <c r="E37" s="466"/>
      <c r="F37" s="466"/>
      <c r="G37" s="466"/>
      <c r="H37" s="466"/>
      <c r="I37" s="467"/>
      <c r="J37" s="467"/>
      <c r="K37" s="1692">
        <f t="shared" si="2"/>
        <v>0</v>
      </c>
      <c r="L37" s="466"/>
    </row>
    <row r="38" spans="1:14" x14ac:dyDescent="0.2">
      <c r="A38" s="1525" t="s">
        <v>207</v>
      </c>
      <c r="B38" s="615">
        <v>2130</v>
      </c>
      <c r="C38" s="466">
        <v>11091</v>
      </c>
      <c r="D38" s="466">
        <v>1998</v>
      </c>
      <c r="E38" s="466">
        <v>9</v>
      </c>
      <c r="F38" s="466"/>
      <c r="G38" s="466"/>
      <c r="H38" s="466"/>
      <c r="I38" s="467"/>
      <c r="J38" s="467"/>
      <c r="K38" s="1692">
        <f t="shared" si="2"/>
        <v>13098</v>
      </c>
      <c r="L38" s="466">
        <v>13099</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v>11655</v>
      </c>
      <c r="F40" s="466">
        <v>161</v>
      </c>
      <c r="G40" s="466"/>
      <c r="H40" s="466"/>
      <c r="I40" s="467"/>
      <c r="J40" s="467"/>
      <c r="K40" s="1692">
        <f t="shared" si="2"/>
        <v>11816</v>
      </c>
      <c r="L40" s="466">
        <v>11855</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29277</v>
      </c>
      <c r="D42" s="1691">
        <f t="shared" ref="D42:L42" si="3">SUM(D36:D41)</f>
        <v>1998</v>
      </c>
      <c r="E42" s="1691">
        <f t="shared" si="3"/>
        <v>11664</v>
      </c>
      <c r="F42" s="1691">
        <f t="shared" si="3"/>
        <v>774</v>
      </c>
      <c r="G42" s="1691">
        <f t="shared" si="3"/>
        <v>0</v>
      </c>
      <c r="H42" s="1691">
        <f t="shared" si="3"/>
        <v>0</v>
      </c>
      <c r="I42" s="1691">
        <f t="shared" si="3"/>
        <v>0</v>
      </c>
      <c r="J42" s="1691">
        <f t="shared" si="3"/>
        <v>0</v>
      </c>
      <c r="K42" s="1691">
        <f t="shared" si="3"/>
        <v>43713</v>
      </c>
      <c r="L42" s="1691">
        <f t="shared" si="3"/>
        <v>49692</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1200</v>
      </c>
      <c r="D44" s="481">
        <v>3239</v>
      </c>
      <c r="E44" s="481">
        <v>52179</v>
      </c>
      <c r="F44" s="481">
        <v>1796</v>
      </c>
      <c r="G44" s="481"/>
      <c r="H44" s="481"/>
      <c r="I44" s="467"/>
      <c r="J44" s="467"/>
      <c r="K44" s="1693">
        <f>SUM(C44:J44)</f>
        <v>58414</v>
      </c>
      <c r="L44" s="481">
        <v>101928</v>
      </c>
    </row>
    <row r="45" spans="1:14" x14ac:dyDescent="0.2">
      <c r="A45" s="1525" t="s">
        <v>869</v>
      </c>
      <c r="B45" s="615">
        <v>2220</v>
      </c>
      <c r="C45" s="466"/>
      <c r="D45" s="466"/>
      <c r="E45" s="466"/>
      <c r="F45" s="466">
        <v>14661</v>
      </c>
      <c r="G45" s="466"/>
      <c r="H45" s="466"/>
      <c r="I45" s="467"/>
      <c r="J45" s="467"/>
      <c r="K45" s="1693">
        <f>SUM(C45:J45)</f>
        <v>14661</v>
      </c>
      <c r="L45" s="466">
        <v>20636</v>
      </c>
    </row>
    <row r="46" spans="1:14" x14ac:dyDescent="0.2">
      <c r="A46" s="1525" t="s">
        <v>870</v>
      </c>
      <c r="B46" s="615">
        <v>2230</v>
      </c>
      <c r="C46" s="466"/>
      <c r="D46" s="466"/>
      <c r="E46" s="466"/>
      <c r="F46" s="466"/>
      <c r="G46" s="466"/>
      <c r="H46" s="466">
        <v>1990</v>
      </c>
      <c r="I46" s="467"/>
      <c r="J46" s="467"/>
      <c r="K46" s="1693">
        <f>SUM(C46:J46)</f>
        <v>1990</v>
      </c>
      <c r="L46" s="466">
        <v>5500</v>
      </c>
    </row>
    <row r="47" spans="1:14" ht="12.75" customHeight="1" thickBot="1" x14ac:dyDescent="0.25">
      <c r="A47" s="1689" t="s">
        <v>582</v>
      </c>
      <c r="B47" s="1690" t="s">
        <v>32</v>
      </c>
      <c r="C47" s="1691">
        <f>SUM(C44:C46)</f>
        <v>1200</v>
      </c>
      <c r="D47" s="1691">
        <f t="shared" ref="D47:K47" si="4">SUM(D44:D46)</f>
        <v>3239</v>
      </c>
      <c r="E47" s="1691">
        <f t="shared" si="4"/>
        <v>52179</v>
      </c>
      <c r="F47" s="1691">
        <f t="shared" si="4"/>
        <v>16457</v>
      </c>
      <c r="G47" s="1691">
        <f t="shared" si="4"/>
        <v>0</v>
      </c>
      <c r="H47" s="1691">
        <f t="shared" si="4"/>
        <v>1990</v>
      </c>
      <c r="I47" s="1691">
        <f t="shared" si="4"/>
        <v>0</v>
      </c>
      <c r="J47" s="1691">
        <f t="shared" si="4"/>
        <v>0</v>
      </c>
      <c r="K47" s="1691">
        <f t="shared" si="4"/>
        <v>75065</v>
      </c>
      <c r="L47" s="1691">
        <f>SUM(L44:L46)</f>
        <v>128064</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39709</v>
      </c>
      <c r="F49" s="481">
        <v>1297</v>
      </c>
      <c r="G49" s="481"/>
      <c r="H49" s="481">
        <v>32193</v>
      </c>
      <c r="I49" s="467"/>
      <c r="J49" s="467"/>
      <c r="K49" s="1693">
        <f>SUM(C49:J49)</f>
        <v>73199</v>
      </c>
      <c r="L49" s="481">
        <v>58677</v>
      </c>
    </row>
    <row r="50" spans="1:14" x14ac:dyDescent="0.2">
      <c r="A50" s="1525" t="s">
        <v>872</v>
      </c>
      <c r="B50" s="615">
        <v>2320</v>
      </c>
      <c r="C50" s="466">
        <v>166681</v>
      </c>
      <c r="D50" s="466">
        <v>23930</v>
      </c>
      <c r="E50" s="466">
        <v>9361</v>
      </c>
      <c r="F50" s="466">
        <v>3436</v>
      </c>
      <c r="G50" s="466"/>
      <c r="H50" s="466">
        <v>1342</v>
      </c>
      <c r="I50" s="467"/>
      <c r="J50" s="467"/>
      <c r="K50" s="1693">
        <f>SUM(C50:J50)</f>
        <v>204750</v>
      </c>
      <c r="L50" s="466">
        <v>206241</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166681</v>
      </c>
      <c r="D53" s="1691">
        <f t="shared" ref="D53:L53" si="5">SUM(D49:D52)</f>
        <v>23930</v>
      </c>
      <c r="E53" s="1691">
        <f t="shared" si="5"/>
        <v>49070</v>
      </c>
      <c r="F53" s="1691">
        <f t="shared" si="5"/>
        <v>4733</v>
      </c>
      <c r="G53" s="1691">
        <f t="shared" si="5"/>
        <v>0</v>
      </c>
      <c r="H53" s="1691">
        <f t="shared" si="5"/>
        <v>33535</v>
      </c>
      <c r="I53" s="1691">
        <f t="shared" si="5"/>
        <v>0</v>
      </c>
      <c r="J53" s="1691">
        <f t="shared" si="5"/>
        <v>0</v>
      </c>
      <c r="K53" s="1691">
        <f t="shared" si="5"/>
        <v>277949</v>
      </c>
      <c r="L53" s="1691">
        <f t="shared" si="5"/>
        <v>264918</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131136</v>
      </c>
      <c r="D55" s="481">
        <v>22977</v>
      </c>
      <c r="E55" s="481">
        <v>7911</v>
      </c>
      <c r="F55" s="481">
        <v>988</v>
      </c>
      <c r="G55" s="481"/>
      <c r="H55" s="481">
        <v>560</v>
      </c>
      <c r="I55" s="467"/>
      <c r="J55" s="467"/>
      <c r="K55" s="1693">
        <f>SUM(C55:J55)</f>
        <v>163572</v>
      </c>
      <c r="L55" s="481">
        <v>142913</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131136</v>
      </c>
      <c r="D57" s="1695">
        <f t="shared" ref="D57:K57" si="6">SUM(D55:D56)</f>
        <v>22977</v>
      </c>
      <c r="E57" s="1695">
        <f t="shared" si="6"/>
        <v>7911</v>
      </c>
      <c r="F57" s="1695">
        <f t="shared" si="6"/>
        <v>988</v>
      </c>
      <c r="G57" s="1695">
        <f t="shared" si="6"/>
        <v>0</v>
      </c>
      <c r="H57" s="1695">
        <f t="shared" si="6"/>
        <v>560</v>
      </c>
      <c r="I57" s="1695">
        <f t="shared" si="6"/>
        <v>0</v>
      </c>
      <c r="J57" s="1695">
        <f t="shared" si="6"/>
        <v>0</v>
      </c>
      <c r="K57" s="1695">
        <f t="shared" si="6"/>
        <v>163572</v>
      </c>
      <c r="L57" s="1691">
        <f>SUM(L55:L56)</f>
        <v>142913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33769</v>
      </c>
      <c r="D60" s="466">
        <v>7527</v>
      </c>
      <c r="E60" s="466">
        <v>16871</v>
      </c>
      <c r="F60" s="466">
        <v>1211</v>
      </c>
      <c r="G60" s="466"/>
      <c r="H60" s="466">
        <v>9903</v>
      </c>
      <c r="I60" s="467"/>
      <c r="J60" s="467"/>
      <c r="K60" s="1693">
        <f t="shared" si="7"/>
        <v>69281</v>
      </c>
      <c r="L60" s="466">
        <v>82592</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42193</v>
      </c>
      <c r="D63" s="466">
        <v>42</v>
      </c>
      <c r="E63" s="466">
        <v>938</v>
      </c>
      <c r="F63" s="466">
        <v>43269</v>
      </c>
      <c r="G63" s="466">
        <v>6923</v>
      </c>
      <c r="H63" s="466">
        <v>1097</v>
      </c>
      <c r="I63" s="467"/>
      <c r="J63" s="467"/>
      <c r="K63" s="1693">
        <f t="shared" si="7"/>
        <v>94462</v>
      </c>
      <c r="L63" s="466">
        <v>95452</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75962</v>
      </c>
      <c r="D65" s="1691">
        <f t="shared" ref="D65:L65" si="8">SUM(D59:D64)</f>
        <v>7569</v>
      </c>
      <c r="E65" s="1691">
        <f t="shared" si="8"/>
        <v>17809</v>
      </c>
      <c r="F65" s="1691">
        <f t="shared" si="8"/>
        <v>44480</v>
      </c>
      <c r="G65" s="1691">
        <f t="shared" si="8"/>
        <v>6923</v>
      </c>
      <c r="H65" s="1691">
        <f t="shared" si="8"/>
        <v>11000</v>
      </c>
      <c r="I65" s="1691">
        <f t="shared" si="8"/>
        <v>0</v>
      </c>
      <c r="J65" s="1691">
        <f t="shared" si="8"/>
        <v>0</v>
      </c>
      <c r="K65" s="1691">
        <f t="shared" si="8"/>
        <v>163743</v>
      </c>
      <c r="L65" s="1691">
        <f t="shared" si="8"/>
        <v>178044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v>1500</v>
      </c>
      <c r="F68" s="466"/>
      <c r="G68" s="466"/>
      <c r="H68" s="466"/>
      <c r="I68" s="467"/>
      <c r="J68" s="467"/>
      <c r="K68" s="1693">
        <f>SUM(C68:J68)</f>
        <v>1500</v>
      </c>
      <c r="L68" s="466">
        <v>1500</v>
      </c>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v>10943</v>
      </c>
      <c r="F71" s="466">
        <v>3477</v>
      </c>
      <c r="G71" s="466"/>
      <c r="H71" s="466"/>
      <c r="I71" s="467">
        <v>1068</v>
      </c>
      <c r="J71" s="467"/>
      <c r="K71" s="1693">
        <f>SUM(C71:J71)</f>
        <v>15488</v>
      </c>
      <c r="L71" s="466">
        <v>15565</v>
      </c>
      <c r="M71" s="610"/>
      <c r="N71" s="610"/>
    </row>
    <row r="72" spans="1:14" s="343" customFormat="1" ht="12.75" customHeight="1" thickBot="1" x14ac:dyDescent="0.25">
      <c r="A72" s="1689" t="s">
        <v>37</v>
      </c>
      <c r="B72" s="1696" t="s">
        <v>36</v>
      </c>
      <c r="C72" s="1691">
        <f>SUM(C67:C71)</f>
        <v>0</v>
      </c>
      <c r="D72" s="1691">
        <f t="shared" ref="D72:K72" si="9">SUM(D67:D71)</f>
        <v>0</v>
      </c>
      <c r="E72" s="1691">
        <f t="shared" si="9"/>
        <v>12443</v>
      </c>
      <c r="F72" s="1691">
        <f t="shared" si="9"/>
        <v>3477</v>
      </c>
      <c r="G72" s="1691">
        <f t="shared" si="9"/>
        <v>0</v>
      </c>
      <c r="H72" s="1691">
        <f t="shared" si="9"/>
        <v>0</v>
      </c>
      <c r="I72" s="1691">
        <f t="shared" si="9"/>
        <v>1068</v>
      </c>
      <c r="J72" s="1691">
        <f t="shared" si="9"/>
        <v>0</v>
      </c>
      <c r="K72" s="1691">
        <f t="shared" si="9"/>
        <v>16988</v>
      </c>
      <c r="L72" s="1691">
        <f>SUM(L67:L71)</f>
        <v>17065</v>
      </c>
      <c r="M72" s="610"/>
      <c r="N72" s="610"/>
    </row>
    <row r="73" spans="1:14" s="343" customFormat="1" ht="14.25" thickTop="1" thickBot="1" x14ac:dyDescent="0.25">
      <c r="A73" s="1531" t="s">
        <v>1037</v>
      </c>
      <c r="B73" s="633" t="s">
        <v>595</v>
      </c>
      <c r="C73" s="573">
        <v>30819</v>
      </c>
      <c r="D73" s="573">
        <v>1225</v>
      </c>
      <c r="E73" s="573"/>
      <c r="F73" s="573">
        <v>3348</v>
      </c>
      <c r="G73" s="573"/>
      <c r="H73" s="573"/>
      <c r="I73" s="531"/>
      <c r="J73" s="531"/>
      <c r="K73" s="1691">
        <f>SUM(C73:J73)</f>
        <v>35392</v>
      </c>
      <c r="L73" s="576">
        <v>37375</v>
      </c>
      <c r="M73" s="610"/>
      <c r="N73" s="610"/>
    </row>
    <row r="74" spans="1:14" ht="12.75" customHeight="1" thickTop="1" thickBot="1" x14ac:dyDescent="0.25">
      <c r="A74" s="1689" t="s">
        <v>865</v>
      </c>
      <c r="B74" s="1697">
        <v>2000</v>
      </c>
      <c r="C74" s="1698">
        <f>SUM(C42,C47,C53,C57,C65,C72,C73)</f>
        <v>435075</v>
      </c>
      <c r="D74" s="1698">
        <f t="shared" ref="D74:K74" si="10">SUM(D42,D47,D53,D57,D65,D72,D73)</f>
        <v>60938</v>
      </c>
      <c r="E74" s="1698">
        <f t="shared" si="10"/>
        <v>151076</v>
      </c>
      <c r="F74" s="1698">
        <f t="shared" si="10"/>
        <v>74257</v>
      </c>
      <c r="G74" s="1698">
        <f t="shared" si="10"/>
        <v>6923</v>
      </c>
      <c r="H74" s="1698">
        <f t="shared" si="10"/>
        <v>47085</v>
      </c>
      <c r="I74" s="1698">
        <f t="shared" si="10"/>
        <v>1068</v>
      </c>
      <c r="J74" s="1698">
        <f t="shared" si="10"/>
        <v>0</v>
      </c>
      <c r="K74" s="1698">
        <f t="shared" si="10"/>
        <v>776422</v>
      </c>
      <c r="L74" s="1698">
        <f>SUM(L42,L47,L53,L57,L65,L72,L73)</f>
        <v>818071</v>
      </c>
    </row>
    <row r="75" spans="1:14" s="259" customFormat="1" ht="15.75" customHeight="1" thickTop="1" thickBot="1" x14ac:dyDescent="0.25">
      <c r="A75" s="1631" t="s">
        <v>49</v>
      </c>
      <c r="B75" s="1632" t="s">
        <v>596</v>
      </c>
      <c r="C75" s="573">
        <v>37969</v>
      </c>
      <c r="D75" s="573">
        <v>2020</v>
      </c>
      <c r="E75" s="573">
        <v>10963</v>
      </c>
      <c r="F75" s="573">
        <v>4835</v>
      </c>
      <c r="G75" s="573"/>
      <c r="H75" s="573"/>
      <c r="I75" s="531"/>
      <c r="J75" s="531"/>
      <c r="K75" s="1691">
        <f>SUM(C75:J75)</f>
        <v>55787</v>
      </c>
      <c r="L75" s="576">
        <v>53631</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v>76834</v>
      </c>
      <c r="I79" s="477"/>
      <c r="J79" s="477"/>
      <c r="K79" s="1692">
        <f t="shared" si="11"/>
        <v>76834</v>
      </c>
      <c r="L79" s="466">
        <v>76835</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v>9333</v>
      </c>
      <c r="I83" s="477"/>
      <c r="J83" s="477"/>
      <c r="K83" s="1692">
        <f t="shared" si="11"/>
        <v>9333</v>
      </c>
      <c r="L83" s="466">
        <v>9350</v>
      </c>
    </row>
    <row r="84" spans="1:12" ht="13.5" thickBot="1" x14ac:dyDescent="0.25">
      <c r="A84" s="1689" t="s">
        <v>1565</v>
      </c>
      <c r="B84" s="1699">
        <v>4100</v>
      </c>
      <c r="C84" s="617"/>
      <c r="D84" s="617"/>
      <c r="E84" s="1691">
        <f>SUM(E78:E83)</f>
        <v>0</v>
      </c>
      <c r="F84" s="617"/>
      <c r="G84" s="617"/>
      <c r="H84" s="1691">
        <f>SUM(H78:H83)</f>
        <v>86167</v>
      </c>
      <c r="I84" s="477"/>
      <c r="J84" s="477"/>
      <c r="K84" s="1691">
        <f>SUM(K78:K83)</f>
        <v>86167</v>
      </c>
      <c r="L84" s="1691">
        <f>SUM(L78:L83)</f>
        <v>86185</v>
      </c>
    </row>
    <row r="85" spans="1:12" ht="12.75" customHeight="1" thickTop="1" thickBot="1" x14ac:dyDescent="0.25">
      <c r="A85" s="1532" t="s">
        <v>273</v>
      </c>
      <c r="B85" s="636">
        <v>4210</v>
      </c>
      <c r="C85" s="617"/>
      <c r="D85" s="617"/>
      <c r="E85" s="637"/>
      <c r="F85" s="617"/>
      <c r="G85" s="617"/>
      <c r="H85" s="535">
        <v>106002</v>
      </c>
      <c r="I85" s="477"/>
      <c r="J85" s="477"/>
      <c r="K85" s="1698">
        <f>H85</f>
        <v>106002</v>
      </c>
      <c r="L85" s="530">
        <v>106003</v>
      </c>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106002</v>
      </c>
      <c r="I92" s="477"/>
      <c r="J92" s="477"/>
      <c r="K92" s="1698">
        <f t="shared" si="12"/>
        <v>106002</v>
      </c>
      <c r="L92" s="1691">
        <f>SUM(L85:L91)</f>
        <v>106003</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0</v>
      </c>
      <c r="F102" s="617"/>
      <c r="G102" s="617"/>
      <c r="H102" s="1698">
        <f>SUM(H84,H92,H100,H101)</f>
        <v>192169</v>
      </c>
      <c r="I102" s="477"/>
      <c r="J102" s="477"/>
      <c r="K102" s="1698">
        <f>SUM(K84,K92,K100,K101)</f>
        <v>192169</v>
      </c>
      <c r="L102" s="1698">
        <f>SUM(L84,L92,L100,L101)</f>
        <v>192188</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1169188</v>
      </c>
      <c r="D114" s="1691">
        <f t="shared" ref="D114:K114" si="13">SUM(D33,D74,D75,D102,D112,D113)</f>
        <v>184867</v>
      </c>
      <c r="E114" s="1691">
        <f t="shared" si="13"/>
        <v>189911</v>
      </c>
      <c r="F114" s="1691">
        <f t="shared" si="13"/>
        <v>139480</v>
      </c>
      <c r="G114" s="1691">
        <f t="shared" si="13"/>
        <v>6923</v>
      </c>
      <c r="H114" s="1691">
        <f>SUM(H33,H74,H75,H102,H112,H113)</f>
        <v>396845</v>
      </c>
      <c r="I114" s="1691">
        <f t="shared" si="13"/>
        <v>1068</v>
      </c>
      <c r="J114" s="1691">
        <f t="shared" si="13"/>
        <v>0</v>
      </c>
      <c r="K114" s="1691">
        <f t="shared" si="13"/>
        <v>2088282</v>
      </c>
      <c r="L114" s="1691">
        <f>SUM(L33,L74,L75,L102,L112,L113)</f>
        <v>2158340</v>
      </c>
    </row>
    <row r="115" spans="1:14" ht="13.5" thickTop="1" x14ac:dyDescent="0.2">
      <c r="A115" s="2208" t="s">
        <v>1053</v>
      </c>
      <c r="B115" s="2209"/>
      <c r="C115" s="619"/>
      <c r="D115" s="619"/>
      <c r="E115" s="619"/>
      <c r="F115" s="619"/>
      <c r="G115" s="619"/>
      <c r="H115" s="619"/>
      <c r="I115" s="619"/>
      <c r="J115" s="619"/>
      <c r="K115" s="1705">
        <f>'Revenues 9-14'!C275-'Expenditures 15-22'!K114</f>
        <v>274292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314</v>
      </c>
      <c r="B117" s="2187"/>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89308</v>
      </c>
      <c r="D124" s="466">
        <v>13212</v>
      </c>
      <c r="E124" s="466">
        <v>32368</v>
      </c>
      <c r="F124" s="466">
        <v>64098</v>
      </c>
      <c r="G124" s="466">
        <v>14338</v>
      </c>
      <c r="H124" s="466">
        <v>7369</v>
      </c>
      <c r="I124" s="467"/>
      <c r="J124" s="467"/>
      <c r="K124" s="1691">
        <f>SUM(C124:J124)</f>
        <v>220693</v>
      </c>
      <c r="L124" s="466">
        <v>221090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89308</v>
      </c>
      <c r="D127" s="1691">
        <f t="shared" ref="D127:L127" si="14">SUM(D122:D126)</f>
        <v>13212</v>
      </c>
      <c r="E127" s="1691">
        <f t="shared" si="14"/>
        <v>32368</v>
      </c>
      <c r="F127" s="1691">
        <f t="shared" si="14"/>
        <v>64098</v>
      </c>
      <c r="G127" s="1691">
        <f t="shared" si="14"/>
        <v>14338</v>
      </c>
      <c r="H127" s="1691">
        <f t="shared" si="14"/>
        <v>7369</v>
      </c>
      <c r="I127" s="1691">
        <f t="shared" si="14"/>
        <v>0</v>
      </c>
      <c r="J127" s="1691">
        <f t="shared" si="14"/>
        <v>0</v>
      </c>
      <c r="K127" s="1691">
        <f t="shared" si="14"/>
        <v>220693</v>
      </c>
      <c r="L127" s="1691">
        <f t="shared" si="14"/>
        <v>221090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89308</v>
      </c>
      <c r="D129" s="1698">
        <f t="shared" ref="D129:L129" si="15">SUM(D120,D127,D128)</f>
        <v>13212</v>
      </c>
      <c r="E129" s="1698">
        <f t="shared" si="15"/>
        <v>32368</v>
      </c>
      <c r="F129" s="1698">
        <f t="shared" si="15"/>
        <v>64098</v>
      </c>
      <c r="G129" s="1698">
        <f t="shared" si="15"/>
        <v>14338</v>
      </c>
      <c r="H129" s="1698">
        <f t="shared" si="15"/>
        <v>7369</v>
      </c>
      <c r="I129" s="1698">
        <f t="shared" si="15"/>
        <v>0</v>
      </c>
      <c r="J129" s="1698">
        <f t="shared" si="15"/>
        <v>0</v>
      </c>
      <c r="K129" s="1698">
        <f t="shared" si="15"/>
        <v>220693</v>
      </c>
      <c r="L129" s="1698">
        <f t="shared" si="15"/>
        <v>221090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8" t="s">
        <v>641</v>
      </c>
      <c r="B151" s="2180"/>
      <c r="C151" s="1691">
        <f>SUM(C129,C130,C139,C149,C150)</f>
        <v>89308</v>
      </c>
      <c r="D151" s="1691">
        <f t="shared" ref="D151:K151" si="16">SUM(D129,D130,D139,D149,D150)</f>
        <v>13212</v>
      </c>
      <c r="E151" s="1691">
        <f t="shared" si="16"/>
        <v>32368</v>
      </c>
      <c r="F151" s="1691">
        <f t="shared" si="16"/>
        <v>64098</v>
      </c>
      <c r="G151" s="1691">
        <f t="shared" si="16"/>
        <v>14338</v>
      </c>
      <c r="H151" s="1691">
        <f t="shared" si="16"/>
        <v>7369</v>
      </c>
      <c r="I151" s="1691">
        <f t="shared" si="16"/>
        <v>0</v>
      </c>
      <c r="J151" s="1691">
        <f t="shared" si="16"/>
        <v>0</v>
      </c>
      <c r="K151" s="1691">
        <f t="shared" si="16"/>
        <v>220693</v>
      </c>
      <c r="L151" s="1691">
        <f>SUM(L129,L130,L139,L149,L150)</f>
        <v>221090</v>
      </c>
    </row>
    <row r="152" spans="1:14" ht="12.75" customHeight="1" thickTop="1" x14ac:dyDescent="0.2">
      <c r="A152" s="2201" t="s">
        <v>1240</v>
      </c>
      <c r="B152" s="2202"/>
      <c r="C152" s="619"/>
      <c r="D152" s="619"/>
      <c r="E152" s="619"/>
      <c r="F152" s="619"/>
      <c r="G152" s="619"/>
      <c r="H152" s="619"/>
      <c r="I152" s="619"/>
      <c r="J152" s="617"/>
      <c r="K152" s="1705">
        <f>'Revenues 9-14'!D275-'Expenditures 15-22'!K151</f>
        <v>-96352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642</v>
      </c>
      <c r="B154" s="218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208" t="s">
        <v>1053</v>
      </c>
      <c r="B175" s="2209"/>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10483</v>
      </c>
      <c r="D182" s="466">
        <v>1458</v>
      </c>
      <c r="E182" s="466">
        <v>114812</v>
      </c>
      <c r="F182" s="466">
        <v>238</v>
      </c>
      <c r="G182" s="466"/>
      <c r="H182" s="466"/>
      <c r="I182" s="467"/>
      <c r="J182" s="467"/>
      <c r="K182" s="1692">
        <f>SUM(C182:J182)</f>
        <v>126991</v>
      </c>
      <c r="L182" s="466">
        <v>129491</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10483</v>
      </c>
      <c r="D184" s="1698">
        <f t="shared" ref="D184:J184" si="17">SUM(D180,D182,D183)</f>
        <v>1458</v>
      </c>
      <c r="E184" s="1698">
        <f t="shared" si="17"/>
        <v>114812</v>
      </c>
      <c r="F184" s="1698">
        <f t="shared" si="17"/>
        <v>238</v>
      </c>
      <c r="G184" s="1698">
        <f t="shared" si="17"/>
        <v>0</v>
      </c>
      <c r="H184" s="1698">
        <f t="shared" si="17"/>
        <v>0</v>
      </c>
      <c r="I184" s="1698">
        <f t="shared" si="17"/>
        <v>0</v>
      </c>
      <c r="J184" s="1698">
        <f t="shared" si="17"/>
        <v>0</v>
      </c>
      <c r="K184" s="1698">
        <f>SUM(K180,K182,K183)</f>
        <v>126991</v>
      </c>
      <c r="L184" s="1698">
        <f>SUM(L180, L182:L183)</f>
        <v>129491</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v>36049</v>
      </c>
      <c r="F189" s="617"/>
      <c r="G189" s="617"/>
      <c r="H189" s="466"/>
      <c r="I189" s="477"/>
      <c r="J189" s="617"/>
      <c r="K189" s="1692">
        <f t="shared" si="18"/>
        <v>36049</v>
      </c>
      <c r="L189" s="466">
        <v>36050</v>
      </c>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36049</v>
      </c>
      <c r="F194" s="617"/>
      <c r="G194" s="617"/>
      <c r="H194" s="1691">
        <f>SUM(H188:H193)</f>
        <v>0</v>
      </c>
      <c r="I194" s="477"/>
      <c r="J194" s="617"/>
      <c r="K194" s="1691">
        <f>SUM(K188:K193)</f>
        <v>36049</v>
      </c>
      <c r="L194" s="1691">
        <f>SUM(L188:L193)</f>
        <v>36050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36049</v>
      </c>
      <c r="F196" s="617"/>
      <c r="G196" s="617"/>
      <c r="H196" s="1698">
        <f>SUM(H194,H195)</f>
        <v>0</v>
      </c>
      <c r="I196" s="477"/>
      <c r="J196" s="617"/>
      <c r="K196" s="1698">
        <f>SUM(K194,K195)</f>
        <v>36049</v>
      </c>
      <c r="L196" s="1698">
        <f>SUM(L194,L195)</f>
        <v>36050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10483</v>
      </c>
      <c r="D210" s="1691">
        <f>SUM(D184,D185)</f>
        <v>1458</v>
      </c>
      <c r="E210" s="1691">
        <f>SUM(E184,E185,E196)</f>
        <v>150861</v>
      </c>
      <c r="F210" s="1691">
        <f>SUM(F184,F185)</f>
        <v>238</v>
      </c>
      <c r="G210" s="1691">
        <f>SUM(G184,G185)</f>
        <v>0</v>
      </c>
      <c r="H210" s="1691">
        <f>SUM(H184,H185,H196,H208,H209)</f>
        <v>0</v>
      </c>
      <c r="I210" s="1691">
        <f>SUM(I184,I185)</f>
        <v>0</v>
      </c>
      <c r="J210" s="1691">
        <f>SUM(J184,J185)</f>
        <v>0</v>
      </c>
      <c r="K210" s="1692">
        <f>SUM(K184,K185,K196,K208,K209)</f>
        <v>163040</v>
      </c>
      <c r="L210" s="1691">
        <f>SUM(L184,L185,L196,L208,L209)</f>
        <v>165541</v>
      </c>
    </row>
    <row r="211" spans="1:14" ht="13.5" thickTop="1" x14ac:dyDescent="0.2">
      <c r="A211" s="2208" t="s">
        <v>1053</v>
      </c>
      <c r="B211" s="2209"/>
      <c r="C211" s="619"/>
      <c r="D211" s="619"/>
      <c r="E211" s="619"/>
      <c r="F211" s="619"/>
      <c r="G211" s="619"/>
      <c r="H211" s="619"/>
      <c r="I211" s="617"/>
      <c r="J211" s="617"/>
      <c r="K211" s="1705">
        <f>'Revenues 9-14'!F275-'Expenditures 15-22'!K210</f>
        <v>-6633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1022</v>
      </c>
      <c r="B213" s="2204"/>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6022</v>
      </c>
      <c r="E215" s="617"/>
      <c r="F215" s="617"/>
      <c r="G215" s="617"/>
      <c r="H215" s="617"/>
      <c r="I215" s="617"/>
      <c r="J215" s="617"/>
      <c r="K215" s="1692">
        <f>D215</f>
        <v>6022</v>
      </c>
      <c r="L215" s="466">
        <v>6041</v>
      </c>
    </row>
    <row r="216" spans="1:14" x14ac:dyDescent="0.2">
      <c r="A216" s="1525" t="s">
        <v>165</v>
      </c>
      <c r="B216" s="615" t="s">
        <v>1024</v>
      </c>
      <c r="C216" s="617"/>
      <c r="D216" s="467">
        <v>2439</v>
      </c>
      <c r="E216" s="617"/>
      <c r="F216" s="617"/>
      <c r="G216" s="617"/>
      <c r="H216" s="617"/>
      <c r="I216" s="617"/>
      <c r="J216" s="617"/>
      <c r="K216" s="1692">
        <f t="shared" ref="K216:K228" si="19">D216</f>
        <v>2439</v>
      </c>
      <c r="L216" s="466">
        <v>2501</v>
      </c>
    </row>
    <row r="217" spans="1:14" x14ac:dyDescent="0.2">
      <c r="A217" s="1525" t="s">
        <v>166</v>
      </c>
      <c r="B217" s="615">
        <v>1200</v>
      </c>
      <c r="C217" s="617"/>
      <c r="D217" s="466">
        <v>1833</v>
      </c>
      <c r="E217" s="617"/>
      <c r="F217" s="617"/>
      <c r="G217" s="617"/>
      <c r="H217" s="617"/>
      <c r="I217" s="617"/>
      <c r="J217" s="617"/>
      <c r="K217" s="1692">
        <f t="shared" si="19"/>
        <v>1833</v>
      </c>
      <c r="L217" s="466">
        <v>1862</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5091</v>
      </c>
      <c r="E219" s="617"/>
      <c r="F219" s="617"/>
      <c r="G219" s="617"/>
      <c r="H219" s="617"/>
      <c r="I219" s="617"/>
      <c r="J219" s="617"/>
      <c r="K219" s="1692">
        <f t="shared" si="19"/>
        <v>5091</v>
      </c>
      <c r="L219" s="466">
        <v>5254</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v>652</v>
      </c>
      <c r="E223" s="617"/>
      <c r="F223" s="617"/>
      <c r="G223" s="617"/>
      <c r="H223" s="617"/>
      <c r="I223" s="617"/>
      <c r="J223" s="617"/>
      <c r="K223" s="1692">
        <f t="shared" si="19"/>
        <v>652</v>
      </c>
      <c r="L223" s="466">
        <v>652</v>
      </c>
    </row>
    <row r="224" spans="1:14" x14ac:dyDescent="0.2">
      <c r="A224" s="1525" t="s">
        <v>1021</v>
      </c>
      <c r="B224" s="615">
        <v>1600</v>
      </c>
      <c r="C224" s="617"/>
      <c r="D224" s="466">
        <v>542</v>
      </c>
      <c r="E224" s="617"/>
      <c r="F224" s="617"/>
      <c r="G224" s="617"/>
      <c r="H224" s="617"/>
      <c r="I224" s="617"/>
      <c r="J224" s="617"/>
      <c r="K224" s="1692">
        <f t="shared" si="19"/>
        <v>542</v>
      </c>
      <c r="L224" s="466">
        <v>545</v>
      </c>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16579</v>
      </c>
      <c r="E229" s="617"/>
      <c r="F229" s="617"/>
      <c r="G229" s="617"/>
      <c r="H229" s="617"/>
      <c r="I229" s="617"/>
      <c r="J229" s="617"/>
      <c r="K229" s="1691">
        <f>SUM(K215:K228)</f>
        <v>16579</v>
      </c>
      <c r="L229" s="1691">
        <f>SUM(L215:L228)</f>
        <v>16855</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264</v>
      </c>
      <c r="E232" s="617"/>
      <c r="F232" s="617"/>
      <c r="G232" s="617"/>
      <c r="H232" s="617"/>
      <c r="I232" s="617"/>
      <c r="J232" s="617"/>
      <c r="K232" s="1692">
        <f t="shared" ref="K232:K237" si="20">D232</f>
        <v>264</v>
      </c>
      <c r="L232" s="466">
        <v>274</v>
      </c>
    </row>
    <row r="233" spans="1:12" x14ac:dyDescent="0.2">
      <c r="A233" s="1525" t="s">
        <v>1151</v>
      </c>
      <c r="B233" s="615">
        <v>2120</v>
      </c>
      <c r="C233" s="617"/>
      <c r="D233" s="466"/>
      <c r="E233" s="617"/>
      <c r="F233" s="617"/>
      <c r="G233" s="617"/>
      <c r="H233" s="617"/>
      <c r="I233" s="617"/>
      <c r="J233" s="617"/>
      <c r="K233" s="1692">
        <f t="shared" si="20"/>
        <v>0</v>
      </c>
      <c r="L233" s="466"/>
    </row>
    <row r="234" spans="1:12" x14ac:dyDescent="0.2">
      <c r="A234" s="1525" t="s">
        <v>207</v>
      </c>
      <c r="B234" s="615">
        <v>2130</v>
      </c>
      <c r="C234" s="617"/>
      <c r="D234" s="466">
        <v>922</v>
      </c>
      <c r="E234" s="617"/>
      <c r="F234" s="617"/>
      <c r="G234" s="617"/>
      <c r="H234" s="617"/>
      <c r="I234" s="617"/>
      <c r="J234" s="617"/>
      <c r="K234" s="1692">
        <f t="shared" si="20"/>
        <v>922</v>
      </c>
      <c r="L234" s="466">
        <v>923</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1186</v>
      </c>
      <c r="E238" s="617"/>
      <c r="F238" s="617"/>
      <c r="G238" s="617"/>
      <c r="H238" s="617"/>
      <c r="I238" s="617"/>
      <c r="J238" s="617"/>
      <c r="K238" s="1691">
        <f>SUM(K232:K237)</f>
        <v>1186</v>
      </c>
      <c r="L238" s="1691">
        <f>SUM(L232:L237)</f>
        <v>1197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293</v>
      </c>
      <c r="E240" s="617"/>
      <c r="F240" s="617"/>
      <c r="G240" s="617"/>
      <c r="H240" s="617"/>
      <c r="I240" s="617"/>
      <c r="J240" s="617"/>
      <c r="K240" s="1693">
        <f>D240</f>
        <v>293</v>
      </c>
      <c r="L240" s="481">
        <v>306</v>
      </c>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293</v>
      </c>
      <c r="E243" s="617"/>
      <c r="F243" s="617"/>
      <c r="G243" s="617"/>
      <c r="H243" s="617"/>
      <c r="I243" s="617"/>
      <c r="J243" s="617"/>
      <c r="K243" s="1691">
        <f>SUM(K240:K242)</f>
        <v>293</v>
      </c>
      <c r="L243" s="1691">
        <f>SUM(L240:L242)</f>
        <v>306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5689</v>
      </c>
      <c r="E246" s="617"/>
      <c r="F246" s="617"/>
      <c r="G246" s="617"/>
      <c r="H246" s="617"/>
      <c r="I246" s="617"/>
      <c r="J246" s="617"/>
      <c r="K246" s="1693">
        <f t="shared" ref="K246:K256" si="21">D246</f>
        <v>5689</v>
      </c>
      <c r="L246" s="466">
        <v>5700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5689</v>
      </c>
      <c r="E257" s="617"/>
      <c r="F257" s="617"/>
      <c r="G257" s="617"/>
      <c r="H257" s="617"/>
      <c r="I257" s="617"/>
      <c r="J257" s="617"/>
      <c r="K257" s="1691">
        <f>SUM(K245:K256)</f>
        <v>5689</v>
      </c>
      <c r="L257" s="1691">
        <f>SUM(L245:L256)</f>
        <v>5700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4175</v>
      </c>
      <c r="E259" s="617"/>
      <c r="F259" s="617"/>
      <c r="G259" s="617"/>
      <c r="H259" s="617"/>
      <c r="I259" s="617"/>
      <c r="J259" s="617"/>
      <c r="K259" s="1693">
        <f>D259</f>
        <v>4175</v>
      </c>
      <c r="L259" s="481">
        <v>4260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4175</v>
      </c>
      <c r="E261" s="617"/>
      <c r="F261" s="617"/>
      <c r="G261" s="617"/>
      <c r="H261" s="617"/>
      <c r="I261" s="617"/>
      <c r="J261" s="617"/>
      <c r="K261" s="1691">
        <f>SUM(K259:K260)</f>
        <v>4175</v>
      </c>
      <c r="L261" s="1691">
        <f>SUM(L259:L260)</f>
        <v>4260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2584</v>
      </c>
      <c r="E264" s="617"/>
      <c r="F264" s="617"/>
      <c r="G264" s="617"/>
      <c r="H264" s="617"/>
      <c r="I264" s="617"/>
      <c r="J264" s="617"/>
      <c r="K264" s="1693">
        <f t="shared" ref="K264:K269" si="22">D264</f>
        <v>2584</v>
      </c>
      <c r="L264" s="466">
        <v>2585</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7510</v>
      </c>
      <c r="E266" s="617"/>
      <c r="F266" s="617"/>
      <c r="G266" s="617"/>
      <c r="H266" s="617"/>
      <c r="I266" s="617"/>
      <c r="J266" s="617"/>
      <c r="K266" s="1693">
        <f t="shared" si="22"/>
        <v>7510</v>
      </c>
      <c r="L266" s="466">
        <v>7521</v>
      </c>
    </row>
    <row r="267" spans="1:14" x14ac:dyDescent="0.2">
      <c r="A267" s="1525" t="s">
        <v>1010</v>
      </c>
      <c r="B267" s="615">
        <v>2550</v>
      </c>
      <c r="C267" s="617"/>
      <c r="D267" s="466">
        <v>258</v>
      </c>
      <c r="E267" s="617"/>
      <c r="F267" s="617"/>
      <c r="G267" s="617"/>
      <c r="H267" s="617"/>
      <c r="I267" s="617"/>
      <c r="J267" s="617"/>
      <c r="K267" s="1693">
        <f t="shared" si="22"/>
        <v>258</v>
      </c>
      <c r="L267" s="466">
        <v>260</v>
      </c>
    </row>
    <row r="268" spans="1:14" x14ac:dyDescent="0.2">
      <c r="A268" s="1525" t="s">
        <v>102</v>
      </c>
      <c r="B268" s="615">
        <v>2560</v>
      </c>
      <c r="C268" s="617"/>
      <c r="D268" s="466">
        <v>3577</v>
      </c>
      <c r="E268" s="617"/>
      <c r="F268" s="617"/>
      <c r="G268" s="617"/>
      <c r="H268" s="617"/>
      <c r="I268" s="617"/>
      <c r="J268" s="617"/>
      <c r="K268" s="1693">
        <f t="shared" si="22"/>
        <v>3577</v>
      </c>
      <c r="L268" s="466">
        <v>3590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13929</v>
      </c>
      <c r="E270" s="617"/>
      <c r="F270" s="617"/>
      <c r="G270" s="617"/>
      <c r="H270" s="617"/>
      <c r="I270" s="617"/>
      <c r="J270" s="617"/>
      <c r="K270" s="1691">
        <f>SUM(K263:K269)</f>
        <v>13929</v>
      </c>
      <c r="L270" s="1691">
        <f>SUM(L263:L269)</f>
        <v>13956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v>1212</v>
      </c>
      <c r="E278" s="617"/>
      <c r="F278" s="617"/>
      <c r="G278" s="617"/>
      <c r="H278" s="617"/>
      <c r="I278" s="617"/>
      <c r="J278" s="617"/>
      <c r="K278" s="1706">
        <f>D278</f>
        <v>1212</v>
      </c>
      <c r="L278" s="657">
        <v>1216</v>
      </c>
    </row>
    <row r="279" spans="1:12" ht="12.75" customHeight="1" thickBot="1" x14ac:dyDescent="0.25">
      <c r="A279" s="1719" t="s">
        <v>865</v>
      </c>
      <c r="B279" s="1702">
        <v>2000</v>
      </c>
      <c r="C279" s="617"/>
      <c r="D279" s="1698">
        <f>SUM(D238,D243,D257,D261,D270,D277,D278)</f>
        <v>26484</v>
      </c>
      <c r="E279" s="617"/>
      <c r="F279" s="617"/>
      <c r="G279" s="617"/>
      <c r="H279" s="617"/>
      <c r="I279" s="617"/>
      <c r="J279" s="617"/>
      <c r="K279" s="1698">
        <f>SUM(K238,K243,K257,K261,K270,K277,K278)</f>
        <v>26484</v>
      </c>
      <c r="L279" s="1698">
        <f>SUM(L238,L243,L257,L261,L270,L277,L278)</f>
        <v>26635</v>
      </c>
    </row>
    <row r="280" spans="1:12" ht="15.75" customHeight="1" thickTop="1" thickBot="1" x14ac:dyDescent="0.25">
      <c r="A280" s="1645" t="s">
        <v>930</v>
      </c>
      <c r="B280" s="1634">
        <v>3000</v>
      </c>
      <c r="C280" s="617"/>
      <c r="D280" s="576">
        <v>6379</v>
      </c>
      <c r="E280" s="617"/>
      <c r="F280" s="617"/>
      <c r="G280" s="617"/>
      <c r="H280" s="617"/>
      <c r="I280" s="617"/>
      <c r="J280" s="617"/>
      <c r="K280" s="1700">
        <f>D280</f>
        <v>6379</v>
      </c>
      <c r="L280" s="576">
        <v>6392</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9" t="s">
        <v>526</v>
      </c>
      <c r="B295" s="2200"/>
      <c r="C295" s="617"/>
      <c r="D295" s="1691">
        <f>SUM(D229,D279,D280,D285)</f>
        <v>49442</v>
      </c>
      <c r="E295" s="617"/>
      <c r="F295" s="617"/>
      <c r="G295" s="617"/>
      <c r="H295" s="1691">
        <f>H293</f>
        <v>0</v>
      </c>
      <c r="I295" s="617"/>
      <c r="J295" s="617"/>
      <c r="K295" s="1691">
        <f>SUM(K229,K279,K280,K285,K293,K294)</f>
        <v>49442</v>
      </c>
      <c r="L295" s="1691">
        <f>SUM(L229,L279,L280,L285,L293,L294)</f>
        <v>49882</v>
      </c>
    </row>
    <row r="296" spans="1:14" ht="13.5" thickTop="1" x14ac:dyDescent="0.2">
      <c r="A296" s="2208" t="s">
        <v>1053</v>
      </c>
      <c r="B296" s="2209"/>
      <c r="C296" s="617"/>
      <c r="D296" s="619"/>
      <c r="E296" s="617"/>
      <c r="F296" s="617"/>
      <c r="G296" s="617"/>
      <c r="H296" s="688"/>
      <c r="I296" s="617"/>
      <c r="J296" s="617"/>
      <c r="K296" s="1705">
        <f>'Revenues 9-14'!G275-'Expenditures 15-22'!K295</f>
        <v>4845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6" t="s">
        <v>295</v>
      </c>
      <c r="B312" s="2197"/>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2" t="s">
        <v>1053</v>
      </c>
      <c r="B313" s="2193"/>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954</v>
      </c>
      <c r="B317" s="2206"/>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17338</v>
      </c>
      <c r="F320" s="467"/>
      <c r="G320" s="467"/>
      <c r="H320" s="467"/>
      <c r="I320" s="467"/>
      <c r="J320" s="467"/>
      <c r="K320" s="1692">
        <f t="shared" ref="K320:K327" si="24">SUM(C320:J320)</f>
        <v>17338</v>
      </c>
      <c r="L320" s="467">
        <v>17338</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v>6213</v>
      </c>
      <c r="F322" s="467"/>
      <c r="G322" s="467"/>
      <c r="H322" s="467"/>
      <c r="I322" s="467"/>
      <c r="J322" s="467"/>
      <c r="K322" s="1692">
        <f t="shared" si="24"/>
        <v>6213</v>
      </c>
      <c r="L322" s="467">
        <v>6213</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18328</v>
      </c>
      <c r="D325" s="467"/>
      <c r="E325" s="467"/>
      <c r="F325" s="467"/>
      <c r="G325" s="467"/>
      <c r="H325" s="467"/>
      <c r="I325" s="467"/>
      <c r="J325" s="467"/>
      <c r="K325" s="1692">
        <f t="shared" si="24"/>
        <v>18328</v>
      </c>
      <c r="L325" s="467">
        <v>18332</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57817</v>
      </c>
      <c r="F327" s="467"/>
      <c r="G327" s="467"/>
      <c r="H327" s="467"/>
      <c r="I327" s="467"/>
      <c r="J327" s="467"/>
      <c r="K327" s="1692">
        <f t="shared" si="24"/>
        <v>57817</v>
      </c>
      <c r="L327" s="467">
        <v>57818</v>
      </c>
      <c r="M327" s="666"/>
      <c r="N327" s="666"/>
    </row>
    <row r="328" spans="1:14" s="675" customFormat="1" x14ac:dyDescent="0.2">
      <c r="A328" s="1541" t="s">
        <v>492</v>
      </c>
      <c r="B328" s="691" t="s">
        <v>1194</v>
      </c>
      <c r="C328" s="474"/>
      <c r="D328" s="474"/>
      <c r="E328" s="474">
        <v>2913</v>
      </c>
      <c r="F328" s="474"/>
      <c r="G328" s="474"/>
      <c r="H328" s="474"/>
      <c r="I328" s="474"/>
      <c r="J328" s="474"/>
      <c r="K328" s="1720">
        <f>SUM(C328:J328)</f>
        <v>2913</v>
      </c>
      <c r="L328" s="474">
        <v>2914</v>
      </c>
      <c r="M328" s="666"/>
      <c r="N328" s="666"/>
    </row>
    <row r="329" spans="1:14" s="675" customFormat="1" x14ac:dyDescent="0.2">
      <c r="A329" s="1541" t="s">
        <v>1195</v>
      </c>
      <c r="B329" s="691" t="s">
        <v>1196</v>
      </c>
      <c r="C329" s="474"/>
      <c r="D329" s="474"/>
      <c r="E329" s="474">
        <v>1263</v>
      </c>
      <c r="F329" s="474"/>
      <c r="G329" s="474"/>
      <c r="H329" s="474"/>
      <c r="I329" s="474"/>
      <c r="J329" s="474"/>
      <c r="K329" s="1720">
        <f>SUM(C329:J329)</f>
        <v>1263</v>
      </c>
      <c r="L329" s="474">
        <v>1263</v>
      </c>
      <c r="M329" s="666"/>
      <c r="N329" s="666"/>
    </row>
    <row r="330" spans="1:14" s="675" customFormat="1" ht="12.75" customHeight="1" thickBot="1" x14ac:dyDescent="0.25">
      <c r="A330" s="1721" t="s">
        <v>741</v>
      </c>
      <c r="B330" s="1690" t="s">
        <v>590</v>
      </c>
      <c r="C330" s="1691">
        <f>SUM(C319:C329)</f>
        <v>18328</v>
      </c>
      <c r="D330" s="1691">
        <f t="shared" ref="D330:J330" si="25">SUM(D319:D329)</f>
        <v>0</v>
      </c>
      <c r="E330" s="1691">
        <f t="shared" si="25"/>
        <v>85544</v>
      </c>
      <c r="F330" s="1691">
        <f t="shared" si="25"/>
        <v>0</v>
      </c>
      <c r="G330" s="1691">
        <f t="shared" si="25"/>
        <v>0</v>
      </c>
      <c r="H330" s="1691">
        <f t="shared" si="25"/>
        <v>0</v>
      </c>
      <c r="I330" s="1691">
        <f t="shared" si="25"/>
        <v>0</v>
      </c>
      <c r="J330" s="1691">
        <f t="shared" si="25"/>
        <v>0</v>
      </c>
      <c r="K330" s="1691">
        <f>SUM(K319:K329)</f>
        <v>103872</v>
      </c>
      <c r="L330" s="1691">
        <f>SUM(L319:L329)</f>
        <v>103878</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18328</v>
      </c>
      <c r="D342" s="1691">
        <f>SUM(D330)</f>
        <v>0</v>
      </c>
      <c r="E342" s="1691">
        <f>SUM(E330)</f>
        <v>85544</v>
      </c>
      <c r="F342" s="1691">
        <f>SUM(F330)</f>
        <v>0</v>
      </c>
      <c r="G342" s="1691">
        <f>SUM(G330)</f>
        <v>0</v>
      </c>
      <c r="H342" s="1691">
        <f>SUM(H330,H334,H340)</f>
        <v>0</v>
      </c>
      <c r="I342" s="1691">
        <f>SUM(I330)</f>
        <v>0</v>
      </c>
      <c r="J342" s="1691">
        <f>SUM(J330)</f>
        <v>0</v>
      </c>
      <c r="K342" s="1691">
        <f>SUM(K330,K334,K340)</f>
        <v>103872</v>
      </c>
      <c r="L342" s="1698">
        <f>SUM(L330,L340,L341)</f>
        <v>103878</v>
      </c>
    </row>
    <row r="343" spans="1:14" ht="12.75" customHeight="1" thickTop="1" x14ac:dyDescent="0.2">
      <c r="A343" s="2194" t="s">
        <v>1053</v>
      </c>
      <c r="B343" s="2195"/>
      <c r="C343" s="617"/>
      <c r="D343" s="617"/>
      <c r="E343" s="617"/>
      <c r="F343" s="617"/>
      <c r="G343" s="617"/>
      <c r="H343" s="617"/>
      <c r="I343" s="617"/>
      <c r="J343" s="617"/>
      <c r="K343" s="1705">
        <f>'Revenues 9-14'!J275-'Expenditures 15-22'!K342</f>
        <v>-2853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1023</v>
      </c>
      <c r="B345" s="2185"/>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3035</v>
      </c>
      <c r="F349" s="466"/>
      <c r="G349" s="466"/>
      <c r="H349" s="466"/>
      <c r="I349" s="467"/>
      <c r="J349" s="467"/>
      <c r="K349" s="1692">
        <f>SUM(C349:J349)</f>
        <v>3035</v>
      </c>
      <c r="L349" s="466">
        <v>4436</v>
      </c>
    </row>
    <row r="350" spans="1:14" ht="12.75" customHeight="1" thickBot="1" x14ac:dyDescent="0.25">
      <c r="A350" s="1689" t="s">
        <v>743</v>
      </c>
      <c r="B350" s="1690" t="s">
        <v>35</v>
      </c>
      <c r="C350" s="1691">
        <f>SUM(C348:C349)</f>
        <v>0</v>
      </c>
      <c r="D350" s="1691">
        <f t="shared" ref="D350:L350" si="26">SUM(D348:D349)</f>
        <v>0</v>
      </c>
      <c r="E350" s="1691">
        <f t="shared" si="26"/>
        <v>3035</v>
      </c>
      <c r="F350" s="1691">
        <f t="shared" si="26"/>
        <v>0</v>
      </c>
      <c r="G350" s="1691">
        <f t="shared" si="26"/>
        <v>0</v>
      </c>
      <c r="H350" s="1691">
        <f t="shared" si="26"/>
        <v>0</v>
      </c>
      <c r="I350" s="1691">
        <f t="shared" si="26"/>
        <v>0</v>
      </c>
      <c r="J350" s="1691">
        <f t="shared" si="26"/>
        <v>0</v>
      </c>
      <c r="K350" s="1691">
        <f t="shared" si="26"/>
        <v>3035</v>
      </c>
      <c r="L350" s="1691">
        <f t="shared" si="26"/>
        <v>4436</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3035</v>
      </c>
      <c r="F352" s="1691">
        <f t="shared" si="27"/>
        <v>0</v>
      </c>
      <c r="G352" s="1691">
        <f t="shared" si="27"/>
        <v>0</v>
      </c>
      <c r="H352" s="1691">
        <f t="shared" si="27"/>
        <v>0</v>
      </c>
      <c r="I352" s="1691">
        <f t="shared" si="27"/>
        <v>0</v>
      </c>
      <c r="J352" s="1691">
        <f t="shared" si="27"/>
        <v>0</v>
      </c>
      <c r="K352" s="1691">
        <f t="shared" si="27"/>
        <v>3035</v>
      </c>
      <c r="L352" s="1691">
        <f t="shared" si="27"/>
        <v>4436</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3035</v>
      </c>
      <c r="F367" s="1691">
        <f t="shared" si="28"/>
        <v>0</v>
      </c>
      <c r="G367" s="1691">
        <f t="shared" si="28"/>
        <v>0</v>
      </c>
      <c r="H367" s="1691">
        <f t="shared" si="28"/>
        <v>0</v>
      </c>
      <c r="I367" s="1691">
        <f t="shared" si="28"/>
        <v>0</v>
      </c>
      <c r="J367" s="1691">
        <f t="shared" si="28"/>
        <v>0</v>
      </c>
      <c r="K367" s="1691">
        <f t="shared" si="28"/>
        <v>3035</v>
      </c>
      <c r="L367" s="1691">
        <f t="shared" si="28"/>
        <v>4436</v>
      </c>
    </row>
    <row r="368" spans="1:14" ht="13.5" thickTop="1" x14ac:dyDescent="0.2">
      <c r="A368" s="2208" t="s">
        <v>1053</v>
      </c>
      <c r="B368" s="2209"/>
      <c r="C368" s="655"/>
      <c r="D368" s="655"/>
      <c r="E368" s="627"/>
      <c r="F368" s="627"/>
      <c r="G368" s="627"/>
      <c r="H368" s="627"/>
      <c r="I368" s="627"/>
      <c r="J368" s="624"/>
      <c r="K368" s="1692">
        <f>'Revenues 9-14'!K275-'Expenditures 15-22'!K367</f>
        <v>1706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sharepoint/v3"/>
    <ds:schemaRef ds:uri="http://schemas.microsoft.com/office/2006/documentManagement/types"/>
    <ds:schemaRef ds:uri="http://purl.org/dc/elements/1.1/"/>
    <ds:schemaRef ds:uri="4d435f69-8686-490b-bd6d-b153bf22ab50"/>
    <ds:schemaRef ds:uri="6ce3111e-7420-4802-b50a-75d4e9a0b980"/>
    <ds:schemaRef ds:uri="d21dc803-237d-4c68-8692-8d731fd2911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'Itemization 33'!Print_Area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2018-11-27T23:51:24Z</cp:lastPrinted>
  <dcterms:created xsi:type="dcterms:W3CDTF">2003-10-29T19:06:34Z</dcterms:created>
  <dcterms:modified xsi:type="dcterms:W3CDTF">2018-12-10T14:53:22Z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